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2.xml" ContentType="application/vnd.openxmlformats-officedocument.spreadsheetml.comment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omments3.xml" ContentType="application/vnd.openxmlformats-officedocument.spreadsheetml.comment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omments4.xml" ContentType="application/vnd.openxmlformats-officedocument.spreadsheetml.comments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28800" windowHeight="12435" activeTab="2"/>
  </bookViews>
  <sheets>
    <sheet name="Balance" sheetId="38" r:id="rId1"/>
    <sheet name="CLOSED" sheetId="1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CF" sheetId="61" state="hidden" r:id="rId12"/>
    <sheet name="LUV" sheetId="62" state="hidden" r:id="rId13"/>
    <sheet name="AKAM" sheetId="63" state="hidden" r:id="rId14"/>
    <sheet name="MRO" sheetId="25" r:id="rId15"/>
    <sheet name="KR" sheetId="51" state="hidden" r:id="rId16"/>
    <sheet name="F" sheetId="54" state="hidden" r:id="rId17"/>
    <sheet name="CPN" sheetId="7" r:id="rId18"/>
    <sheet name="NKE" sheetId="50" state="hidden" r:id="rId19"/>
    <sheet name="MOS" sheetId="58" state="hidden" r:id="rId20"/>
    <sheet name="VGK" sheetId="59" state="hidden" r:id="rId21"/>
    <sheet name="MU" sheetId="17" r:id="rId22"/>
    <sheet name="IP" sheetId="44" state="hidden" r:id="rId23"/>
    <sheet name="INTC" sheetId="13" state="hidden" r:id="rId24"/>
    <sheet name="HES" sheetId="10" state="hidden" r:id="rId25"/>
    <sheet name="UNP" sheetId="20" state="hidden" r:id="rId26"/>
    <sheet name="SPY" sheetId="47" r:id="rId27"/>
    <sheet name="SWKS" sheetId="41" state="hidden" r:id="rId28"/>
    <sheet name="CNI" sheetId="42" state="hidden" r:id="rId29"/>
    <sheet name="WFC" sheetId="45" state="hidden" r:id="rId30"/>
    <sheet name="AA" sheetId="3" state="hidden" r:id="rId31"/>
    <sheet name="KATE" sheetId="5" r:id="rId32"/>
    <sheet name="NWL" sheetId="46" state="hidden" r:id="rId33"/>
    <sheet name="KORS" sheetId="16" state="hidden" r:id="rId34"/>
    <sheet name="ALL" sheetId="22" state="hidden" r:id="rId35"/>
    <sheet name="NSC" sheetId="24" state="hidden" r:id="rId36"/>
    <sheet name="AVGO" sheetId="15" state="hidden" r:id="rId37"/>
    <sheet name="UAL" sheetId="52" r:id="rId38"/>
    <sheet name="CAH" sheetId="53" state="hidden" r:id="rId39"/>
    <sheet name="DAL" sheetId="49" state="hidden" r:id="rId40"/>
    <sheet name="DIS" sheetId="34" state="hidden" r:id="rId41"/>
    <sheet name="FTR" sheetId="40" r:id="rId42"/>
    <sheet name="GILD" sheetId="31" state="hidden" r:id="rId43"/>
    <sheet name="WWD" sheetId="28" state="hidden" r:id="rId44"/>
    <sheet name="GIS" sheetId="43" state="hidden" r:id="rId45"/>
    <sheet name="GM" sheetId="29" state="hidden" r:id="rId46"/>
    <sheet name="TMO" sheetId="48" state="hidden" r:id="rId47"/>
    <sheet name="TKR" sheetId="32" state="hidden" r:id="rId48"/>
    <sheet name="UTX" sheetId="30" state="hidden" r:id="rId49"/>
    <sheet name="UNH" sheetId="26" state="hidden" r:id="rId50"/>
  </sheets>
  <functionGroups builtInGroupCount="18"/>
  <definedNames>
    <definedName name="_xlnm._FilterDatabase" localSheetId="2" hidden="1">ACTIVE!$E$1:$M$26</definedName>
    <definedName name="hp?s_AA_Historical_Prices_1" localSheetId="30">AA!$W$1:$AC$69</definedName>
    <definedName name="hp?s_AAPL" localSheetId="6">AAPL!$W$1:$AC$69</definedName>
    <definedName name="hp?s_AKAM_Historical_Prices" localSheetId="13">AKAM!$W$1:$AC$68</definedName>
    <definedName name="hp?s_ALL_Historical_Prices" localSheetId="34">ALL!$X$1:$AD$69</definedName>
    <definedName name="hp?s_AVGO" localSheetId="36">AVGO!$W$1:$AC$69</definedName>
    <definedName name="hp?s_AXP_Historical_Prices" localSheetId="7">AXP!$W$1:$AC$69</definedName>
    <definedName name="hp?s_BIIB" localSheetId="3">BIIB!$W$1:$AC$68</definedName>
    <definedName name="hp?s_CAH" localSheetId="38">CAH!$W$1:$AC$69</definedName>
    <definedName name="hp?s_CF_a_00_b_1_c_2016_d_06_e_1_f_2016_g_d" localSheetId="11">CF!$W$1:$AC$69</definedName>
    <definedName name="hp?s_CNI" localSheetId="28">CNI!$W$1:$AC$69</definedName>
    <definedName name="hp?s_CPN_Historical_Prices" localSheetId="17">CPN!$W$1:$AC$68</definedName>
    <definedName name="hp?s_DAL" localSheetId="39">DAL!$W$1:$AC$69</definedName>
    <definedName name="hp?s_dg" localSheetId="8">DG!$W$1:$AC$69</definedName>
    <definedName name="hp?s_DIS" localSheetId="40">DIS!$W$1:$AC$69</definedName>
    <definedName name="hp?s_DIS" localSheetId="41">FTR!#REF!</definedName>
    <definedName name="hp?s_F" localSheetId="16">F!$W$1:$AC$69</definedName>
    <definedName name="hp?s_foxa" localSheetId="10">FOXA!$W$1:$AC$68</definedName>
    <definedName name="hp?s_FTR" localSheetId="41">FTR!$W$1:$AC$69</definedName>
    <definedName name="hp?s_GILD" localSheetId="42">GILD!$W$1:$AC$69</definedName>
    <definedName name="hp?s_GIS" localSheetId="44">GIS!$X$1:$AD$69</definedName>
    <definedName name="hp?s_GM" localSheetId="45">GM!$W$1:$AC$69</definedName>
    <definedName name="hp?s_HES" localSheetId="24">HES!$W$1:$AC$69</definedName>
    <definedName name="hp?s_INTC_Historical_Prices" localSheetId="23">INTC!$W$1:$AC$69</definedName>
    <definedName name="hp?s_IP" localSheetId="22">IP!$W$1:$AC$69</definedName>
    <definedName name="hp?s_KATE" localSheetId="31">KATE!$W$1:$AC$68</definedName>
    <definedName name="hp?s_KORS" localSheetId="33">KORS!$W$1:$AC$68</definedName>
    <definedName name="hp?s_KR" localSheetId="15">KR!$W$1:$AC$69</definedName>
    <definedName name="hp?s_LUV" localSheetId="12">LUV!$W$1:$AC$70</definedName>
    <definedName name="hp?s_MOS_Historical_Prices" localSheetId="19">MOS!$W$1:$AC$68</definedName>
    <definedName name="hp?s_MRO" localSheetId="14">MRO!$W$1:$AC$69</definedName>
    <definedName name="hp?s_MU" localSheetId="21">MU!$W$1:$AC$68</definedName>
    <definedName name="hp?s_MYL" localSheetId="4">MYL!$W$1:$AC$68</definedName>
    <definedName name="hp?s_nke" localSheetId="18">NKE!$W$1:$AC$70</definedName>
    <definedName name="hp?s_NSC" localSheetId="35">NSC!$W$1:$AC$69</definedName>
    <definedName name="hp?s_NWL" localSheetId="32">NWL!$W$1:$AC$69</definedName>
    <definedName name="hp?s_SIG" localSheetId="5">SIG!$W$1:$AC$69</definedName>
    <definedName name="hp?s_SPY_Historical_Prices" localSheetId="9">PINC!$W$1:$AC$69</definedName>
    <definedName name="hp?s_SPY_Historical_Prices" localSheetId="26">SPY!$W$1:$AC$69</definedName>
    <definedName name="hp?s_SWKS" localSheetId="27">SWKS!$W$1:$AC$69</definedName>
    <definedName name="hp?s_TKR" localSheetId="47">TKR!$W$1:$AC$69</definedName>
    <definedName name="hp?s_tmo" localSheetId="46">TMO!$W$1:$AC$69</definedName>
    <definedName name="hp?s_ual" localSheetId="37">UAL!$W$1:$AC$68</definedName>
    <definedName name="hp?s_UNH" localSheetId="49">UNH!$W$1:$AC$69</definedName>
    <definedName name="hp?s_UNP" localSheetId="25">UNP!$W$1:$AC$69</definedName>
    <definedName name="hp?s_UTX" localSheetId="48">UTX!$W$1:$AC$69</definedName>
    <definedName name="hp?s_vgk" localSheetId="20">VGK!$W$1:$AC$69</definedName>
    <definedName name="hp?s_WFC" localSheetId="29">WFC!$W$1:$AC$69</definedName>
    <definedName name="hp?s_WWD" localSheetId="43">WWD!$W$1:$AC$69</definedName>
    <definedName name="PL" localSheetId="30">AA!$Q$7</definedName>
    <definedName name="PL" localSheetId="13">#REF!</definedName>
    <definedName name="PL" localSheetId="7">#REF!</definedName>
    <definedName name="PL" localSheetId="38">#REF!</definedName>
    <definedName name="PL" localSheetId="11">#REF!</definedName>
    <definedName name="PL" localSheetId="8">#REF!</definedName>
    <definedName name="PL" localSheetId="16">#REF!</definedName>
    <definedName name="PL" localSheetId="10">#REF!</definedName>
    <definedName name="PL" localSheetId="15">#REF!</definedName>
    <definedName name="PL" localSheetId="12">#REF!</definedName>
    <definedName name="PL" localSheetId="19">#REF!</definedName>
    <definedName name="PL" localSheetId="4">#REF!</definedName>
    <definedName name="PL" localSheetId="18">#REF!</definedName>
    <definedName name="PL" localSheetId="9">PINC!$Q$7</definedName>
    <definedName name="PL" localSheetId="26">SPY!$Q$7</definedName>
    <definedName name="PL" localSheetId="27">SWKS!$Q$7</definedName>
    <definedName name="PL" localSheetId="37">#REF!</definedName>
    <definedName name="PL" localSheetId="20">#REF!</definedName>
    <definedName name="PL" localSheetId="29">WFC!$Q$7</definedName>
    <definedName name="q?s_aa_ql_1" localSheetId="30">AA!$T$40:$U$55</definedName>
    <definedName name="q?s_AAPL" localSheetId="6">AAPL!$T$40:$U$55</definedName>
    <definedName name="q?s_AKAM" localSheetId="13">AKAM!$T$43:$U$58</definedName>
    <definedName name="q?s_ALL" localSheetId="34">ALL!$T$40:$U$55</definedName>
    <definedName name="q?s_AVGO" localSheetId="36">AVGO!$T$42:$U$57</definedName>
    <definedName name="q?s_AXP" localSheetId="7">AXP!$T$43:$U$58</definedName>
    <definedName name="q?s_BIIB" localSheetId="3">BIIB!$T$43:$U$58</definedName>
    <definedName name="q?s_CAH" localSheetId="38">CAH!$T$43:$U$58</definedName>
    <definedName name="q?s_CF" localSheetId="11">CF!$T$43:$U$58</definedName>
    <definedName name="q?s_CNI" localSheetId="28">CNI!$T$43:$U$58</definedName>
    <definedName name="q?s_CPN" localSheetId="17">CPN!$T$43:$U$58</definedName>
    <definedName name="q?s_DAL" localSheetId="39">DAL!$T$43:$U$58</definedName>
    <definedName name="q?s_dg" localSheetId="8">DG!$T$43:$U$58</definedName>
    <definedName name="q?s_DIS" localSheetId="40">DIS!$T$43:$U$58</definedName>
    <definedName name="q?s_F" localSheetId="16">F!$T$43:$U$58</definedName>
    <definedName name="q?s_foxa" localSheetId="10">FOXA!$T$43:$U$58</definedName>
    <definedName name="q?s_FTR" localSheetId="41">FTR!$T$43:$U$58</definedName>
    <definedName name="q?s_GILD" localSheetId="42">GILD!$T$43:$U$58</definedName>
    <definedName name="q?s_GIS_1" localSheetId="44">GIS!$T$43:$U$58</definedName>
    <definedName name="q?s_GM" localSheetId="45">GM!$T$43:$U$58</definedName>
    <definedName name="q?s_HES" localSheetId="24">HES!$T$43:$U$58</definedName>
    <definedName name="q?s_INTC" localSheetId="23">INTC!$T$43:$U$58</definedName>
    <definedName name="q?s_IP" localSheetId="22">IP!$T$43:$U$58</definedName>
    <definedName name="q?s_KATE" localSheetId="31">KATE!$T$43:$U$58</definedName>
    <definedName name="q?s_KORS" localSheetId="33">KORS!$T$43:$U$58</definedName>
    <definedName name="q?s_KR" localSheetId="15">KR!$T$43:$U$58</definedName>
    <definedName name="q?s_luv_ql_1" localSheetId="12">LUV!$T$43:$U$58</definedName>
    <definedName name="q?s_MOS" localSheetId="19">MOS!$T$43:$U$58</definedName>
    <definedName name="q?s_mro" localSheetId="14">MRO!$T$43:$U$58</definedName>
    <definedName name="q?s_MU" localSheetId="21">MU!$T$43:$U$58</definedName>
    <definedName name="q?s_MYL" localSheetId="4">MYL!$T$43:$U$58</definedName>
    <definedName name="q?s_NKE" localSheetId="18">NKE!$T$43:$U$58</definedName>
    <definedName name="q?s_nsc" localSheetId="35">NSC!$T$43:$U$58</definedName>
    <definedName name="q?s_NSC" localSheetId="25">UNP!$T$43:$U$58</definedName>
    <definedName name="q?s_NWL" localSheetId="32">NWL!$T$43:$U$58</definedName>
    <definedName name="q?s_SIG" localSheetId="5">SIG!$T$40:$U$55</definedName>
    <definedName name="q?s_SPY" localSheetId="9">PINC!$T$40:$U$53</definedName>
    <definedName name="q?s_SPY" localSheetId="26">SPY!$T$40:$U$53</definedName>
    <definedName name="q?s_SWKS" localSheetId="27">SWKS!$T$40:$U$55</definedName>
    <definedName name="q?s_TKR" localSheetId="47">TKR!$T$43:$U$58</definedName>
    <definedName name="q?s_tmo" localSheetId="46">TMO!$T$43:$U$58</definedName>
    <definedName name="q?s_UAL" localSheetId="37">UAL!$T$43:$U$58</definedName>
    <definedName name="q?s_UNH" localSheetId="49">UNH!$T$43:$U$58</definedName>
    <definedName name="q?s_UTX" localSheetId="48">UTX!$T$43:$U$58</definedName>
    <definedName name="q?s_vgk" localSheetId="20">VGK!$T$43:$U$56</definedName>
    <definedName name="q?s_WFC" localSheetId="29">WFC!$T$43:$U$58</definedName>
    <definedName name="q?s_WWD" localSheetId="43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3" i="34" l="1"/>
  <c r="G53" i="34"/>
  <c r="H53" i="34"/>
  <c r="F75" i="49"/>
  <c r="G75" i="49"/>
  <c r="H75" i="49"/>
  <c r="N43" i="35"/>
  <c r="N45" i="35"/>
  <c r="N40" i="35"/>
  <c r="N41" i="35"/>
  <c r="N21" i="35"/>
  <c r="N20" i="35"/>
  <c r="N48" i="35"/>
  <c r="N19" i="35"/>
  <c r="N18" i="35"/>
  <c r="N15" i="35"/>
  <c r="N13" i="35"/>
  <c r="N9" i="35"/>
  <c r="N42" i="35"/>
  <c r="N6" i="35"/>
  <c r="N34" i="35"/>
  <c r="N5" i="35"/>
  <c r="N26" i="35"/>
  <c r="N35" i="35"/>
  <c r="N25" i="35"/>
  <c r="N2" i="35"/>
  <c r="N47" i="35"/>
  <c r="N11" i="35"/>
  <c r="N39" i="35"/>
  <c r="N38" i="35"/>
  <c r="N44" i="35"/>
  <c r="N22" i="35"/>
  <c r="N23" i="35"/>
  <c r="N24" i="35"/>
  <c r="N31" i="35"/>
  <c r="N46" i="35"/>
  <c r="N29" i="35"/>
  <c r="N33" i="35"/>
  <c r="N12" i="35"/>
  <c r="N16" i="35"/>
  <c r="N27" i="35"/>
  <c r="N30" i="35"/>
  <c r="N4" i="35"/>
  <c r="N28" i="35"/>
  <c r="N10" i="35"/>
  <c r="N17" i="35"/>
  <c r="N36" i="35"/>
  <c r="N14" i="35"/>
  <c r="N7" i="35"/>
  <c r="N3" i="35"/>
  <c r="N37" i="35"/>
  <c r="N32" i="35"/>
  <c r="N8" i="35"/>
  <c r="F153" i="7"/>
  <c r="G153" i="7"/>
  <c r="H153" i="7"/>
  <c r="F59" i="61"/>
  <c r="G59" i="61"/>
  <c r="H59" i="61"/>
  <c r="F49" i="53"/>
  <c r="G49" i="53"/>
  <c r="H49" i="53"/>
  <c r="L264" i="38"/>
  <c r="L265" i="38"/>
  <c r="G264" i="38"/>
  <c r="G265" i="38"/>
  <c r="G266" i="38"/>
  <c r="D265" i="38"/>
  <c r="D266" i="38"/>
  <c r="E266" i="38"/>
  <c r="H266" i="38"/>
  <c r="K266" i="38"/>
  <c r="L266" i="38" s="1"/>
  <c r="M266" i="38"/>
  <c r="N266" i="38" s="1"/>
  <c r="R266" i="38"/>
  <c r="U266" i="38"/>
  <c r="F2" i="66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AE27" i="66"/>
  <c r="AD27" i="66"/>
  <c r="AE26" i="66"/>
  <c r="AD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H18" i="66"/>
  <c r="C18" i="66"/>
  <c r="Q2" i="66" s="1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K18" i="66"/>
  <c r="F18" i="66"/>
  <c r="F245" i="17"/>
  <c r="H245" i="17"/>
  <c r="G245" i="17"/>
  <c r="F126" i="17"/>
  <c r="K131" i="17"/>
  <c r="F2" i="65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55" i="65"/>
  <c r="F55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F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Q2" i="65"/>
  <c r="F2" i="64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AE28" i="64"/>
  <c r="AD28" i="64"/>
  <c r="AE27" i="64"/>
  <c r="AD27" i="64"/>
  <c r="AE26" i="64"/>
  <c r="AD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H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K18" i="64"/>
  <c r="AE3" i="64"/>
  <c r="AD3" i="64"/>
  <c r="AE2" i="64"/>
  <c r="AD2" i="64"/>
  <c r="Q2" i="64"/>
  <c r="Q5" i="64" s="1"/>
  <c r="F18" i="64"/>
  <c r="M19" i="66"/>
  <c r="K19" i="66"/>
  <c r="H19" i="66"/>
  <c r="F19" i="66"/>
  <c r="C19" i="66"/>
  <c r="M19" i="64"/>
  <c r="K19" i="64"/>
  <c r="H19" i="64"/>
  <c r="F19" i="64"/>
  <c r="C19" i="64"/>
  <c r="T266" i="38" l="1"/>
  <c r="V266" i="38"/>
  <c r="O266" i="38"/>
  <c r="Q8" i="66"/>
  <c r="Q7" i="66" s="1"/>
  <c r="Q3" i="66"/>
  <c r="Q6" i="66" s="1"/>
  <c r="Q5" i="66"/>
  <c r="M37" i="65"/>
  <c r="Q10" i="65" s="1"/>
  <c r="Q8" i="65"/>
  <c r="Q5" i="65"/>
  <c r="Q3" i="65"/>
  <c r="Q6" i="65" s="1"/>
  <c r="Q8" i="64"/>
  <c r="Q3" i="64"/>
  <c r="Q6" i="64" s="1"/>
  <c r="Q9" i="66" l="1"/>
  <c r="Q9" i="65"/>
  <c r="Q7" i="65"/>
  <c r="Q9" i="64"/>
  <c r="Q7" i="64"/>
  <c r="F74" i="49"/>
  <c r="H74" i="49"/>
  <c r="G74" i="49"/>
  <c r="F244" i="17" l="1"/>
  <c r="G244" i="17"/>
  <c r="H244" i="17"/>
  <c r="F92" i="31"/>
  <c r="G92" i="31"/>
  <c r="H92" i="31"/>
  <c r="F73" i="49"/>
  <c r="G73" i="49"/>
  <c r="H73" i="49"/>
  <c r="F38" i="62"/>
  <c r="G38" i="62"/>
  <c r="H38" i="62"/>
  <c r="F52" i="34"/>
  <c r="G52" i="34"/>
  <c r="H52" i="34"/>
  <c r="F58" i="61"/>
  <c r="G58" i="61"/>
  <c r="H58" i="61"/>
  <c r="E265" i="38"/>
  <c r="H265" i="38"/>
  <c r="K265" i="38"/>
  <c r="M265" i="38"/>
  <c r="T265" i="38" s="1"/>
  <c r="R265" i="38"/>
  <c r="M88" i="45"/>
  <c r="F64" i="51"/>
  <c r="G64" i="51"/>
  <c r="H64" i="51"/>
  <c r="F51" i="54"/>
  <c r="H51" i="54"/>
  <c r="G51" i="54"/>
  <c r="F353" i="25"/>
  <c r="H353" i="25"/>
  <c r="G353" i="25"/>
  <c r="K175" i="25"/>
  <c r="F152" i="7"/>
  <c r="H152" i="7"/>
  <c r="G152" i="7"/>
  <c r="K66" i="7"/>
  <c r="O265" i="38" l="1"/>
  <c r="N265" i="38"/>
  <c r="F72" i="49"/>
  <c r="G72" i="49"/>
  <c r="H72" i="49"/>
  <c r="F63" i="51"/>
  <c r="G63" i="51"/>
  <c r="H63" i="51"/>
  <c r="F91" i="31"/>
  <c r="G91" i="31"/>
  <c r="H91" i="31"/>
  <c r="F151" i="7"/>
  <c r="G151" i="7"/>
  <c r="H151" i="7"/>
  <c r="F57" i="61" l="1"/>
  <c r="H57" i="61"/>
  <c r="G57" i="61"/>
  <c r="D264" i="38"/>
  <c r="E264" i="38"/>
  <c r="H264" i="38"/>
  <c r="K264" i="38"/>
  <c r="M264" i="38"/>
  <c r="T264" i="38" s="1"/>
  <c r="R264" i="38"/>
  <c r="O264" i="38" l="1"/>
  <c r="P266" i="38" s="1"/>
  <c r="N264" i="38"/>
  <c r="F51" i="57"/>
  <c r="G51" i="57"/>
  <c r="H51" i="57"/>
  <c r="F352" i="25"/>
  <c r="H352" i="25"/>
  <c r="G352" i="25"/>
  <c r="F351" i="25"/>
  <c r="H351" i="25"/>
  <c r="G351" i="25"/>
  <c r="F174" i="25"/>
  <c r="F173" i="25"/>
  <c r="D263" i="38"/>
  <c r="E263" i="38"/>
  <c r="G263" i="38"/>
  <c r="H263" i="38"/>
  <c r="K263" i="38"/>
  <c r="L263" i="38" s="1"/>
  <c r="M263" i="38"/>
  <c r="T263" i="38" s="1"/>
  <c r="R263" i="38"/>
  <c r="O263" i="38" l="1"/>
  <c r="N263" i="38"/>
  <c r="F49" i="57" l="1"/>
  <c r="G49" i="57"/>
  <c r="H49" i="57"/>
  <c r="F50" i="57"/>
  <c r="G50" i="57"/>
  <c r="H50" i="57"/>
  <c r="F243" i="17"/>
  <c r="G243" i="17"/>
  <c r="H243" i="17"/>
  <c r="F37" i="62"/>
  <c r="G37" i="62"/>
  <c r="H37" i="62"/>
  <c r="F62" i="51"/>
  <c r="G62" i="51"/>
  <c r="H62" i="51"/>
  <c r="F90" i="31"/>
  <c r="G90" i="31"/>
  <c r="H90" i="31"/>
  <c r="F71" i="49"/>
  <c r="G71" i="49"/>
  <c r="H71" i="49"/>
  <c r="F56" i="61"/>
  <c r="G56" i="61"/>
  <c r="H56" i="61"/>
  <c r="F150" i="7"/>
  <c r="H150" i="7"/>
  <c r="G150" i="7"/>
  <c r="F350" i="25"/>
  <c r="H350" i="25"/>
  <c r="G350" i="25"/>
  <c r="F349" i="25"/>
  <c r="H349" i="25"/>
  <c r="G349" i="25"/>
  <c r="D262" i="38"/>
  <c r="E262" i="38"/>
  <c r="G262" i="38"/>
  <c r="H262" i="38"/>
  <c r="K262" i="38"/>
  <c r="L262" i="38" s="1"/>
  <c r="M262" i="38"/>
  <c r="T262" i="38" s="1"/>
  <c r="R262" i="38"/>
  <c r="F76" i="7"/>
  <c r="F172" i="25"/>
  <c r="F171" i="25"/>
  <c r="N262" i="38" l="1"/>
  <c r="O262" i="38"/>
  <c r="F242" i="17"/>
  <c r="G242" i="17"/>
  <c r="H242" i="17"/>
  <c r="F348" i="25"/>
  <c r="G348" i="25"/>
  <c r="H348" i="25"/>
  <c r="F36" i="62"/>
  <c r="G36" i="62"/>
  <c r="H36" i="62"/>
  <c r="F61" i="51"/>
  <c r="G61" i="51"/>
  <c r="H61" i="51"/>
  <c r="F70" i="49"/>
  <c r="G70" i="49"/>
  <c r="H70" i="49"/>
  <c r="F149" i="7"/>
  <c r="G149" i="7"/>
  <c r="H149" i="7"/>
  <c r="F55" i="61"/>
  <c r="G55" i="61"/>
  <c r="H55" i="61"/>
  <c r="F48" i="53"/>
  <c r="G48" i="53"/>
  <c r="H48" i="53"/>
  <c r="F16" i="31"/>
  <c r="F51" i="34"/>
  <c r="H51" i="34"/>
  <c r="G51" i="34"/>
  <c r="F10" i="34"/>
  <c r="H88" i="45"/>
  <c r="C88" i="45"/>
  <c r="F80" i="45"/>
  <c r="K79" i="45"/>
  <c r="F79" i="45"/>
  <c r="K78" i="45"/>
  <c r="F78" i="45"/>
  <c r="K77" i="45"/>
  <c r="F77" i="45"/>
  <c r="K76" i="45"/>
  <c r="F76" i="45"/>
  <c r="K75" i="45"/>
  <c r="F75" i="45"/>
  <c r="K74" i="45"/>
  <c r="F74" i="45"/>
  <c r="K73" i="45"/>
  <c r="F73" i="45"/>
  <c r="F72" i="45"/>
  <c r="M64" i="63"/>
  <c r="H64" i="63"/>
  <c r="C64" i="63"/>
  <c r="K49" i="63"/>
  <c r="F49" i="63"/>
  <c r="K48" i="63"/>
  <c r="K64" i="63" s="1"/>
  <c r="F48" i="63"/>
  <c r="G250" i="38"/>
  <c r="G251" i="38"/>
  <c r="G252" i="38"/>
  <c r="G253" i="38"/>
  <c r="G254" i="38"/>
  <c r="G255" i="38"/>
  <c r="G256" i="38"/>
  <c r="G257" i="38"/>
  <c r="G258" i="38"/>
  <c r="G259" i="38"/>
  <c r="G260" i="38"/>
  <c r="G261" i="38"/>
  <c r="D250" i="38"/>
  <c r="D251" i="38"/>
  <c r="D252" i="38"/>
  <c r="D253" i="38"/>
  <c r="D254" i="38"/>
  <c r="D255" i="38"/>
  <c r="D256" i="38"/>
  <c r="D257" i="38"/>
  <c r="D258" i="38"/>
  <c r="D259" i="38"/>
  <c r="D260" i="38"/>
  <c r="D261" i="38"/>
  <c r="E261" i="38"/>
  <c r="H261" i="38"/>
  <c r="K261" i="38"/>
  <c r="L261" i="38" s="1"/>
  <c r="M261" i="38"/>
  <c r="T261" i="38" s="1"/>
  <c r="R261" i="38"/>
  <c r="K89" i="45"/>
  <c r="C89" i="45"/>
  <c r="F65" i="63"/>
  <c r="K65" i="63"/>
  <c r="F89" i="45"/>
  <c r="H65" i="63"/>
  <c r="H89" i="45"/>
  <c r="M89" i="45"/>
  <c r="C65" i="63"/>
  <c r="M65" i="63"/>
  <c r="F88" i="45" l="1"/>
  <c r="K88" i="45"/>
  <c r="M70" i="45" s="1"/>
  <c r="Q10" i="45" s="1"/>
  <c r="F64" i="63"/>
  <c r="M46" i="63" s="1"/>
  <c r="Q10" i="63" s="1"/>
  <c r="N261" i="38"/>
  <c r="O261" i="38"/>
  <c r="F63" i="45" l="1"/>
  <c r="G63" i="45"/>
  <c r="H63" i="45"/>
  <c r="F151" i="25"/>
  <c r="F54" i="61"/>
  <c r="G54" i="61"/>
  <c r="H54" i="61"/>
  <c r="F33" i="63"/>
  <c r="G33" i="63"/>
  <c r="H33" i="63"/>
  <c r="E260" i="38" l="1"/>
  <c r="H260" i="38"/>
  <c r="K260" i="38"/>
  <c r="L260" i="38" s="1"/>
  <c r="M260" i="38"/>
  <c r="T260" i="38" s="1"/>
  <c r="R260" i="38"/>
  <c r="F75" i="7"/>
  <c r="K65" i="7"/>
  <c r="F347" i="25"/>
  <c r="H347" i="25"/>
  <c r="G347" i="25"/>
  <c r="F170" i="25"/>
  <c r="F169" i="25"/>
  <c r="H47" i="53"/>
  <c r="G47" i="53"/>
  <c r="F47" i="53"/>
  <c r="F2" i="53"/>
  <c r="F2" i="57"/>
  <c r="F89" i="31"/>
  <c r="G89" i="31"/>
  <c r="H89" i="31"/>
  <c r="F15" i="31"/>
  <c r="N260" i="38" l="1"/>
  <c r="O260" i="38"/>
  <c r="F62" i="45"/>
  <c r="G62" i="45"/>
  <c r="H62" i="45"/>
  <c r="F241" i="17"/>
  <c r="G241" i="17"/>
  <c r="H241" i="17"/>
  <c r="F346" i="25"/>
  <c r="G346" i="25"/>
  <c r="H346" i="25"/>
  <c r="F60" i="51"/>
  <c r="G60" i="51"/>
  <c r="H60" i="51"/>
  <c r="F88" i="31"/>
  <c r="G88" i="31"/>
  <c r="H88" i="31"/>
  <c r="F50" i="54"/>
  <c r="G50" i="54"/>
  <c r="H50" i="54"/>
  <c r="F50" i="34"/>
  <c r="G50" i="34"/>
  <c r="H50" i="34"/>
  <c r="F69" i="49"/>
  <c r="G69" i="49"/>
  <c r="H69" i="49"/>
  <c r="F53" i="61"/>
  <c r="G53" i="61"/>
  <c r="H53" i="61"/>
  <c r="E259" i="38" l="1"/>
  <c r="H259" i="38"/>
  <c r="R259" i="38"/>
  <c r="M259" i="38"/>
  <c r="N259" i="38" s="1"/>
  <c r="T259" i="38" l="1"/>
  <c r="F59" i="51"/>
  <c r="G59" i="51"/>
  <c r="H59" i="51"/>
  <c r="F87" i="31"/>
  <c r="G87" i="31"/>
  <c r="H87" i="31"/>
  <c r="F68" i="49"/>
  <c r="G68" i="49"/>
  <c r="H68" i="49"/>
  <c r="F148" i="7"/>
  <c r="G148" i="7"/>
  <c r="H148" i="7"/>
  <c r="F52" i="61"/>
  <c r="G52" i="61"/>
  <c r="H52" i="61"/>
  <c r="F32" i="63"/>
  <c r="G32" i="63"/>
  <c r="H32" i="63"/>
  <c r="F61" i="45"/>
  <c r="G61" i="45"/>
  <c r="H61" i="45"/>
  <c r="I258" i="38" l="1"/>
  <c r="K259" i="38" s="1"/>
  <c r="F345" i="25"/>
  <c r="H345" i="25"/>
  <c r="G345" i="25"/>
  <c r="E258" i="38"/>
  <c r="H258" i="38"/>
  <c r="K258" i="38"/>
  <c r="L258" i="38" s="1"/>
  <c r="M258" i="38"/>
  <c r="T258" i="38" s="1"/>
  <c r="R258" i="38"/>
  <c r="F168" i="25"/>
  <c r="L259" i="38" l="1"/>
  <c r="O259" i="38" s="1"/>
  <c r="O258" i="38"/>
  <c r="N258" i="38"/>
  <c r="F60" i="45" l="1"/>
  <c r="G60" i="45"/>
  <c r="H60" i="45"/>
  <c r="F35" i="62"/>
  <c r="G35" i="62"/>
  <c r="H35" i="62"/>
  <c r="F58" i="51"/>
  <c r="G58" i="51"/>
  <c r="H58" i="51"/>
  <c r="F86" i="31"/>
  <c r="G86" i="31"/>
  <c r="H86" i="31"/>
  <c r="F67" i="49"/>
  <c r="G67" i="49"/>
  <c r="H67" i="49"/>
  <c r="F51" i="61"/>
  <c r="G51" i="61"/>
  <c r="H51" i="61"/>
  <c r="F31" i="63"/>
  <c r="G31" i="63"/>
  <c r="H31" i="63"/>
  <c r="F344" i="25"/>
  <c r="H344" i="25"/>
  <c r="G344" i="25"/>
  <c r="K174" i="25"/>
  <c r="F343" i="25"/>
  <c r="H343" i="25"/>
  <c r="G343" i="25"/>
  <c r="K173" i="25"/>
  <c r="F342" i="25"/>
  <c r="H342" i="25"/>
  <c r="G342" i="25"/>
  <c r="K172" i="25"/>
  <c r="F60" i="7"/>
  <c r="F147" i="7"/>
  <c r="H147" i="7"/>
  <c r="G147" i="7"/>
  <c r="F146" i="7"/>
  <c r="G146" i="7"/>
  <c r="H146" i="7"/>
  <c r="K64" i="7"/>
  <c r="F74" i="7"/>
  <c r="E257" i="38"/>
  <c r="H257" i="38"/>
  <c r="K257" i="38"/>
  <c r="L257" i="38" s="1"/>
  <c r="M257" i="38"/>
  <c r="T257" i="38" s="1"/>
  <c r="R257" i="38"/>
  <c r="O257" i="38" l="1"/>
  <c r="N257" i="38"/>
  <c r="M51" i="24"/>
  <c r="H51" i="24"/>
  <c r="C51" i="24"/>
  <c r="F40" i="24"/>
  <c r="F39" i="24"/>
  <c r="F38" i="24"/>
  <c r="F37" i="24"/>
  <c r="K36" i="24"/>
  <c r="F36" i="24"/>
  <c r="K35" i="24"/>
  <c r="K51" i="24" s="1"/>
  <c r="F35" i="24"/>
  <c r="F51" i="24" l="1"/>
  <c r="M33" i="24" s="1"/>
  <c r="Q10" i="24" s="1"/>
  <c r="F240" i="17"/>
  <c r="G240" i="17"/>
  <c r="H240" i="17"/>
  <c r="F57" i="51"/>
  <c r="G57" i="51"/>
  <c r="H57" i="51"/>
  <c r="F49" i="54"/>
  <c r="G49" i="54"/>
  <c r="H49" i="54"/>
  <c r="F49" i="34"/>
  <c r="G49" i="34"/>
  <c r="H49" i="34"/>
  <c r="C18" i="34"/>
  <c r="F66" i="49"/>
  <c r="G66" i="49"/>
  <c r="H66" i="49"/>
  <c r="F50" i="61"/>
  <c r="G50" i="61"/>
  <c r="H50" i="61"/>
  <c r="D249" i="38"/>
  <c r="E256" i="38"/>
  <c r="H256" i="38"/>
  <c r="K256" i="38"/>
  <c r="L256" i="38" s="1"/>
  <c r="M256" i="38"/>
  <c r="T256" i="38" s="1"/>
  <c r="R256" i="38"/>
  <c r="M79" i="41"/>
  <c r="H79" i="41"/>
  <c r="C79" i="41"/>
  <c r="K66" i="41"/>
  <c r="F66" i="41"/>
  <c r="K65" i="41"/>
  <c r="F65" i="41"/>
  <c r="K64" i="41"/>
  <c r="F64" i="41"/>
  <c r="K63" i="41"/>
  <c r="F63" i="41"/>
  <c r="F145" i="7"/>
  <c r="H145" i="7"/>
  <c r="G145" i="7"/>
  <c r="F73" i="7"/>
  <c r="F341" i="25"/>
  <c r="H341" i="25"/>
  <c r="G341" i="25"/>
  <c r="F167" i="25"/>
  <c r="F340" i="25"/>
  <c r="H340" i="25"/>
  <c r="G340" i="25"/>
  <c r="F166" i="25"/>
  <c r="C80" i="41"/>
  <c r="H80" i="41"/>
  <c r="F80" i="41"/>
  <c r="K80" i="41"/>
  <c r="M80" i="41"/>
  <c r="F79" i="41" l="1"/>
  <c r="K79" i="41"/>
  <c r="N256" i="38"/>
  <c r="O256" i="38"/>
  <c r="F59" i="45"/>
  <c r="G59" i="45"/>
  <c r="H59" i="45"/>
  <c r="F239" i="17"/>
  <c r="G239" i="17"/>
  <c r="H239" i="17"/>
  <c r="F339" i="25"/>
  <c r="H339" i="25"/>
  <c r="G339" i="25"/>
  <c r="F34" i="62"/>
  <c r="G34" i="62"/>
  <c r="H34" i="62"/>
  <c r="F56" i="51"/>
  <c r="G56" i="51"/>
  <c r="H56" i="51"/>
  <c r="F85" i="31"/>
  <c r="G85" i="31"/>
  <c r="H85" i="31"/>
  <c r="F48" i="54"/>
  <c r="G48" i="54"/>
  <c r="H48" i="54"/>
  <c r="F65" i="49"/>
  <c r="G65" i="49"/>
  <c r="H65" i="49"/>
  <c r="F144" i="7"/>
  <c r="H144" i="7"/>
  <c r="G144" i="7"/>
  <c r="F49" i="61"/>
  <c r="G49" i="61"/>
  <c r="H49" i="61"/>
  <c r="M61" i="41" l="1"/>
  <c r="F72" i="7"/>
  <c r="K171" i="25"/>
  <c r="E255" i="38"/>
  <c r="H255" i="38"/>
  <c r="K255" i="38"/>
  <c r="L255" i="38" s="1"/>
  <c r="M255" i="38"/>
  <c r="T255" i="38" s="1"/>
  <c r="R255" i="38"/>
  <c r="N255" i="38" l="1"/>
  <c r="O255" i="38"/>
  <c r="H58" i="45"/>
  <c r="G58" i="45"/>
  <c r="F58" i="45"/>
  <c r="F42" i="41"/>
  <c r="G42" i="41"/>
  <c r="H42" i="41"/>
  <c r="F238" i="17"/>
  <c r="G238" i="17"/>
  <c r="H238" i="17"/>
  <c r="F55" i="51"/>
  <c r="G55" i="51"/>
  <c r="H55" i="51"/>
  <c r="F84" i="31"/>
  <c r="G84" i="31"/>
  <c r="H84" i="31"/>
  <c r="F47" i="54"/>
  <c r="G47" i="54"/>
  <c r="H47" i="54"/>
  <c r="F48" i="34"/>
  <c r="G48" i="34"/>
  <c r="H48" i="34"/>
  <c r="F64" i="49"/>
  <c r="G64" i="49"/>
  <c r="H64" i="49"/>
  <c r="F143" i="7"/>
  <c r="G143" i="7"/>
  <c r="H143" i="7"/>
  <c r="F48" i="61"/>
  <c r="G48" i="61"/>
  <c r="H48" i="61"/>
  <c r="F30" i="63"/>
  <c r="G30" i="63"/>
  <c r="H30" i="63"/>
  <c r="M254" i="38"/>
  <c r="T254" i="38" s="1"/>
  <c r="E254" i="38"/>
  <c r="H254" i="38"/>
  <c r="K254" i="38"/>
  <c r="L254" i="38" s="1"/>
  <c r="R254" i="38"/>
  <c r="F338" i="25"/>
  <c r="H338" i="25"/>
  <c r="G338" i="25"/>
  <c r="K170" i="25"/>
  <c r="K169" i="25"/>
  <c r="K168" i="25"/>
  <c r="K167" i="25"/>
  <c r="M237" i="38"/>
  <c r="O254" i="38" l="1"/>
  <c r="N254" i="38"/>
  <c r="F33" i="62"/>
  <c r="G33" i="62"/>
  <c r="H33" i="62"/>
  <c r="F83" i="31"/>
  <c r="G83" i="31"/>
  <c r="H83" i="31"/>
  <c r="F63" i="49"/>
  <c r="G63" i="49"/>
  <c r="H63" i="49"/>
  <c r="F47" i="61"/>
  <c r="H47" i="61"/>
  <c r="G47" i="61"/>
  <c r="K4" i="61"/>
  <c r="F54" i="51"/>
  <c r="H54" i="51"/>
  <c r="G54" i="51"/>
  <c r="F13" i="51"/>
  <c r="C18" i="51"/>
  <c r="F237" i="17"/>
  <c r="H237" i="17"/>
  <c r="G237" i="17"/>
  <c r="F125" i="17"/>
  <c r="K130" i="17"/>
  <c r="E253" i="38"/>
  <c r="H253" i="38"/>
  <c r="M253" i="38"/>
  <c r="T253" i="38" s="1"/>
  <c r="R253" i="38"/>
  <c r="F337" i="25"/>
  <c r="H337" i="25"/>
  <c r="G337" i="25"/>
  <c r="F165" i="25"/>
  <c r="K166" i="25"/>
  <c r="K165" i="25"/>
  <c r="K164" i="25"/>
  <c r="N253" i="38" l="1"/>
  <c r="M81" i="50"/>
  <c r="H81" i="50"/>
  <c r="C81" i="50"/>
  <c r="K69" i="50"/>
  <c r="F69" i="50"/>
  <c r="K68" i="50"/>
  <c r="F68" i="50"/>
  <c r="F67" i="50"/>
  <c r="F66" i="50"/>
  <c r="K65" i="50"/>
  <c r="F65" i="50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F32" i="62"/>
  <c r="H32" i="62"/>
  <c r="G32" i="62"/>
  <c r="G53" i="51"/>
  <c r="F53" i="51"/>
  <c r="H53" i="51"/>
  <c r="M94" i="52"/>
  <c r="M82" i="50"/>
  <c r="K82" i="50"/>
  <c r="H82" i="50"/>
  <c r="C94" i="52"/>
  <c r="C82" i="50"/>
  <c r="F82" i="50"/>
  <c r="H94" i="52"/>
  <c r="F94" i="52"/>
  <c r="K94" i="52"/>
  <c r="K81" i="50" l="1"/>
  <c r="F93" i="52"/>
  <c r="K93" i="52"/>
  <c r="F81" i="50"/>
  <c r="I252" i="38"/>
  <c r="E252" i="38"/>
  <c r="H252" i="38"/>
  <c r="F336" i="25"/>
  <c r="H336" i="25"/>
  <c r="G336" i="25"/>
  <c r="K163" i="25"/>
  <c r="M75" i="52" l="1"/>
  <c r="Q10" i="52" s="1"/>
  <c r="K252" i="38"/>
  <c r="L252" i="38" s="1"/>
  <c r="K253" i="38"/>
  <c r="L253" i="38" s="1"/>
  <c r="M252" i="38"/>
  <c r="M63" i="50"/>
  <c r="Q10" i="50" s="1"/>
  <c r="F41" i="41"/>
  <c r="H41" i="41"/>
  <c r="G41" i="41"/>
  <c r="O253" i="38" l="1"/>
  <c r="O252" i="38"/>
  <c r="N252" i="38"/>
  <c r="F236" i="17"/>
  <c r="G236" i="17"/>
  <c r="H236" i="17"/>
  <c r="F335" i="25"/>
  <c r="H335" i="25"/>
  <c r="G335" i="25"/>
  <c r="F52" i="51"/>
  <c r="G52" i="51"/>
  <c r="H52" i="51"/>
  <c r="F82" i="31"/>
  <c r="G82" i="31"/>
  <c r="H82" i="31"/>
  <c r="F46" i="54"/>
  <c r="H46" i="54"/>
  <c r="G46" i="54"/>
  <c r="F47" i="34"/>
  <c r="H47" i="34"/>
  <c r="G47" i="34"/>
  <c r="F62" i="49"/>
  <c r="H62" i="49"/>
  <c r="G62" i="49"/>
  <c r="F142" i="7"/>
  <c r="G142" i="7"/>
  <c r="H142" i="7"/>
  <c r="F46" i="61"/>
  <c r="H46" i="61"/>
  <c r="G46" i="61"/>
  <c r="G248" i="38"/>
  <c r="G249" i="38"/>
  <c r="D248" i="38"/>
  <c r="M18" i="51"/>
  <c r="H18" i="51"/>
  <c r="K251" i="38"/>
  <c r="L251" i="38" s="1"/>
  <c r="M251" i="38"/>
  <c r="N251" i="38" s="1"/>
  <c r="R251" i="38"/>
  <c r="H251" i="38"/>
  <c r="E251" i="38"/>
  <c r="K3" i="61"/>
  <c r="K129" i="17"/>
  <c r="F6" i="62"/>
  <c r="K162" i="25"/>
  <c r="F164" i="25"/>
  <c r="F9" i="34"/>
  <c r="K6" i="51"/>
  <c r="K128" i="17"/>
  <c r="K127" i="17"/>
  <c r="T251" i="38" l="1"/>
  <c r="O251" i="38"/>
  <c r="F12" i="51" l="1"/>
  <c r="K126" i="17"/>
  <c r="F334" i="25"/>
  <c r="H334" i="25"/>
  <c r="G334" i="25"/>
  <c r="K161" i="25"/>
  <c r="C19" i="45"/>
  <c r="G235" i="17" l="1"/>
  <c r="F235" i="17"/>
  <c r="H235" i="17"/>
  <c r="F31" i="62"/>
  <c r="G31" i="62"/>
  <c r="H31" i="62"/>
  <c r="F81" i="31"/>
  <c r="G81" i="31"/>
  <c r="H81" i="31"/>
  <c r="F45" i="54"/>
  <c r="G45" i="54"/>
  <c r="H45" i="54"/>
  <c r="F141" i="7"/>
  <c r="G141" i="7"/>
  <c r="H141" i="7"/>
  <c r="F45" i="61"/>
  <c r="G45" i="61"/>
  <c r="H45" i="61"/>
  <c r="F29" i="63"/>
  <c r="G29" i="63"/>
  <c r="H29" i="63"/>
  <c r="F46" i="34"/>
  <c r="H46" i="34"/>
  <c r="G46" i="34"/>
  <c r="H18" i="34"/>
  <c r="E250" i="38"/>
  <c r="H250" i="38"/>
  <c r="K250" i="38"/>
  <c r="L250" i="38" s="1"/>
  <c r="M250" i="38"/>
  <c r="T250" i="38" s="1"/>
  <c r="R250" i="38"/>
  <c r="K5" i="34"/>
  <c r="N250" i="38" l="1"/>
  <c r="O250" i="38"/>
  <c r="F44" i="61"/>
  <c r="H44" i="61"/>
  <c r="G44" i="61"/>
  <c r="E249" i="38"/>
  <c r="H249" i="38"/>
  <c r="K249" i="38"/>
  <c r="L249" i="38" s="1"/>
  <c r="M249" i="38"/>
  <c r="T249" i="38" s="1"/>
  <c r="R249" i="38"/>
  <c r="F140" i="7"/>
  <c r="H140" i="7"/>
  <c r="G140" i="7"/>
  <c r="F71" i="7"/>
  <c r="F70" i="7"/>
  <c r="O249" i="38" l="1"/>
  <c r="N249" i="38"/>
  <c r="G240" i="38"/>
  <c r="G241" i="38"/>
  <c r="G242" i="38"/>
  <c r="G243" i="38"/>
  <c r="G244" i="38"/>
  <c r="G245" i="38"/>
  <c r="G246" i="38"/>
  <c r="G247" i="38"/>
  <c r="D241" i="38"/>
  <c r="D242" i="38"/>
  <c r="D243" i="38"/>
  <c r="D244" i="38"/>
  <c r="D245" i="38"/>
  <c r="D246" i="38"/>
  <c r="D247" i="38"/>
  <c r="E248" i="38"/>
  <c r="H248" i="38"/>
  <c r="K248" i="38"/>
  <c r="L248" i="38" s="1"/>
  <c r="M248" i="38"/>
  <c r="T248" i="38" s="1"/>
  <c r="R248" i="38"/>
  <c r="N248" i="38" l="1"/>
  <c r="O248" i="38"/>
  <c r="F139" i="7"/>
  <c r="H139" i="7"/>
  <c r="G139" i="7"/>
  <c r="F69" i="7"/>
  <c r="F333" i="25" l="1"/>
  <c r="H333" i="25"/>
  <c r="G333" i="25"/>
  <c r="K160" i="25"/>
  <c r="E247" i="38"/>
  <c r="H247" i="38"/>
  <c r="K247" i="38"/>
  <c r="L247" i="38" s="1"/>
  <c r="M247" i="38"/>
  <c r="T247" i="38" s="1"/>
  <c r="R247" i="38"/>
  <c r="F332" i="25"/>
  <c r="H332" i="25"/>
  <c r="G332" i="25"/>
  <c r="K159" i="25"/>
  <c r="F40" i="41"/>
  <c r="G40" i="41"/>
  <c r="H40" i="41"/>
  <c r="F57" i="45"/>
  <c r="H57" i="45"/>
  <c r="G57" i="45"/>
  <c r="G234" i="17"/>
  <c r="F234" i="17"/>
  <c r="H234" i="17"/>
  <c r="O247" i="38" l="1"/>
  <c r="N247" i="38"/>
  <c r="F57" i="52" l="1"/>
  <c r="H57" i="52"/>
  <c r="G57" i="52"/>
  <c r="K125" i="17"/>
  <c r="F331" i="25" l="1"/>
  <c r="H331" i="25"/>
  <c r="G331" i="25"/>
  <c r="K158" i="25"/>
  <c r="F233" i="17"/>
  <c r="H233" i="17"/>
  <c r="G233" i="17"/>
  <c r="K124" i="17"/>
  <c r="F43" i="61"/>
  <c r="H43" i="61"/>
  <c r="G43" i="61"/>
  <c r="F42" i="61"/>
  <c r="H42" i="61"/>
  <c r="G42" i="61"/>
  <c r="F5" i="61"/>
  <c r="F4" i="61"/>
  <c r="F51" i="51"/>
  <c r="H51" i="51"/>
  <c r="G51" i="51"/>
  <c r="F11" i="51"/>
  <c r="F138" i="7"/>
  <c r="H138" i="7"/>
  <c r="G138" i="7"/>
  <c r="F68" i="7"/>
  <c r="F45" i="34"/>
  <c r="H45" i="34"/>
  <c r="G45" i="34"/>
  <c r="F8" i="34"/>
  <c r="E246" i="38"/>
  <c r="H246" i="38"/>
  <c r="K246" i="38"/>
  <c r="L246" i="38" s="1"/>
  <c r="M246" i="38"/>
  <c r="T246" i="38" s="1"/>
  <c r="R246" i="38"/>
  <c r="N246" i="38" l="1"/>
  <c r="O246" i="38"/>
  <c r="E245" i="38"/>
  <c r="H245" i="38"/>
  <c r="K245" i="38"/>
  <c r="M245" i="38"/>
  <c r="T245" i="38" s="1"/>
  <c r="R245" i="38"/>
  <c r="F330" i="25"/>
  <c r="G330" i="25"/>
  <c r="H330" i="25"/>
  <c r="F163" i="25"/>
  <c r="L245" i="38" l="1"/>
  <c r="O245" i="38" s="1"/>
  <c r="N245" i="38"/>
  <c r="F56" i="45"/>
  <c r="G56" i="45"/>
  <c r="H56" i="45"/>
  <c r="F56" i="52"/>
  <c r="G56" i="52"/>
  <c r="H56" i="52"/>
  <c r="F39" i="41"/>
  <c r="G39" i="41"/>
  <c r="H39" i="41"/>
  <c r="G232" i="17" l="1"/>
  <c r="F232" i="17"/>
  <c r="H232" i="17"/>
  <c r="F30" i="62"/>
  <c r="G30" i="62"/>
  <c r="H30" i="62"/>
  <c r="F44" i="54"/>
  <c r="G44" i="54"/>
  <c r="H44" i="54"/>
  <c r="F137" i="7"/>
  <c r="G137" i="7"/>
  <c r="H137" i="7"/>
  <c r="F41" i="61"/>
  <c r="H41" i="61"/>
  <c r="G41" i="61"/>
  <c r="F28" i="63"/>
  <c r="G28" i="63"/>
  <c r="H28" i="63"/>
  <c r="F61" i="49" l="1"/>
  <c r="H61" i="49"/>
  <c r="G61" i="49"/>
  <c r="F18" i="49"/>
  <c r="C29" i="49"/>
  <c r="F50" i="51"/>
  <c r="H50" i="51"/>
  <c r="G50" i="51"/>
  <c r="F10" i="51"/>
  <c r="F329" i="25"/>
  <c r="H329" i="25"/>
  <c r="G329" i="25"/>
  <c r="F162" i="25"/>
  <c r="F124" i="17"/>
  <c r="M74" i="58"/>
  <c r="H74" i="58"/>
  <c r="C74" i="58"/>
  <c r="K58" i="58"/>
  <c r="K74" i="58" s="1"/>
  <c r="F58" i="58"/>
  <c r="F74" i="58" s="1"/>
  <c r="E244" i="38"/>
  <c r="H244" i="38"/>
  <c r="K244" i="38"/>
  <c r="L244" i="38" s="1"/>
  <c r="M244" i="38"/>
  <c r="N244" i="38" s="1"/>
  <c r="R244" i="38"/>
  <c r="H75" i="58"/>
  <c r="F75" i="58"/>
  <c r="K75" i="58"/>
  <c r="C75" i="58"/>
  <c r="M75" i="58"/>
  <c r="M56" i="58" l="1"/>
  <c r="Q10" i="58" s="1"/>
  <c r="O244" i="38"/>
  <c r="T244" i="38"/>
  <c r="F328" i="25" l="1"/>
  <c r="H328" i="25"/>
  <c r="G328" i="25"/>
  <c r="D233" i="38"/>
  <c r="D234" i="38"/>
  <c r="D235" i="38"/>
  <c r="D236" i="38"/>
  <c r="D237" i="38"/>
  <c r="D238" i="38"/>
  <c r="D239" i="38"/>
  <c r="D240" i="38"/>
  <c r="G236" i="38"/>
  <c r="G237" i="38"/>
  <c r="G238" i="38"/>
  <c r="G239" i="38"/>
  <c r="E243" i="38"/>
  <c r="H243" i="38"/>
  <c r="K243" i="38"/>
  <c r="L243" i="38" s="1"/>
  <c r="M243" i="38"/>
  <c r="T243" i="38" s="1"/>
  <c r="R243" i="38"/>
  <c r="F161" i="25"/>
  <c r="O243" i="38" l="1"/>
  <c r="N243" i="38"/>
  <c r="M79" i="57" l="1"/>
  <c r="H79" i="57"/>
  <c r="C79" i="57"/>
  <c r="K68" i="57"/>
  <c r="F68" i="57"/>
  <c r="K67" i="57"/>
  <c r="F67" i="57"/>
  <c r="K66" i="57"/>
  <c r="F66" i="57"/>
  <c r="K65" i="57"/>
  <c r="F65" i="57"/>
  <c r="K64" i="57"/>
  <c r="F64" i="57"/>
  <c r="K63" i="57"/>
  <c r="F63" i="57"/>
  <c r="C80" i="57"/>
  <c r="H80" i="57"/>
  <c r="F80" i="57"/>
  <c r="M80" i="57"/>
  <c r="K80" i="57"/>
  <c r="K79" i="57" l="1"/>
  <c r="F79" i="57"/>
  <c r="F55" i="52"/>
  <c r="G55" i="52"/>
  <c r="H55" i="52"/>
  <c r="F42" i="50"/>
  <c r="G42" i="50"/>
  <c r="H42" i="50"/>
  <c r="F37" i="58"/>
  <c r="G37" i="58"/>
  <c r="H37" i="58"/>
  <c r="F29" i="62"/>
  <c r="G29" i="62"/>
  <c r="H29" i="62"/>
  <c r="F5" i="54"/>
  <c r="F13" i="49"/>
  <c r="F136" i="7"/>
  <c r="H136" i="7"/>
  <c r="G136" i="7"/>
  <c r="K63" i="7"/>
  <c r="F46" i="57"/>
  <c r="H46" i="57"/>
  <c r="G46" i="57"/>
  <c r="F80" i="31"/>
  <c r="H80" i="31"/>
  <c r="G80" i="31"/>
  <c r="F14" i="31"/>
  <c r="F27" i="63"/>
  <c r="G27" i="63"/>
  <c r="H27" i="63"/>
  <c r="H60" i="49"/>
  <c r="G60" i="49"/>
  <c r="F60" i="49"/>
  <c r="F135" i="7"/>
  <c r="H135" i="7"/>
  <c r="G135" i="7"/>
  <c r="F67" i="7"/>
  <c r="F17" i="49"/>
  <c r="E242" i="38"/>
  <c r="H242" i="38"/>
  <c r="K242" i="38"/>
  <c r="L242" i="38" s="1"/>
  <c r="M242" i="38"/>
  <c r="T242" i="38" s="1"/>
  <c r="R242" i="38"/>
  <c r="M66" i="60"/>
  <c r="H66" i="60"/>
  <c r="C66" i="60"/>
  <c r="K50" i="60"/>
  <c r="K66" i="60" s="1"/>
  <c r="F50" i="60"/>
  <c r="F66" i="60" s="1"/>
  <c r="M81" i="53"/>
  <c r="H81" i="53"/>
  <c r="C81" i="53"/>
  <c r="K68" i="53"/>
  <c r="F68" i="53"/>
  <c r="K67" i="53"/>
  <c r="F67" i="53"/>
  <c r="K66" i="53"/>
  <c r="F66" i="53"/>
  <c r="K65" i="53"/>
  <c r="F65" i="53"/>
  <c r="F327" i="25"/>
  <c r="G327" i="25"/>
  <c r="H327" i="25"/>
  <c r="K157" i="25"/>
  <c r="F40" i="61"/>
  <c r="H40" i="61"/>
  <c r="G40" i="61"/>
  <c r="F3" i="61"/>
  <c r="M71" i="59"/>
  <c r="H71" i="59"/>
  <c r="C71" i="59"/>
  <c r="K56" i="59"/>
  <c r="K55" i="59"/>
  <c r="F55" i="59"/>
  <c r="F71" i="59" s="1"/>
  <c r="F9" i="51"/>
  <c r="F59" i="49"/>
  <c r="G59" i="49"/>
  <c r="H59" i="49"/>
  <c r="F134" i="7"/>
  <c r="H134" i="7"/>
  <c r="F231" i="17"/>
  <c r="G231" i="17"/>
  <c r="H231" i="17"/>
  <c r="F326" i="25"/>
  <c r="G326" i="25"/>
  <c r="H326" i="25"/>
  <c r="F160" i="25"/>
  <c r="F123" i="17"/>
  <c r="G134" i="7"/>
  <c r="K12" i="49"/>
  <c r="F66" i="7"/>
  <c r="K156" i="25"/>
  <c r="F44" i="34"/>
  <c r="G44" i="34"/>
  <c r="H44" i="34"/>
  <c r="C72" i="59"/>
  <c r="C82" i="53"/>
  <c r="M82" i="53"/>
  <c r="C67" i="60"/>
  <c r="H67" i="60"/>
  <c r="F67" i="60"/>
  <c r="F72" i="59"/>
  <c r="M67" i="60"/>
  <c r="H72" i="59"/>
  <c r="F82" i="53"/>
  <c r="K82" i="53"/>
  <c r="H82" i="53"/>
  <c r="K72" i="59"/>
  <c r="K67" i="60"/>
  <c r="M72" i="59"/>
  <c r="M61" i="57" l="1"/>
  <c r="Q10" i="57" s="1"/>
  <c r="F81" i="53"/>
  <c r="O242" i="38"/>
  <c r="M48" i="60"/>
  <c r="Q10" i="60" s="1"/>
  <c r="K81" i="53"/>
  <c r="N242" i="38"/>
  <c r="K71" i="59"/>
  <c r="M53" i="59" s="1"/>
  <c r="Q10" i="59" s="1"/>
  <c r="H43" i="54"/>
  <c r="G43" i="54"/>
  <c r="F43" i="54"/>
  <c r="E241" i="38"/>
  <c r="H241" i="38"/>
  <c r="M241" i="38"/>
  <c r="N241" i="38" s="1"/>
  <c r="R241" i="38"/>
  <c r="F230" i="17"/>
  <c r="H230" i="17"/>
  <c r="G230" i="17"/>
  <c r="F122" i="17"/>
  <c r="H49" i="51"/>
  <c r="G49" i="51"/>
  <c r="F49" i="51"/>
  <c r="H48" i="51"/>
  <c r="G48" i="51"/>
  <c r="F48" i="51"/>
  <c r="F7" i="51"/>
  <c r="F8" i="51"/>
  <c r="M63" i="53" l="1"/>
  <c r="Q10" i="53" s="1"/>
  <c r="T241" i="38"/>
  <c r="F26" i="63"/>
  <c r="G26" i="63"/>
  <c r="H26" i="63"/>
  <c r="M19" i="57"/>
  <c r="C19" i="57"/>
  <c r="H19" i="57"/>
  <c r="I240" i="38" l="1"/>
  <c r="K241" i="38" s="1"/>
  <c r="L241" i="38" s="1"/>
  <c r="F325" i="25"/>
  <c r="H325" i="25"/>
  <c r="G325" i="25"/>
  <c r="F159" i="25"/>
  <c r="F229" i="17"/>
  <c r="G229" i="17"/>
  <c r="H229" i="17"/>
  <c r="F121" i="17"/>
  <c r="F133" i="7"/>
  <c r="G133" i="7"/>
  <c r="H133" i="7"/>
  <c r="F65" i="7"/>
  <c r="E240" i="38"/>
  <c r="H240" i="38"/>
  <c r="K240" i="38" l="1"/>
  <c r="L240" i="38" s="1"/>
  <c r="O240" i="38" s="1"/>
  <c r="R240" i="38"/>
  <c r="M240" i="38"/>
  <c r="T240" i="38" s="1"/>
  <c r="O241" i="38"/>
  <c r="F54" i="52"/>
  <c r="G54" i="52"/>
  <c r="H54" i="52"/>
  <c r="F38" i="41"/>
  <c r="G38" i="41"/>
  <c r="H38" i="41"/>
  <c r="F45" i="57"/>
  <c r="G45" i="57"/>
  <c r="H45" i="57"/>
  <c r="F41" i="50"/>
  <c r="G41" i="50"/>
  <c r="H41" i="50"/>
  <c r="F324" i="25"/>
  <c r="G324" i="25"/>
  <c r="H324" i="25"/>
  <c r="F36" i="58"/>
  <c r="G36" i="58"/>
  <c r="H36" i="58"/>
  <c r="F28" i="62"/>
  <c r="G28" i="62"/>
  <c r="H28" i="62"/>
  <c r="F47" i="51"/>
  <c r="G47" i="51"/>
  <c r="H47" i="51"/>
  <c r="F43" i="34"/>
  <c r="G43" i="34"/>
  <c r="H43" i="34"/>
  <c r="F58" i="49"/>
  <c r="G58" i="49"/>
  <c r="H58" i="49"/>
  <c r="F228" i="17"/>
  <c r="G228" i="17"/>
  <c r="H228" i="17"/>
  <c r="H85" i="3"/>
  <c r="K83" i="3"/>
  <c r="K82" i="3"/>
  <c r="F82" i="3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M73" i="55"/>
  <c r="H73" i="55"/>
  <c r="C73" i="55"/>
  <c r="K60" i="55"/>
  <c r="K59" i="55"/>
  <c r="F59" i="55"/>
  <c r="K58" i="55"/>
  <c r="F58" i="55"/>
  <c r="K57" i="55"/>
  <c r="F57" i="55"/>
  <c r="E239" i="38"/>
  <c r="H239" i="38"/>
  <c r="K239" i="38"/>
  <c r="L239" i="38" s="1"/>
  <c r="M239" i="38"/>
  <c r="T239" i="38" s="1"/>
  <c r="R239" i="38"/>
  <c r="F42" i="54"/>
  <c r="H42" i="54"/>
  <c r="G42" i="54"/>
  <c r="H18" i="54"/>
  <c r="K4" i="54"/>
  <c r="F45" i="53"/>
  <c r="H45" i="53"/>
  <c r="G45" i="53"/>
  <c r="F37" i="59"/>
  <c r="G37" i="59"/>
  <c r="H37" i="59"/>
  <c r="F39" i="61"/>
  <c r="H39" i="61"/>
  <c r="G39" i="61"/>
  <c r="K2" i="61"/>
  <c r="F79" i="31"/>
  <c r="G79" i="31"/>
  <c r="H79" i="31"/>
  <c r="F13" i="31"/>
  <c r="K123" i="17"/>
  <c r="K122" i="17"/>
  <c r="K155" i="25"/>
  <c r="F41" i="55"/>
  <c r="G41" i="55"/>
  <c r="H41" i="55"/>
  <c r="F18" i="63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AE48" i="63"/>
  <c r="AD48" i="63"/>
  <c r="P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AE32" i="63"/>
  <c r="AD32" i="63"/>
  <c r="AE31" i="63"/>
  <c r="AD31" i="63"/>
  <c r="AE30" i="63"/>
  <c r="AD30" i="63"/>
  <c r="AE29" i="63"/>
  <c r="AD29" i="63"/>
  <c r="AE28" i="63"/>
  <c r="AD28" i="63"/>
  <c r="AE27" i="63"/>
  <c r="AD27" i="63"/>
  <c r="AE26" i="63"/>
  <c r="AD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M19" i="63"/>
  <c r="C19" i="63"/>
  <c r="F19" i="63"/>
  <c r="K19" i="63"/>
  <c r="H19" i="63"/>
  <c r="N240" i="38" l="1"/>
  <c r="K73" i="55"/>
  <c r="Q2" i="63"/>
  <c r="Q3" i="63" s="1"/>
  <c r="Q6" i="63" s="1"/>
  <c r="F73" i="55"/>
  <c r="M55" i="55" s="1"/>
  <c r="Q10" i="55" s="1"/>
  <c r="N239" i="38"/>
  <c r="O239" i="38"/>
  <c r="Q8" i="63" l="1"/>
  <c r="Q7" i="63" s="1"/>
  <c r="Q5" i="63"/>
  <c r="F55" i="45"/>
  <c r="G55" i="45"/>
  <c r="H55" i="45"/>
  <c r="F36" i="59"/>
  <c r="G36" i="59"/>
  <c r="H36" i="59"/>
  <c r="F53" i="52"/>
  <c r="G53" i="52"/>
  <c r="H53" i="52"/>
  <c r="F44" i="57"/>
  <c r="G44" i="57"/>
  <c r="H44" i="57"/>
  <c r="F35" i="58"/>
  <c r="G35" i="58"/>
  <c r="H35" i="58"/>
  <c r="F46" i="51"/>
  <c r="G46" i="51"/>
  <c r="H46" i="51"/>
  <c r="F78" i="31"/>
  <c r="G78" i="31"/>
  <c r="H78" i="31"/>
  <c r="F42" i="34"/>
  <c r="G42" i="34"/>
  <c r="H42" i="34"/>
  <c r="F38" i="61"/>
  <c r="G38" i="61"/>
  <c r="H38" i="61"/>
  <c r="F35" i="60"/>
  <c r="G35" i="60"/>
  <c r="H35" i="60"/>
  <c r="F40" i="55"/>
  <c r="G40" i="55"/>
  <c r="H40" i="55"/>
  <c r="F323" i="25"/>
  <c r="H323" i="25"/>
  <c r="G323" i="25"/>
  <c r="F158" i="25"/>
  <c r="F227" i="17"/>
  <c r="G227" i="17"/>
  <c r="H227" i="17"/>
  <c r="K121" i="17"/>
  <c r="F27" i="62"/>
  <c r="G27" i="62"/>
  <c r="H27" i="62"/>
  <c r="F5" i="62"/>
  <c r="G232" i="38"/>
  <c r="G233" i="38"/>
  <c r="G234" i="38"/>
  <c r="G235" i="38"/>
  <c r="D230" i="38"/>
  <c r="D231" i="38"/>
  <c r="D232" i="38"/>
  <c r="E238" i="38"/>
  <c r="H238" i="38"/>
  <c r="K238" i="38"/>
  <c r="L238" i="38" s="1"/>
  <c r="M238" i="38"/>
  <c r="T238" i="38" s="1"/>
  <c r="R238" i="38"/>
  <c r="Q9" i="63" l="1"/>
  <c r="N238" i="38"/>
  <c r="O238" i="38"/>
  <c r="R237" i="38" l="1"/>
  <c r="P51" i="49"/>
  <c r="F52" i="52"/>
  <c r="G52" i="52"/>
  <c r="H52" i="52"/>
  <c r="F37" i="41"/>
  <c r="G37" i="41"/>
  <c r="H37" i="41"/>
  <c r="F43" i="57"/>
  <c r="G43" i="57"/>
  <c r="H43" i="57"/>
  <c r="F26" i="62"/>
  <c r="G26" i="62"/>
  <c r="H26" i="62"/>
  <c r="F77" i="31"/>
  <c r="G77" i="31"/>
  <c r="H77" i="31"/>
  <c r="F41" i="54"/>
  <c r="G41" i="54"/>
  <c r="H41" i="54"/>
  <c r="F57" i="49"/>
  <c r="G57" i="49"/>
  <c r="H57" i="49"/>
  <c r="F37" i="61"/>
  <c r="G37" i="61"/>
  <c r="H37" i="61"/>
  <c r="G44" i="53"/>
  <c r="F34" i="60"/>
  <c r="G34" i="60"/>
  <c r="H34" i="60"/>
  <c r="F322" i="25" l="1"/>
  <c r="G322" i="25"/>
  <c r="H322" i="25"/>
  <c r="F157" i="25"/>
  <c r="E237" i="38"/>
  <c r="H237" i="38"/>
  <c r="N237" i="38" l="1"/>
  <c r="T237" i="38"/>
  <c r="F54" i="45"/>
  <c r="G54" i="45"/>
  <c r="H54" i="45"/>
  <c r="F35" i="59"/>
  <c r="G35" i="59"/>
  <c r="H35" i="59"/>
  <c r="F51" i="52"/>
  <c r="G51" i="52"/>
  <c r="H51" i="52"/>
  <c r="F36" i="41"/>
  <c r="G36" i="41"/>
  <c r="H36" i="41"/>
  <c r="F42" i="57"/>
  <c r="G42" i="57"/>
  <c r="H42" i="57"/>
  <c r="F40" i="50"/>
  <c r="G40" i="50"/>
  <c r="H40" i="50"/>
  <c r="F226" i="17"/>
  <c r="G226" i="17"/>
  <c r="H226" i="17"/>
  <c r="F34" i="58"/>
  <c r="G34" i="58"/>
  <c r="H34" i="58"/>
  <c r="AD4" i="62"/>
  <c r="AE4" i="62"/>
  <c r="AD5" i="62"/>
  <c r="AE5" i="62"/>
  <c r="AD6" i="62"/>
  <c r="AE6" i="62"/>
  <c r="AD7" i="62"/>
  <c r="AE7" i="62"/>
  <c r="AD8" i="62"/>
  <c r="AE8" i="62"/>
  <c r="AD9" i="62"/>
  <c r="AE9" i="62"/>
  <c r="AD10" i="62"/>
  <c r="AE10" i="62"/>
  <c r="AD11" i="62"/>
  <c r="AE11" i="62"/>
  <c r="AD12" i="62"/>
  <c r="AE12" i="62"/>
  <c r="AD13" i="62"/>
  <c r="AE13" i="62"/>
  <c r="AD14" i="62"/>
  <c r="AE14" i="62"/>
  <c r="AD15" i="62"/>
  <c r="AE15" i="62"/>
  <c r="AD16" i="62"/>
  <c r="AE16" i="62"/>
  <c r="AD17" i="62"/>
  <c r="AE17" i="62"/>
  <c r="AD18" i="62"/>
  <c r="AE18" i="62"/>
  <c r="AD19" i="62"/>
  <c r="AE19" i="62"/>
  <c r="AD20" i="62"/>
  <c r="AE20" i="62"/>
  <c r="AD21" i="62"/>
  <c r="AE21" i="62"/>
  <c r="AD22" i="62"/>
  <c r="AE22" i="62"/>
  <c r="AD23" i="62"/>
  <c r="AE23" i="62"/>
  <c r="AD24" i="62"/>
  <c r="AE24" i="62"/>
  <c r="AD25" i="62"/>
  <c r="AE25" i="62"/>
  <c r="AD26" i="62"/>
  <c r="AE26" i="62"/>
  <c r="AD27" i="62"/>
  <c r="AE27" i="62"/>
  <c r="AD28" i="62"/>
  <c r="AE28" i="62"/>
  <c r="AD29" i="62"/>
  <c r="AE29" i="62"/>
  <c r="AD30" i="62"/>
  <c r="AE30" i="62"/>
  <c r="AD31" i="62"/>
  <c r="AE31" i="62"/>
  <c r="AD32" i="62"/>
  <c r="AE32" i="62"/>
  <c r="AD33" i="62"/>
  <c r="AE33" i="62"/>
  <c r="AD34" i="62"/>
  <c r="AE34" i="62"/>
  <c r="AD35" i="62"/>
  <c r="AE35" i="62"/>
  <c r="AD36" i="62"/>
  <c r="AE36" i="62"/>
  <c r="AD37" i="62"/>
  <c r="AE37" i="62"/>
  <c r="AD38" i="62"/>
  <c r="AE38" i="62"/>
  <c r="AD39" i="62"/>
  <c r="AE39" i="62"/>
  <c r="AD40" i="62"/>
  <c r="AE40" i="62"/>
  <c r="AD41" i="62"/>
  <c r="AE41" i="62"/>
  <c r="AD42" i="62"/>
  <c r="AE42" i="62"/>
  <c r="AD43" i="62"/>
  <c r="AE43" i="62"/>
  <c r="AD44" i="62"/>
  <c r="AE44" i="62"/>
  <c r="AD45" i="62"/>
  <c r="AE45" i="62"/>
  <c r="AD46" i="62"/>
  <c r="AE46" i="62"/>
  <c r="AD47" i="62"/>
  <c r="AE47" i="62"/>
  <c r="AD48" i="62"/>
  <c r="AE48" i="62"/>
  <c r="AD49" i="62"/>
  <c r="AE49" i="62"/>
  <c r="AD50" i="62"/>
  <c r="AE50" i="62"/>
  <c r="AD51" i="62"/>
  <c r="AE51" i="62"/>
  <c r="AD52" i="62"/>
  <c r="AE52" i="62"/>
  <c r="AD53" i="62"/>
  <c r="AE53" i="62"/>
  <c r="AD54" i="62"/>
  <c r="AE54" i="62"/>
  <c r="AD55" i="62"/>
  <c r="AE55" i="62"/>
  <c r="AD56" i="62"/>
  <c r="AE56" i="62"/>
  <c r="AD57" i="62"/>
  <c r="AE57" i="62"/>
  <c r="AD58" i="62"/>
  <c r="AE58" i="62"/>
  <c r="AD59" i="62"/>
  <c r="AE59" i="62"/>
  <c r="AD60" i="62"/>
  <c r="AE60" i="62"/>
  <c r="AD61" i="62"/>
  <c r="AE61" i="62"/>
  <c r="AD62" i="62"/>
  <c r="AE62" i="62"/>
  <c r="AD63" i="62"/>
  <c r="AE63" i="62"/>
  <c r="AD64" i="62"/>
  <c r="AE64" i="62"/>
  <c r="AD65" i="62"/>
  <c r="AE65" i="62"/>
  <c r="AD66" i="62"/>
  <c r="AE66" i="62"/>
  <c r="AD67" i="62"/>
  <c r="AE67" i="62"/>
  <c r="AD68" i="62"/>
  <c r="AE68" i="62"/>
  <c r="AD69" i="62"/>
  <c r="AE69" i="62"/>
  <c r="AE3" i="62"/>
  <c r="AD3" i="62"/>
  <c r="AE2" i="62"/>
  <c r="AD2" i="62"/>
  <c r="F45" i="51"/>
  <c r="G45" i="51"/>
  <c r="H45" i="51"/>
  <c r="F76" i="31"/>
  <c r="G76" i="31"/>
  <c r="H76" i="31"/>
  <c r="F40" i="54"/>
  <c r="G40" i="54"/>
  <c r="H40" i="54"/>
  <c r="F41" i="34"/>
  <c r="G41" i="34"/>
  <c r="H41" i="34"/>
  <c r="F56" i="49"/>
  <c r="H56" i="49"/>
  <c r="G56" i="49"/>
  <c r="F36" i="61"/>
  <c r="G36" i="61"/>
  <c r="H36" i="61"/>
  <c r="F33" i="60"/>
  <c r="G33" i="60"/>
  <c r="H33" i="60"/>
  <c r="F39" i="55"/>
  <c r="G39" i="55"/>
  <c r="H39" i="55"/>
  <c r="I236" i="38"/>
  <c r="K237" i="38" s="1"/>
  <c r="L237" i="38" s="1"/>
  <c r="F321" i="25"/>
  <c r="G321" i="25"/>
  <c r="H321" i="25"/>
  <c r="K154" i="25"/>
  <c r="F156" i="25"/>
  <c r="F155" i="25"/>
  <c r="F3" i="62"/>
  <c r="F4" i="62"/>
  <c r="F2" i="62"/>
  <c r="F2" i="61"/>
  <c r="P61" i="62"/>
  <c r="P60" i="62"/>
  <c r="P59" i="62"/>
  <c r="P58" i="62"/>
  <c r="P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P42" i="62"/>
  <c r="P41" i="62"/>
  <c r="H25" i="62"/>
  <c r="G25" i="62"/>
  <c r="F25" i="62"/>
  <c r="M18" i="62"/>
  <c r="K18" i="62"/>
  <c r="H18" i="62"/>
  <c r="C18" i="62"/>
  <c r="Q11" i="62"/>
  <c r="F16" i="49"/>
  <c r="E236" i="38"/>
  <c r="H236" i="38"/>
  <c r="K19" i="62"/>
  <c r="M19" i="62"/>
  <c r="H19" i="62"/>
  <c r="C19" i="62"/>
  <c r="F19" i="62"/>
  <c r="O237" i="38" l="1"/>
  <c r="K236" i="38"/>
  <c r="R236" i="38"/>
  <c r="F18" i="62"/>
  <c r="M236" i="38"/>
  <c r="T236" i="38" s="1"/>
  <c r="Q2" i="62"/>
  <c r="Q5" i="62" s="1"/>
  <c r="L236" i="38" l="1"/>
  <c r="O236" i="38" s="1"/>
  <c r="Q8" i="62"/>
  <c r="Q7" i="62" s="1"/>
  <c r="N236" i="38"/>
  <c r="Q3" i="62"/>
  <c r="Q6" i="62" s="1"/>
  <c r="F53" i="45"/>
  <c r="G53" i="45"/>
  <c r="H53" i="45"/>
  <c r="F34" i="59"/>
  <c r="G34" i="59"/>
  <c r="H34" i="59"/>
  <c r="F50" i="52"/>
  <c r="G50" i="52"/>
  <c r="H50" i="52"/>
  <c r="F35" i="41"/>
  <c r="G35" i="41"/>
  <c r="H35" i="41"/>
  <c r="F41" i="57"/>
  <c r="G41" i="57"/>
  <c r="H41" i="57"/>
  <c r="F39" i="50"/>
  <c r="G39" i="50"/>
  <c r="H39" i="50"/>
  <c r="F33" i="58"/>
  <c r="G33" i="58"/>
  <c r="H33" i="58"/>
  <c r="F44" i="51"/>
  <c r="G44" i="51"/>
  <c r="H44" i="51"/>
  <c r="F75" i="31"/>
  <c r="G75" i="31"/>
  <c r="H75" i="31"/>
  <c r="F39" i="54"/>
  <c r="G39" i="54"/>
  <c r="H39" i="54"/>
  <c r="F40" i="34"/>
  <c r="G40" i="34"/>
  <c r="H40" i="34"/>
  <c r="F35" i="61"/>
  <c r="G35" i="61"/>
  <c r="H35" i="61"/>
  <c r="F38" i="55"/>
  <c r="G38" i="55"/>
  <c r="H38" i="55"/>
  <c r="E235" i="38"/>
  <c r="H235" i="38"/>
  <c r="K235" i="38"/>
  <c r="M235" i="38"/>
  <c r="T235" i="38" s="1"/>
  <c r="R235" i="38"/>
  <c r="F55" i="49"/>
  <c r="H55" i="49"/>
  <c r="G55" i="49"/>
  <c r="K11" i="49"/>
  <c r="F32" i="60"/>
  <c r="G32" i="60"/>
  <c r="H32" i="60"/>
  <c r="F320" i="25"/>
  <c r="H320" i="25"/>
  <c r="G320" i="25"/>
  <c r="K153" i="25"/>
  <c r="F154" i="25"/>
  <c r="F39" i="34"/>
  <c r="G39" i="34"/>
  <c r="H39" i="34"/>
  <c r="F38" i="50"/>
  <c r="G38" i="50"/>
  <c r="H38" i="50"/>
  <c r="F37" i="55"/>
  <c r="G37" i="55"/>
  <c r="H37" i="55"/>
  <c r="F31" i="60"/>
  <c r="G31" i="60"/>
  <c r="H31" i="60"/>
  <c r="F32" i="58"/>
  <c r="G32" i="58"/>
  <c r="H32" i="58"/>
  <c r="F34" i="61"/>
  <c r="G34" i="61"/>
  <c r="H34" i="61"/>
  <c r="F44" i="53"/>
  <c r="H44" i="53"/>
  <c r="F38" i="54"/>
  <c r="G38" i="54"/>
  <c r="H38" i="54"/>
  <c r="F40" i="57"/>
  <c r="G40" i="57"/>
  <c r="H40" i="57"/>
  <c r="F33" i="59"/>
  <c r="G33" i="59"/>
  <c r="H33" i="59"/>
  <c r="F52" i="45"/>
  <c r="G52" i="45"/>
  <c r="H52" i="45"/>
  <c r="F34" i="41"/>
  <c r="G34" i="41"/>
  <c r="H34" i="41"/>
  <c r="F43" i="51"/>
  <c r="G43" i="51"/>
  <c r="H43" i="51"/>
  <c r="F74" i="31"/>
  <c r="G74" i="31"/>
  <c r="H74" i="31"/>
  <c r="F54" i="49"/>
  <c r="G54" i="49"/>
  <c r="H54" i="49"/>
  <c r="F49" i="52"/>
  <c r="G49" i="52"/>
  <c r="H49" i="52"/>
  <c r="E234" i="38"/>
  <c r="H234" i="38"/>
  <c r="R234" i="38"/>
  <c r="L235" i="38" l="1"/>
  <c r="O235" i="38" s="1"/>
  <c r="Q9" i="62"/>
  <c r="N235" i="38"/>
  <c r="M234" i="38"/>
  <c r="F319" i="25"/>
  <c r="H319" i="25"/>
  <c r="G319" i="25"/>
  <c r="F153" i="25"/>
  <c r="F152" i="25"/>
  <c r="T234" i="38" l="1"/>
  <c r="N234" i="38"/>
  <c r="F51" i="45"/>
  <c r="G51" i="45"/>
  <c r="H51" i="45"/>
  <c r="F53" i="49"/>
  <c r="G53" i="49"/>
  <c r="H53" i="49"/>
  <c r="P50" i="53"/>
  <c r="G229" i="38"/>
  <c r="G230" i="38"/>
  <c r="G231" i="38"/>
  <c r="I233" i="38"/>
  <c r="K234" i="38" s="1"/>
  <c r="E233" i="38"/>
  <c r="H233" i="38"/>
  <c r="F39" i="57"/>
  <c r="H39" i="57"/>
  <c r="G39" i="57"/>
  <c r="L234" i="38" l="1"/>
  <c r="O234" i="38" s="1"/>
  <c r="R233" i="38"/>
  <c r="M233" i="38"/>
  <c r="T233" i="38" s="1"/>
  <c r="K233" i="38"/>
  <c r="L233" i="38" s="1"/>
  <c r="O233" i="38" s="1"/>
  <c r="H18" i="53"/>
  <c r="N233" i="38" l="1"/>
  <c r="F43" i="53"/>
  <c r="G43" i="53"/>
  <c r="H43" i="53"/>
  <c r="E232" i="38"/>
  <c r="H232" i="38"/>
  <c r="K232" i="38"/>
  <c r="L232" i="38" s="1"/>
  <c r="M232" i="38"/>
  <c r="T232" i="38" s="1"/>
  <c r="R232" i="38"/>
  <c r="N232" i="38" l="1"/>
  <c r="O232" i="38"/>
  <c r="F32" i="59"/>
  <c r="G32" i="59"/>
  <c r="H32" i="59"/>
  <c r="F33" i="41"/>
  <c r="G33" i="41"/>
  <c r="H33" i="41"/>
  <c r="F38" i="57"/>
  <c r="G38" i="57"/>
  <c r="H38" i="57"/>
  <c r="F318" i="25"/>
  <c r="G318" i="25"/>
  <c r="H318" i="25"/>
  <c r="F31" i="58"/>
  <c r="G31" i="58"/>
  <c r="H31" i="58"/>
  <c r="F42" i="51"/>
  <c r="G42" i="51"/>
  <c r="H42" i="51"/>
  <c r="F33" i="61"/>
  <c r="H33" i="61"/>
  <c r="G33" i="61"/>
  <c r="F48" i="52"/>
  <c r="H48" i="52"/>
  <c r="F52" i="49"/>
  <c r="H52" i="49"/>
  <c r="F50" i="45"/>
  <c r="H50" i="45"/>
  <c r="G50" i="45" l="1"/>
  <c r="G48" i="52"/>
  <c r="G52" i="49"/>
  <c r="K10" i="49"/>
  <c r="E231" i="38" l="1"/>
  <c r="H231" i="38"/>
  <c r="K231" i="38"/>
  <c r="L231" i="38" s="1"/>
  <c r="M231" i="38"/>
  <c r="T231" i="38" s="1"/>
  <c r="R231" i="38"/>
  <c r="O231" i="38" l="1"/>
  <c r="N231" i="38"/>
  <c r="E230" i="38"/>
  <c r="H230" i="38"/>
  <c r="K230" i="38"/>
  <c r="L230" i="38" s="1"/>
  <c r="M230" i="38"/>
  <c r="T230" i="38" s="1"/>
  <c r="R230" i="38"/>
  <c r="F317" i="25"/>
  <c r="H317" i="25"/>
  <c r="G317" i="25"/>
  <c r="F150" i="25"/>
  <c r="K152" i="25"/>
  <c r="O230" i="38" l="1"/>
  <c r="N230" i="38"/>
  <c r="F49" i="45"/>
  <c r="G49" i="45"/>
  <c r="H49" i="45"/>
  <c r="F31" i="59"/>
  <c r="G31" i="59"/>
  <c r="H31" i="59"/>
  <c r="F47" i="52"/>
  <c r="G47" i="52"/>
  <c r="H47" i="52"/>
  <c r="F32" i="41"/>
  <c r="G32" i="41"/>
  <c r="H32" i="41"/>
  <c r="F316" i="25"/>
  <c r="G316" i="25"/>
  <c r="H316" i="25"/>
  <c r="F30" i="58"/>
  <c r="G30" i="58"/>
  <c r="H30" i="58"/>
  <c r="F41" i="51"/>
  <c r="G41" i="51"/>
  <c r="H41" i="51"/>
  <c r="F132" i="7"/>
  <c r="G132" i="7"/>
  <c r="H132" i="7"/>
  <c r="F32" i="61"/>
  <c r="G32" i="61"/>
  <c r="H32" i="61"/>
  <c r="F42" i="53"/>
  <c r="G42" i="53"/>
  <c r="H42" i="53"/>
  <c r="G223" i="38"/>
  <c r="G224" i="38"/>
  <c r="G225" i="38"/>
  <c r="G226" i="38"/>
  <c r="G227" i="38"/>
  <c r="G228" i="38"/>
  <c r="D225" i="38"/>
  <c r="D226" i="38"/>
  <c r="D227" i="38"/>
  <c r="D228" i="38"/>
  <c r="D229" i="38"/>
  <c r="E229" i="38"/>
  <c r="H229" i="38"/>
  <c r="K229" i="38"/>
  <c r="L229" i="38" s="1"/>
  <c r="M229" i="38"/>
  <c r="T229" i="38" s="1"/>
  <c r="R229" i="38"/>
  <c r="F51" i="49"/>
  <c r="H51" i="49"/>
  <c r="G51" i="49"/>
  <c r="K8" i="49"/>
  <c r="F37" i="50"/>
  <c r="H37" i="50"/>
  <c r="G37" i="50"/>
  <c r="N229" i="38" l="1"/>
  <c r="O229" i="38"/>
  <c r="F7" i="49"/>
  <c r="F225" i="17" l="1"/>
  <c r="G225" i="17"/>
  <c r="H225" i="17"/>
  <c r="F315" i="25"/>
  <c r="G315" i="25"/>
  <c r="H315" i="25"/>
  <c r="F29" i="58"/>
  <c r="G29" i="58"/>
  <c r="H29" i="58"/>
  <c r="F73" i="31"/>
  <c r="G73" i="31"/>
  <c r="H73" i="31"/>
  <c r="F50" i="49"/>
  <c r="G50" i="49"/>
  <c r="H50" i="49"/>
  <c r="F31" i="61"/>
  <c r="G31" i="61"/>
  <c r="H31" i="61"/>
  <c r="E228" i="38"/>
  <c r="H228" i="38"/>
  <c r="M228" i="38"/>
  <c r="N228" i="38" s="1"/>
  <c r="R228" i="38"/>
  <c r="F46" i="52"/>
  <c r="H46" i="52"/>
  <c r="G46" i="52"/>
  <c r="C18" i="52"/>
  <c r="T228" i="38" l="1"/>
  <c r="F48" i="45"/>
  <c r="G48" i="45"/>
  <c r="H48" i="45"/>
  <c r="F30" i="59"/>
  <c r="G30" i="59"/>
  <c r="H30" i="59"/>
  <c r="F45" i="52"/>
  <c r="G45" i="52"/>
  <c r="H45" i="52"/>
  <c r="F31" i="41"/>
  <c r="G31" i="41"/>
  <c r="H31" i="41"/>
  <c r="F37" i="57"/>
  <c r="G37" i="57"/>
  <c r="H37" i="57"/>
  <c r="F36" i="50"/>
  <c r="G36" i="50"/>
  <c r="H36" i="50"/>
  <c r="F224" i="17"/>
  <c r="G224" i="17"/>
  <c r="H224" i="17"/>
  <c r="F314" i="25"/>
  <c r="G314" i="25"/>
  <c r="H314" i="25"/>
  <c r="F40" i="51"/>
  <c r="G40" i="51"/>
  <c r="H40" i="51"/>
  <c r="F72" i="31"/>
  <c r="G72" i="31"/>
  <c r="H72" i="31"/>
  <c r="F49" i="49"/>
  <c r="G49" i="49"/>
  <c r="H49" i="49"/>
  <c r="F30" i="61"/>
  <c r="G30" i="61"/>
  <c r="H30" i="61"/>
  <c r="F41" i="53"/>
  <c r="G41" i="53"/>
  <c r="H41" i="53"/>
  <c r="F30" i="60"/>
  <c r="G30" i="60"/>
  <c r="H30" i="60"/>
  <c r="F36" i="55"/>
  <c r="G36" i="55"/>
  <c r="H36" i="55"/>
  <c r="I227" i="38" l="1"/>
  <c r="K228" i="38" s="1"/>
  <c r="L228" i="38" s="1"/>
  <c r="G37" i="54"/>
  <c r="F37" i="54"/>
  <c r="H37" i="54"/>
  <c r="K3" i="54"/>
  <c r="E227" i="38"/>
  <c r="H227" i="38"/>
  <c r="M227" i="38" l="1"/>
  <c r="T227" i="38" s="1"/>
  <c r="K227" i="38"/>
  <c r="L227" i="38" s="1"/>
  <c r="O227" i="38" s="1"/>
  <c r="R227" i="38"/>
  <c r="O228" i="38"/>
  <c r="N227" i="38" l="1"/>
  <c r="F223" i="17"/>
  <c r="G223" i="17"/>
  <c r="H223" i="17"/>
  <c r="F120" i="17"/>
  <c r="K120" i="17"/>
  <c r="E226" i="38"/>
  <c r="H226" i="38"/>
  <c r="K226" i="38"/>
  <c r="L226" i="38" s="1"/>
  <c r="M226" i="38"/>
  <c r="N226" i="38" s="1"/>
  <c r="R226" i="38"/>
  <c r="Q11" i="3"/>
  <c r="T226" i="38" l="1"/>
  <c r="O226" i="38"/>
  <c r="F29" i="61"/>
  <c r="G29" i="61"/>
  <c r="H29" i="61"/>
  <c r="F40" i="53"/>
  <c r="G40" i="53"/>
  <c r="H40" i="53"/>
  <c r="F29" i="60"/>
  <c r="G29" i="60"/>
  <c r="H29" i="60"/>
  <c r="F30" i="41"/>
  <c r="H30" i="41"/>
  <c r="G30" i="41"/>
  <c r="F313" i="25"/>
  <c r="G313" i="25"/>
  <c r="H313" i="25"/>
  <c r="F312" i="25"/>
  <c r="H312" i="25"/>
  <c r="G312" i="25"/>
  <c r="F149" i="25"/>
  <c r="K151" i="25"/>
  <c r="F44" i="52"/>
  <c r="H44" i="52"/>
  <c r="G44" i="52"/>
  <c r="M18" i="52"/>
  <c r="H18" i="52"/>
  <c r="K18" i="52"/>
  <c r="E225" i="38"/>
  <c r="H225" i="38"/>
  <c r="K225" i="38"/>
  <c r="L225" i="38" s="1"/>
  <c r="M225" i="38"/>
  <c r="T225" i="38" s="1"/>
  <c r="R225" i="38"/>
  <c r="N225" i="38" l="1"/>
  <c r="O225" i="38"/>
  <c r="F47" i="45"/>
  <c r="G47" i="45"/>
  <c r="H47" i="45"/>
  <c r="F29" i="59"/>
  <c r="G29" i="59"/>
  <c r="H29" i="59"/>
  <c r="F43" i="52"/>
  <c r="G43" i="52"/>
  <c r="H43" i="52"/>
  <c r="F29" i="41"/>
  <c r="G29" i="41"/>
  <c r="H29" i="41"/>
  <c r="F36" i="57"/>
  <c r="G36" i="57"/>
  <c r="H36" i="57"/>
  <c r="F28" i="58"/>
  <c r="G28" i="58"/>
  <c r="H28" i="58"/>
  <c r="F39" i="51"/>
  <c r="G39" i="51"/>
  <c r="H39" i="51"/>
  <c r="F71" i="31"/>
  <c r="G71" i="31"/>
  <c r="H71" i="31"/>
  <c r="F36" i="54"/>
  <c r="G36" i="54"/>
  <c r="H36" i="54"/>
  <c r="F48" i="49"/>
  <c r="G48" i="49"/>
  <c r="H48" i="49"/>
  <c r="F28" i="61"/>
  <c r="G28" i="61"/>
  <c r="H28" i="61"/>
  <c r="F28" i="60"/>
  <c r="G28" i="60"/>
  <c r="H28" i="60"/>
  <c r="F35" i="55"/>
  <c r="G35" i="55"/>
  <c r="H35" i="55"/>
  <c r="F35" i="50"/>
  <c r="H35" i="50"/>
  <c r="G35" i="50"/>
  <c r="M18" i="50"/>
  <c r="D215" i="38" l="1"/>
  <c r="D216" i="38"/>
  <c r="D217" i="38"/>
  <c r="D218" i="38"/>
  <c r="D219" i="38"/>
  <c r="D220" i="38"/>
  <c r="D221" i="38"/>
  <c r="D222" i="38"/>
  <c r="D223" i="38"/>
  <c r="D224" i="38"/>
  <c r="G217" i="38"/>
  <c r="G218" i="38"/>
  <c r="G219" i="38"/>
  <c r="G220" i="38"/>
  <c r="G221" i="38"/>
  <c r="G222" i="38"/>
  <c r="E224" i="38"/>
  <c r="H224" i="38"/>
  <c r="K224" i="38"/>
  <c r="L224" i="38" s="1"/>
  <c r="M224" i="38"/>
  <c r="T224" i="38" s="1"/>
  <c r="R224" i="38"/>
  <c r="F311" i="25"/>
  <c r="H311" i="25"/>
  <c r="F310" i="25"/>
  <c r="H310" i="25"/>
  <c r="G311" i="25"/>
  <c r="G310" i="25"/>
  <c r="F148" i="25"/>
  <c r="F147" i="25"/>
  <c r="F222" i="17"/>
  <c r="H222" i="17"/>
  <c r="G131" i="7"/>
  <c r="F131" i="7"/>
  <c r="H131" i="7"/>
  <c r="F64" i="7"/>
  <c r="G222" i="17"/>
  <c r="F119" i="17"/>
  <c r="N224" i="38" l="1"/>
  <c r="O224" i="38"/>
  <c r="H29" i="49"/>
  <c r="M19" i="55"/>
  <c r="C30" i="49"/>
  <c r="C19" i="51"/>
  <c r="H30" i="49"/>
  <c r="C32" i="31"/>
  <c r="M19" i="51"/>
  <c r="H19" i="58"/>
  <c r="H19" i="3"/>
  <c r="H19" i="59"/>
  <c r="H32" i="31"/>
  <c r="H19" i="60"/>
  <c r="C19" i="55"/>
  <c r="C19" i="52"/>
  <c r="M19" i="59"/>
  <c r="C19" i="3"/>
  <c r="M30" i="49"/>
  <c r="M19" i="58"/>
  <c r="C19" i="60"/>
  <c r="M32" i="31"/>
  <c r="C19" i="54"/>
  <c r="M19" i="52"/>
  <c r="M19" i="3"/>
  <c r="F19" i="61"/>
  <c r="H19" i="55"/>
  <c r="H19" i="34"/>
  <c r="H19" i="54"/>
  <c r="C19" i="61"/>
  <c r="H19" i="61"/>
  <c r="C19" i="41"/>
  <c r="M19" i="45"/>
  <c r="C19" i="59"/>
  <c r="K19" i="61"/>
  <c r="K19" i="60"/>
  <c r="C19" i="53"/>
  <c r="H19" i="52"/>
  <c r="K19" i="58"/>
  <c r="K19" i="3"/>
  <c r="M19" i="53"/>
  <c r="H19" i="41"/>
  <c r="K19" i="52"/>
  <c r="M19" i="34"/>
  <c r="H19" i="51"/>
  <c r="M19" i="61"/>
  <c r="F19" i="60"/>
  <c r="M19" i="60"/>
  <c r="M19" i="54"/>
  <c r="M19" i="41"/>
  <c r="F19" i="58"/>
  <c r="C19" i="58"/>
  <c r="F19" i="59"/>
  <c r="H19" i="45"/>
  <c r="K19" i="59"/>
  <c r="F19" i="3"/>
  <c r="H19" i="53"/>
  <c r="C19" i="34"/>
  <c r="F28" i="59" l="1"/>
  <c r="G28" i="59"/>
  <c r="H28" i="59"/>
  <c r="F42" i="52"/>
  <c r="G42" i="52"/>
  <c r="H42" i="52"/>
  <c r="F28" i="41"/>
  <c r="G28" i="41"/>
  <c r="H28" i="41"/>
  <c r="H34" i="50"/>
  <c r="G34" i="50"/>
  <c r="F34" i="50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7" i="7"/>
  <c r="K32" i="7"/>
  <c r="K48" i="7"/>
  <c r="F27" i="58"/>
  <c r="G27" i="58"/>
  <c r="H27" i="58"/>
  <c r="F38" i="34"/>
  <c r="G38" i="34"/>
  <c r="H38" i="34"/>
  <c r="F47" i="49"/>
  <c r="G47" i="49"/>
  <c r="H47" i="49"/>
  <c r="F27" i="60"/>
  <c r="G27" i="60"/>
  <c r="H27" i="60"/>
  <c r="R258" i="1" l="1"/>
  <c r="N249" i="1" s="1"/>
  <c r="F221" i="17"/>
  <c r="G221" i="17"/>
  <c r="H221" i="17"/>
  <c r="E223" i="38" l="1"/>
  <c r="H223" i="38"/>
  <c r="K223" i="38"/>
  <c r="L223" i="38" s="1"/>
  <c r="M223" i="38"/>
  <c r="T223" i="38" s="1"/>
  <c r="R223" i="38"/>
  <c r="G309" i="25"/>
  <c r="F309" i="25"/>
  <c r="H309" i="25"/>
  <c r="K150" i="25"/>
  <c r="F39" i="53"/>
  <c r="H39" i="53"/>
  <c r="G39" i="53"/>
  <c r="F308" i="25"/>
  <c r="G308" i="25"/>
  <c r="H308" i="25"/>
  <c r="K149" i="25"/>
  <c r="G307" i="25"/>
  <c r="F307" i="25"/>
  <c r="H307" i="25"/>
  <c r="K148" i="25"/>
  <c r="F34" i="55"/>
  <c r="H34" i="55"/>
  <c r="G34" i="55"/>
  <c r="G306" i="25"/>
  <c r="F306" i="25"/>
  <c r="H306" i="25"/>
  <c r="F35" i="57"/>
  <c r="H35" i="57"/>
  <c r="G35" i="57"/>
  <c r="F70" i="31"/>
  <c r="H70" i="31"/>
  <c r="G70" i="31"/>
  <c r="K11" i="31"/>
  <c r="K147" i="25"/>
  <c r="T258" i="1"/>
  <c r="N244" i="1" s="1"/>
  <c r="N223" i="38" l="1"/>
  <c r="O223" i="38"/>
  <c r="E222" i="38"/>
  <c r="H222" i="38"/>
  <c r="K222" i="38"/>
  <c r="L222" i="38" s="1"/>
  <c r="M222" i="38"/>
  <c r="N222" i="38" s="1"/>
  <c r="R222" i="38"/>
  <c r="F220" i="17"/>
  <c r="H220" i="17"/>
  <c r="F219" i="17"/>
  <c r="H219" i="17"/>
  <c r="F27" i="41"/>
  <c r="G27" i="41"/>
  <c r="H27" i="41"/>
  <c r="G220" i="17"/>
  <c r="G219" i="17"/>
  <c r="K117" i="17"/>
  <c r="F118" i="17"/>
  <c r="K19" i="41"/>
  <c r="O222" i="38" l="1"/>
  <c r="T222" i="38"/>
  <c r="K112" i="17"/>
  <c r="K115" i="17"/>
  <c r="K114" i="17"/>
  <c r="K113" i="17"/>
  <c r="F69" i="31"/>
  <c r="G69" i="31"/>
  <c r="H69" i="31"/>
  <c r="F46" i="45" l="1"/>
  <c r="G46" i="45"/>
  <c r="H46" i="45"/>
  <c r="F27" i="59"/>
  <c r="G27" i="59"/>
  <c r="H27" i="59"/>
  <c r="H59" i="56"/>
  <c r="G59" i="56"/>
  <c r="F59" i="56"/>
  <c r="H58" i="56"/>
  <c r="G58" i="56"/>
  <c r="F58" i="56"/>
  <c r="H57" i="56"/>
  <c r="G57" i="56"/>
  <c r="F57" i="56"/>
  <c r="H56" i="56"/>
  <c r="G56" i="56"/>
  <c r="F56" i="56"/>
  <c r="M53" i="56"/>
  <c r="L53" i="56"/>
  <c r="H53" i="56"/>
  <c r="C53" i="56"/>
  <c r="K38" i="56"/>
  <c r="K37" i="56"/>
  <c r="F37" i="56"/>
  <c r="F53" i="56" s="1"/>
  <c r="F41" i="52"/>
  <c r="G41" i="52"/>
  <c r="H41" i="52"/>
  <c r="F26" i="41"/>
  <c r="G26" i="41"/>
  <c r="H26" i="41"/>
  <c r="F218" i="17"/>
  <c r="G218" i="17"/>
  <c r="H218" i="17"/>
  <c r="K53" i="56" l="1"/>
  <c r="M35" i="56" s="1"/>
  <c r="Q10" i="56" s="1"/>
  <c r="F38" i="53"/>
  <c r="G38" i="53"/>
  <c r="H38" i="53"/>
  <c r="F26" i="60"/>
  <c r="G26" i="60"/>
  <c r="H26" i="60"/>
  <c r="E221" i="38"/>
  <c r="H221" i="38"/>
  <c r="K221" i="38"/>
  <c r="L221" i="38" s="1"/>
  <c r="M221" i="38"/>
  <c r="T221" i="38" s="1"/>
  <c r="R221" i="38"/>
  <c r="F130" i="7"/>
  <c r="G130" i="7"/>
  <c r="H130" i="7"/>
  <c r="K62" i="7"/>
  <c r="H18" i="50"/>
  <c r="F33" i="50"/>
  <c r="G33" i="50"/>
  <c r="H33" i="50"/>
  <c r="K18" i="50"/>
  <c r="K19" i="50"/>
  <c r="H19" i="50"/>
  <c r="C19" i="50"/>
  <c r="M19" i="50"/>
  <c r="O221" i="38" l="1"/>
  <c r="N221" i="38"/>
  <c r="F26" i="58"/>
  <c r="G26" i="58"/>
  <c r="H26" i="58"/>
  <c r="H80" i="7" l="1"/>
  <c r="F63" i="7"/>
  <c r="F45" i="45"/>
  <c r="G45" i="45"/>
  <c r="H45" i="45"/>
  <c r="F26" i="59"/>
  <c r="G26" i="59"/>
  <c r="H26" i="59"/>
  <c r="F40" i="52"/>
  <c r="G40" i="52"/>
  <c r="H40" i="52"/>
  <c r="F25" i="41"/>
  <c r="G25" i="41"/>
  <c r="H25" i="41"/>
  <c r="F34" i="57"/>
  <c r="G34" i="57"/>
  <c r="H34" i="57"/>
  <c r="C18" i="50"/>
  <c r="F32" i="50"/>
  <c r="G32" i="50"/>
  <c r="H32" i="50"/>
  <c r="F68" i="31"/>
  <c r="G68" i="31"/>
  <c r="H68" i="31"/>
  <c r="F35" i="54"/>
  <c r="G35" i="54"/>
  <c r="H35" i="54"/>
  <c r="F46" i="49"/>
  <c r="G46" i="49"/>
  <c r="H46" i="49"/>
  <c r="F129" i="7"/>
  <c r="G129" i="7"/>
  <c r="H129" i="7"/>
  <c r="F27" i="61"/>
  <c r="G27" i="61"/>
  <c r="H27" i="61"/>
  <c r="F37" i="53"/>
  <c r="H37" i="53"/>
  <c r="G37" i="53"/>
  <c r="F33" i="55"/>
  <c r="H33" i="55"/>
  <c r="G33" i="55"/>
  <c r="E220" i="38"/>
  <c r="H220" i="38"/>
  <c r="K220" i="38"/>
  <c r="L220" i="38" s="1"/>
  <c r="M220" i="38"/>
  <c r="N220" i="38" s="1"/>
  <c r="R220" i="38"/>
  <c r="F217" i="17"/>
  <c r="H217" i="17"/>
  <c r="G217" i="17"/>
  <c r="K116" i="17"/>
  <c r="F305" i="25"/>
  <c r="H305" i="25"/>
  <c r="G305" i="25"/>
  <c r="K146" i="25"/>
  <c r="H81" i="7"/>
  <c r="O220" i="38" l="1"/>
  <c r="T220" i="38"/>
  <c r="F38" i="51"/>
  <c r="H38" i="51"/>
  <c r="G38" i="51"/>
  <c r="F67" i="31"/>
  <c r="H67" i="31"/>
  <c r="G67" i="31"/>
  <c r="F128" i="7"/>
  <c r="H128" i="7"/>
  <c r="G128" i="7"/>
  <c r="F26" i="61"/>
  <c r="G26" i="61"/>
  <c r="H26" i="61"/>
  <c r="F32" i="55" l="1"/>
  <c r="H32" i="55"/>
  <c r="G32" i="55"/>
  <c r="F39" i="52"/>
  <c r="H39" i="52"/>
  <c r="G39" i="52"/>
  <c r="H25" i="61" l="1"/>
  <c r="G25" i="61"/>
  <c r="F25" i="61"/>
  <c r="F25" i="58"/>
  <c r="G25" i="58"/>
  <c r="H25" i="58"/>
  <c r="P48" i="51"/>
  <c r="G213" i="38" l="1"/>
  <c r="G214" i="38"/>
  <c r="G215" i="38"/>
  <c r="G216" i="38"/>
  <c r="D214" i="38"/>
  <c r="E219" i="38"/>
  <c r="H219" i="38"/>
  <c r="K219" i="38"/>
  <c r="L219" i="38" s="1"/>
  <c r="M219" i="38"/>
  <c r="N219" i="38" s="1"/>
  <c r="R219" i="38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AE63" i="61"/>
  <c r="AD63" i="61"/>
  <c r="AE62" i="61"/>
  <c r="AD62" i="61"/>
  <c r="AE61" i="61"/>
  <c r="AD61" i="61"/>
  <c r="P61" i="61"/>
  <c r="AE60" i="61"/>
  <c r="AD60" i="61"/>
  <c r="P60" i="61"/>
  <c r="AE59" i="61"/>
  <c r="AD59" i="61"/>
  <c r="P59" i="61"/>
  <c r="AE58" i="61"/>
  <c r="AD58" i="61"/>
  <c r="P58" i="61"/>
  <c r="AE57" i="61"/>
  <c r="AD57" i="61"/>
  <c r="P57" i="61"/>
  <c r="AE56" i="61"/>
  <c r="AD56" i="61"/>
  <c r="P56" i="61"/>
  <c r="AE55" i="61"/>
  <c r="AD55" i="61"/>
  <c r="P55" i="61"/>
  <c r="AE54" i="61"/>
  <c r="AD54" i="61"/>
  <c r="P54" i="61"/>
  <c r="AE53" i="61"/>
  <c r="AD53" i="61"/>
  <c r="P53" i="61"/>
  <c r="AE52" i="61"/>
  <c r="AD52" i="61"/>
  <c r="P52" i="61"/>
  <c r="AE51" i="61"/>
  <c r="AD51" i="61"/>
  <c r="P51" i="61"/>
  <c r="AE50" i="61"/>
  <c r="AD50" i="61"/>
  <c r="P50" i="61"/>
  <c r="AE49" i="61"/>
  <c r="AD49" i="61"/>
  <c r="P49" i="61"/>
  <c r="AE48" i="61"/>
  <c r="AD48" i="61"/>
  <c r="P48" i="61"/>
  <c r="AE47" i="61"/>
  <c r="AD47" i="61"/>
  <c r="P47" i="61"/>
  <c r="AE46" i="61"/>
  <c r="AD46" i="61"/>
  <c r="P46" i="61"/>
  <c r="AE45" i="61"/>
  <c r="AD45" i="61"/>
  <c r="P45" i="61"/>
  <c r="AE44" i="61"/>
  <c r="AD44" i="61"/>
  <c r="P44" i="61"/>
  <c r="AE43" i="61"/>
  <c r="AD43" i="61"/>
  <c r="P43" i="61"/>
  <c r="AE42" i="61"/>
  <c r="AD42" i="61"/>
  <c r="P42" i="61"/>
  <c r="AE41" i="61"/>
  <c r="AD41" i="61"/>
  <c r="P41" i="61"/>
  <c r="AE40" i="61"/>
  <c r="AD40" i="61"/>
  <c r="AE39" i="61"/>
  <c r="AD39" i="61"/>
  <c r="AE38" i="61"/>
  <c r="AD38" i="61"/>
  <c r="AE37" i="61"/>
  <c r="AD37" i="61"/>
  <c r="AE36" i="61"/>
  <c r="AD36" i="61"/>
  <c r="AE35" i="61"/>
  <c r="AD35" i="61"/>
  <c r="AE34" i="61"/>
  <c r="AD34" i="61"/>
  <c r="AE33" i="61"/>
  <c r="AD33" i="61"/>
  <c r="AE32" i="61"/>
  <c r="AD32" i="61"/>
  <c r="AE31" i="61"/>
  <c r="AD31" i="61"/>
  <c r="AE30" i="61"/>
  <c r="AD30" i="61"/>
  <c r="AE29" i="61"/>
  <c r="AD29" i="61"/>
  <c r="AE28" i="61"/>
  <c r="AD28" i="61"/>
  <c r="AE27" i="61"/>
  <c r="AD27" i="61"/>
  <c r="AE26" i="61"/>
  <c r="AD26" i="61"/>
  <c r="AE25" i="61"/>
  <c r="AD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K18" i="61"/>
  <c r="H18" i="61"/>
  <c r="C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F18" i="61"/>
  <c r="F36" i="53"/>
  <c r="G36" i="53"/>
  <c r="H36" i="53"/>
  <c r="F304" i="25"/>
  <c r="G304" i="25"/>
  <c r="H304" i="25"/>
  <c r="F303" i="25"/>
  <c r="H303" i="25"/>
  <c r="G303" i="25"/>
  <c r="F146" i="25"/>
  <c r="F145" i="25"/>
  <c r="F33" i="57"/>
  <c r="H33" i="57"/>
  <c r="G33" i="57"/>
  <c r="F24" i="41"/>
  <c r="G24" i="41"/>
  <c r="H24" i="41"/>
  <c r="F216" i="17"/>
  <c r="G216" i="17"/>
  <c r="H216" i="17"/>
  <c r="F215" i="17"/>
  <c r="H215" i="17"/>
  <c r="F117" i="17"/>
  <c r="G215" i="17"/>
  <c r="F116" i="17"/>
  <c r="F34" i="54"/>
  <c r="H34" i="54"/>
  <c r="G34" i="54"/>
  <c r="F6" i="54"/>
  <c r="F45" i="49"/>
  <c r="H45" i="49"/>
  <c r="G45" i="49"/>
  <c r="F15" i="49"/>
  <c r="AE69" i="60"/>
  <c r="AD69" i="60"/>
  <c r="AE68" i="60"/>
  <c r="AD68" i="60"/>
  <c r="AE67" i="60"/>
  <c r="AD67" i="60"/>
  <c r="AE66" i="60"/>
  <c r="AD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AE34" i="60"/>
  <c r="AD34" i="60"/>
  <c r="AE33" i="60"/>
  <c r="AD33" i="60"/>
  <c r="AE32" i="60"/>
  <c r="AD32" i="60"/>
  <c r="AE31" i="60"/>
  <c r="AD31" i="60"/>
  <c r="AE30" i="60"/>
  <c r="AD30" i="60"/>
  <c r="AE29" i="60"/>
  <c r="AD29" i="60"/>
  <c r="AE28" i="60"/>
  <c r="AD28" i="60"/>
  <c r="AE27" i="60"/>
  <c r="AD27" i="60"/>
  <c r="AE26" i="60"/>
  <c r="AD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F18" i="60"/>
  <c r="Q2" i="61" l="1"/>
  <c r="Q2" i="60"/>
  <c r="T219" i="38"/>
  <c r="O219" i="38"/>
  <c r="F32" i="57"/>
  <c r="H32" i="57"/>
  <c r="G32" i="57"/>
  <c r="F23" i="41"/>
  <c r="G23" i="41"/>
  <c r="H59" i="41"/>
  <c r="F31" i="50"/>
  <c r="H31" i="50"/>
  <c r="G31" i="50"/>
  <c r="F35" i="53"/>
  <c r="H35" i="53"/>
  <c r="G35" i="53"/>
  <c r="F44" i="49"/>
  <c r="H44" i="49"/>
  <c r="G44" i="49"/>
  <c r="Q8" i="60" l="1"/>
  <c r="Q7" i="60" s="1"/>
  <c r="Q3" i="61"/>
  <c r="Q6" i="61" s="1"/>
  <c r="Q8" i="61"/>
  <c r="Q7" i="61" s="1"/>
  <c r="Q5" i="61"/>
  <c r="Q3" i="60"/>
  <c r="Q6" i="60" s="1"/>
  <c r="Q5" i="60"/>
  <c r="Q9" i="60" l="1"/>
  <c r="Q9" i="61"/>
  <c r="G209" i="38" l="1"/>
  <c r="G210" i="38"/>
  <c r="G211" i="38"/>
  <c r="G212" i="38"/>
  <c r="K7" i="49" l="1"/>
  <c r="F14" i="49"/>
  <c r="F66" i="31"/>
  <c r="H66" i="31"/>
  <c r="G66" i="31"/>
  <c r="F12" i="31"/>
  <c r="F38" i="52"/>
  <c r="H38" i="52"/>
  <c r="G38" i="52"/>
  <c r="F302" i="25"/>
  <c r="H302" i="25"/>
  <c r="E218" i="38"/>
  <c r="H218" i="38"/>
  <c r="K218" i="38"/>
  <c r="L218" i="38" s="1"/>
  <c r="M218" i="38"/>
  <c r="N218" i="38" s="1"/>
  <c r="R218" i="38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AE55" i="59"/>
  <c r="AD55" i="59"/>
  <c r="P55" i="59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AE36" i="59"/>
  <c r="AD36" i="59"/>
  <c r="AE35" i="59"/>
  <c r="AD35" i="59"/>
  <c r="AE34" i="59"/>
  <c r="AD34" i="59"/>
  <c r="AE33" i="59"/>
  <c r="AD33" i="59"/>
  <c r="AE32" i="59"/>
  <c r="AD32" i="59"/>
  <c r="AE31" i="59"/>
  <c r="AD31" i="59"/>
  <c r="AE30" i="59"/>
  <c r="AD30" i="59"/>
  <c r="AE29" i="59"/>
  <c r="AD29" i="59"/>
  <c r="AE28" i="59"/>
  <c r="AD28" i="59"/>
  <c r="AE27" i="59"/>
  <c r="AD27" i="59"/>
  <c r="AE26" i="59"/>
  <c r="AD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F18" i="59"/>
  <c r="F33" i="54"/>
  <c r="H33" i="54"/>
  <c r="G33" i="54"/>
  <c r="F4" i="54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AE25" i="58"/>
  <c r="AD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F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14" i="17"/>
  <c r="H214" i="17"/>
  <c r="G214" i="17"/>
  <c r="F115" i="17"/>
  <c r="F213" i="17"/>
  <c r="H213" i="17"/>
  <c r="G213" i="17"/>
  <c r="F114" i="17"/>
  <c r="G127" i="7"/>
  <c r="F127" i="7"/>
  <c r="H127" i="7"/>
  <c r="G302" i="25"/>
  <c r="F31" i="55"/>
  <c r="H31" i="55"/>
  <c r="G31" i="55"/>
  <c r="F212" i="17"/>
  <c r="H212" i="17"/>
  <c r="G212" i="17"/>
  <c r="F113" i="17"/>
  <c r="F144" i="25"/>
  <c r="F43" i="49"/>
  <c r="H43" i="49"/>
  <c r="G43" i="49"/>
  <c r="F12" i="49"/>
  <c r="F301" i="25"/>
  <c r="H301" i="25"/>
  <c r="G301" i="25"/>
  <c r="F19" i="41"/>
  <c r="Q2" i="59" l="1"/>
  <c r="T218" i="38"/>
  <c r="O218" i="38"/>
  <c r="Q2" i="58"/>
  <c r="Q8" i="58" l="1"/>
  <c r="Q7" i="58" s="1"/>
  <c r="Q5" i="59"/>
  <c r="Q3" i="58"/>
  <c r="Q6" i="58" s="1"/>
  <c r="Q8" i="59"/>
  <c r="Q7" i="59" s="1"/>
  <c r="Q3" i="59"/>
  <c r="Q6" i="59" s="1"/>
  <c r="Q5" i="58"/>
  <c r="Q9" i="58" l="1"/>
  <c r="Q9" i="59"/>
  <c r="F143" i="25"/>
  <c r="F30" i="55" l="1"/>
  <c r="H30" i="55"/>
  <c r="G30" i="55"/>
  <c r="E217" i="38" l="1"/>
  <c r="H217" i="38"/>
  <c r="K217" i="38"/>
  <c r="L217" i="38" s="1"/>
  <c r="M217" i="38"/>
  <c r="T217" i="38" s="1"/>
  <c r="R217" i="38"/>
  <c r="F126" i="7"/>
  <c r="H126" i="7"/>
  <c r="G126" i="7"/>
  <c r="K61" i="7"/>
  <c r="F211" i="17"/>
  <c r="H211" i="17"/>
  <c r="G211" i="17"/>
  <c r="F300" i="25"/>
  <c r="H300" i="25"/>
  <c r="G300" i="25"/>
  <c r="K142" i="25"/>
  <c r="N217" i="38" l="1"/>
  <c r="O217" i="38"/>
  <c r="F37" i="52"/>
  <c r="H37" i="52"/>
  <c r="G37" i="52"/>
  <c r="F125" i="7" l="1"/>
  <c r="H125" i="7"/>
  <c r="G125" i="7"/>
  <c r="F62" i="7"/>
  <c r="F299" i="25"/>
  <c r="G299" i="25"/>
  <c r="H299" i="25"/>
  <c r="F142" i="25"/>
  <c r="E216" i="38"/>
  <c r="H216" i="38"/>
  <c r="K216" i="38"/>
  <c r="L216" i="38" s="1"/>
  <c r="M216" i="38"/>
  <c r="T216" i="38" s="1"/>
  <c r="R216" i="38"/>
  <c r="O216" i="38" l="1"/>
  <c r="N216" i="38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F204" i="1" l="1"/>
  <c r="K204" i="1"/>
  <c r="F36" i="52"/>
  <c r="H36" i="52"/>
  <c r="G36" i="52"/>
  <c r="F65" i="31"/>
  <c r="H65" i="31"/>
  <c r="G65" i="31"/>
  <c r="F42" i="49"/>
  <c r="H42" i="49"/>
  <c r="G42" i="49"/>
  <c r="N204" i="1" l="1"/>
  <c r="O204" i="1" s="1"/>
  <c r="F210" i="17"/>
  <c r="H210" i="17"/>
  <c r="G210" i="17"/>
  <c r="F298" i="25"/>
  <c r="H298" i="25"/>
  <c r="G298" i="25"/>
  <c r="K107" i="25"/>
  <c r="K106" i="25"/>
  <c r="E215" i="38"/>
  <c r="H215" i="38"/>
  <c r="K215" i="38"/>
  <c r="L215" i="38" s="1"/>
  <c r="M215" i="38"/>
  <c r="T215" i="38" s="1"/>
  <c r="R215" i="38"/>
  <c r="O215" i="38" l="1"/>
  <c r="N215" i="38"/>
  <c r="F35" i="52"/>
  <c r="H35" i="52"/>
  <c r="G35" i="52"/>
  <c r="F30" i="50"/>
  <c r="H30" i="50"/>
  <c r="G30" i="50"/>
  <c r="H185" i="25"/>
  <c r="F37" i="51"/>
  <c r="H37" i="51"/>
  <c r="G37" i="51"/>
  <c r="F32" i="54"/>
  <c r="H32" i="54"/>
  <c r="G32" i="54"/>
  <c r="H186" i="25"/>
  <c r="F297" i="25" l="1"/>
  <c r="H297" i="25"/>
  <c r="G297" i="25"/>
  <c r="K105" i="25"/>
  <c r="K104" i="25"/>
  <c r="K103" i="25"/>
  <c r="F31" i="57"/>
  <c r="H31" i="57"/>
  <c r="G31" i="57"/>
  <c r="F209" i="17"/>
  <c r="H209" i="17"/>
  <c r="G209" i="17"/>
  <c r="G208" i="38"/>
  <c r="D210" i="38"/>
  <c r="D211" i="38"/>
  <c r="D212" i="38"/>
  <c r="D213" i="38"/>
  <c r="E214" i="38"/>
  <c r="H214" i="38"/>
  <c r="K214" i="38"/>
  <c r="L214" i="38" s="1"/>
  <c r="M214" i="38"/>
  <c r="T214" i="38" s="1"/>
  <c r="R214" i="38"/>
  <c r="K111" i="17"/>
  <c r="F112" i="17"/>
  <c r="F111" i="17"/>
  <c r="N214" i="38" l="1"/>
  <c r="O214" i="38"/>
  <c r="F296" i="25" l="1"/>
  <c r="H296" i="25"/>
  <c r="F29" i="55"/>
  <c r="H29" i="55"/>
  <c r="G29" i="55"/>
  <c r="E213" i="38" l="1"/>
  <c r="H213" i="38"/>
  <c r="K213" i="38"/>
  <c r="L213" i="38" s="1"/>
  <c r="M213" i="38"/>
  <c r="T213" i="38" s="1"/>
  <c r="R213" i="38"/>
  <c r="F124" i="7"/>
  <c r="H124" i="7"/>
  <c r="G124" i="7"/>
  <c r="O213" i="38" l="1"/>
  <c r="N213" i="38"/>
  <c r="K60" i="7"/>
  <c r="G296" i="25"/>
  <c r="F141" i="25"/>
  <c r="K102" i="25"/>
  <c r="F29" i="50" l="1"/>
  <c r="H29" i="50"/>
  <c r="G29" i="50"/>
  <c r="F34" i="53"/>
  <c r="H34" i="53"/>
  <c r="G34" i="53"/>
  <c r="F208" i="17"/>
  <c r="H208" i="17"/>
  <c r="G208" i="17"/>
  <c r="K110" i="17"/>
  <c r="F110" i="17"/>
  <c r="F41" i="49"/>
  <c r="H41" i="49"/>
  <c r="G41" i="49"/>
  <c r="F11" i="49"/>
  <c r="F295" i="25"/>
  <c r="H295" i="25"/>
  <c r="G295" i="25"/>
  <c r="F140" i="25"/>
  <c r="K101" i="25"/>
  <c r="E212" i="38"/>
  <c r="H212" i="38"/>
  <c r="K212" i="38"/>
  <c r="L212" i="38" s="1"/>
  <c r="M212" i="38"/>
  <c r="N212" i="38" s="1"/>
  <c r="R212" i="38"/>
  <c r="O212" i="38" l="1"/>
  <c r="T212" i="38"/>
  <c r="H211" i="38" l="1"/>
  <c r="K211" i="38"/>
  <c r="L211" i="38" s="1"/>
  <c r="M211" i="38"/>
  <c r="N211" i="38" s="1"/>
  <c r="R211" i="38"/>
  <c r="E211" i="38"/>
  <c r="F36" i="51"/>
  <c r="H36" i="51"/>
  <c r="G36" i="51"/>
  <c r="F6" i="51"/>
  <c r="F294" i="25"/>
  <c r="H294" i="25"/>
  <c r="G294" i="25"/>
  <c r="O211" i="38" l="1"/>
  <c r="T211" i="38"/>
  <c r="K100" i="25"/>
  <c r="F207" i="17" l="1"/>
  <c r="H207" i="17"/>
  <c r="G207" i="17"/>
  <c r="F44" i="45" l="1"/>
  <c r="H44" i="45"/>
  <c r="G44" i="45"/>
  <c r="F31" i="54"/>
  <c r="H31" i="54"/>
  <c r="G31" i="54"/>
  <c r="F291" i="25"/>
  <c r="G291" i="25"/>
  <c r="H291" i="25"/>
  <c r="F292" i="25"/>
  <c r="G292" i="25"/>
  <c r="H292" i="25"/>
  <c r="F293" i="25"/>
  <c r="G293" i="25"/>
  <c r="H293" i="25"/>
  <c r="F30" i="57"/>
  <c r="H30" i="57"/>
  <c r="G30" i="57"/>
  <c r="F123" i="7"/>
  <c r="H123" i="7"/>
  <c r="G123" i="7"/>
  <c r="F61" i="7"/>
  <c r="F34" i="52"/>
  <c r="H34" i="52"/>
  <c r="G34" i="52"/>
  <c r="F40" i="49"/>
  <c r="H40" i="49"/>
  <c r="G40" i="49"/>
  <c r="F10" i="49"/>
  <c r="F139" i="25"/>
  <c r="E210" i="38"/>
  <c r="H210" i="38"/>
  <c r="K210" i="38"/>
  <c r="M210" i="38"/>
  <c r="N210" i="38" s="1"/>
  <c r="R210" i="38"/>
  <c r="L210" i="38" l="1"/>
  <c r="O210" i="38" s="1"/>
  <c r="T210" i="38"/>
  <c r="F29" i="57"/>
  <c r="H29" i="57"/>
  <c r="G29" i="57"/>
  <c r="F64" i="31"/>
  <c r="H64" i="31"/>
  <c r="G64" i="31"/>
  <c r="F39" i="49"/>
  <c r="G39" i="49"/>
  <c r="H39" i="49"/>
  <c r="F122" i="7"/>
  <c r="H122" i="7"/>
  <c r="G122" i="7"/>
  <c r="F33" i="53"/>
  <c r="H33" i="53"/>
  <c r="G33" i="53"/>
  <c r="G202" i="38"/>
  <c r="G203" i="38"/>
  <c r="G204" i="38"/>
  <c r="G205" i="38"/>
  <c r="G206" i="38"/>
  <c r="G207" i="38"/>
  <c r="D205" i="38"/>
  <c r="D206" i="38"/>
  <c r="D207" i="38"/>
  <c r="D208" i="38"/>
  <c r="D209" i="38"/>
  <c r="R209" i="38"/>
  <c r="M209" i="38"/>
  <c r="T209" i="38" s="1"/>
  <c r="K209" i="38"/>
  <c r="L209" i="38" s="1"/>
  <c r="H209" i="38"/>
  <c r="E209" i="38"/>
  <c r="O209" i="38" l="1"/>
  <c r="N209" i="38"/>
  <c r="F206" i="17"/>
  <c r="H206" i="17"/>
  <c r="G206" i="17"/>
  <c r="F43" i="45" l="1"/>
  <c r="H43" i="45"/>
  <c r="G43" i="45"/>
  <c r="C185" i="25"/>
  <c r="F109" i="17"/>
  <c r="F35" i="51"/>
  <c r="H35" i="51"/>
  <c r="G35" i="51"/>
  <c r="K5" i="51"/>
  <c r="E208" i="38"/>
  <c r="H208" i="38"/>
  <c r="K208" i="38"/>
  <c r="L208" i="38" s="1"/>
  <c r="M208" i="38"/>
  <c r="T208" i="38" s="1"/>
  <c r="R208" i="38"/>
  <c r="F290" i="25"/>
  <c r="H290" i="25"/>
  <c r="G290" i="25"/>
  <c r="F138" i="25"/>
  <c r="F137" i="25"/>
  <c r="C186" i="25"/>
  <c r="N208" i="38" l="1"/>
  <c r="O208" i="38"/>
  <c r="F121" i="7"/>
  <c r="H121" i="7"/>
  <c r="G121" i="7"/>
  <c r="F59" i="7"/>
  <c r="F58" i="7"/>
  <c r="F205" i="17"/>
  <c r="H205" i="17"/>
  <c r="G205" i="17"/>
  <c r="K108" i="17"/>
  <c r="E207" i="38"/>
  <c r="H207" i="38"/>
  <c r="K207" i="38"/>
  <c r="L207" i="38" s="1"/>
  <c r="M207" i="38"/>
  <c r="T207" i="38" s="1"/>
  <c r="R207" i="38"/>
  <c r="O207" i="38" l="1"/>
  <c r="N207" i="38"/>
  <c r="F108" i="17"/>
  <c r="F28" i="50" l="1"/>
  <c r="H28" i="50"/>
  <c r="G28" i="50"/>
  <c r="F38" i="49"/>
  <c r="G38" i="49"/>
  <c r="H38" i="49"/>
  <c r="E206" i="38" l="1"/>
  <c r="H206" i="38"/>
  <c r="K206" i="38"/>
  <c r="L206" i="38" s="1"/>
  <c r="M206" i="38"/>
  <c r="T206" i="38" s="1"/>
  <c r="R206" i="38"/>
  <c r="F289" i="25"/>
  <c r="H289" i="25"/>
  <c r="G289" i="25"/>
  <c r="F136" i="25"/>
  <c r="F28" i="57"/>
  <c r="G28" i="57"/>
  <c r="H28" i="57"/>
  <c r="K19" i="57"/>
  <c r="N206" i="38" l="1"/>
  <c r="O206" i="38"/>
  <c r="F33" i="52"/>
  <c r="H33" i="52"/>
  <c r="G33" i="52"/>
  <c r="F34" i="51"/>
  <c r="H34" i="51"/>
  <c r="G34" i="51"/>
  <c r="F30" i="54"/>
  <c r="H30" i="54"/>
  <c r="G30" i="54"/>
  <c r="F288" i="25"/>
  <c r="H288" i="25"/>
  <c r="G288" i="25"/>
  <c r="K99" i="25"/>
  <c r="G198" i="38"/>
  <c r="G199" i="38"/>
  <c r="G200" i="38"/>
  <c r="G201" i="38"/>
  <c r="D201" i="38"/>
  <c r="D202" i="38"/>
  <c r="D203" i="38"/>
  <c r="D204" i="38"/>
  <c r="E205" i="38"/>
  <c r="H205" i="38"/>
  <c r="K205" i="38"/>
  <c r="L205" i="38" s="1"/>
  <c r="M205" i="38"/>
  <c r="N205" i="38" s="1"/>
  <c r="R205" i="38"/>
  <c r="O205" i="38" l="1"/>
  <c r="T205" i="38"/>
  <c r="F32" i="52"/>
  <c r="H32" i="52"/>
  <c r="G32" i="52"/>
  <c r="F33" i="51"/>
  <c r="H33" i="51"/>
  <c r="G33" i="51"/>
  <c r="F63" i="31"/>
  <c r="H63" i="31"/>
  <c r="G63" i="31"/>
  <c r="F29" i="54"/>
  <c r="H29" i="54"/>
  <c r="G29" i="54"/>
  <c r="F37" i="34"/>
  <c r="H37" i="34"/>
  <c r="G37" i="34"/>
  <c r="F32" i="53"/>
  <c r="H32" i="53"/>
  <c r="G32" i="53"/>
  <c r="F37" i="49"/>
  <c r="G37" i="49"/>
  <c r="H37" i="49"/>
  <c r="F27" i="57" l="1"/>
  <c r="G27" i="57"/>
  <c r="H27" i="57"/>
  <c r="F42" i="45"/>
  <c r="H42" i="45"/>
  <c r="G42" i="45"/>
  <c r="F287" i="25"/>
  <c r="H287" i="25"/>
  <c r="G287" i="25"/>
  <c r="K98" i="25"/>
  <c r="K97" i="25"/>
  <c r="K58" i="7"/>
  <c r="E204" i="38"/>
  <c r="H204" i="38"/>
  <c r="K204" i="38"/>
  <c r="L204" i="38" s="1"/>
  <c r="M204" i="38"/>
  <c r="T204" i="38" s="1"/>
  <c r="R204" i="38"/>
  <c r="O204" i="38" l="1"/>
  <c r="N204" i="38"/>
  <c r="F286" i="25"/>
  <c r="H286" i="25"/>
  <c r="G286" i="25"/>
  <c r="F27" i="50" l="1"/>
  <c r="H27" i="50"/>
  <c r="G27" i="50"/>
  <c r="F41" i="45"/>
  <c r="H41" i="45"/>
  <c r="F36" i="49" l="1"/>
  <c r="F28" i="55"/>
  <c r="G28" i="55"/>
  <c r="H28" i="55"/>
  <c r="G36" i="49"/>
  <c r="H36" i="49"/>
  <c r="F204" i="17"/>
  <c r="H204" i="17"/>
  <c r="F107" i="17"/>
  <c r="E203" i="38"/>
  <c r="H203" i="38"/>
  <c r="K203" i="38"/>
  <c r="L203" i="38" s="1"/>
  <c r="M203" i="38"/>
  <c r="T203" i="38" s="1"/>
  <c r="R203" i="38"/>
  <c r="M100" i="49"/>
  <c r="H100" i="49"/>
  <c r="C100" i="49"/>
  <c r="K84" i="49"/>
  <c r="K100" i="49" s="1"/>
  <c r="F84" i="49"/>
  <c r="F100" i="49" s="1"/>
  <c r="K107" i="17"/>
  <c r="G204" i="17"/>
  <c r="F106" i="17"/>
  <c r="G41" i="45"/>
  <c r="F135" i="25"/>
  <c r="K96" i="25"/>
  <c r="E202" i="38"/>
  <c r="H202" i="38"/>
  <c r="K202" i="38"/>
  <c r="L202" i="38" s="1"/>
  <c r="M202" i="38"/>
  <c r="T202" i="38" s="1"/>
  <c r="R202" i="38"/>
  <c r="O203" i="38" l="1"/>
  <c r="O202" i="38"/>
  <c r="N203" i="38"/>
  <c r="N202" i="38"/>
  <c r="M82" i="49"/>
  <c r="Q10" i="49" s="1"/>
  <c r="F32" i="51"/>
  <c r="H32" i="51"/>
  <c r="F26" i="57"/>
  <c r="G26" i="57"/>
  <c r="H26" i="57"/>
  <c r="F120" i="7"/>
  <c r="H120" i="7"/>
  <c r="G120" i="7"/>
  <c r="F31" i="53"/>
  <c r="H31" i="53"/>
  <c r="G31" i="53"/>
  <c r="F40" i="45" l="1"/>
  <c r="H40" i="45"/>
  <c r="G40" i="45"/>
  <c r="E201" i="38"/>
  <c r="H201" i="38"/>
  <c r="K201" i="38"/>
  <c r="M201" i="38"/>
  <c r="T201" i="38" s="1"/>
  <c r="R201" i="38"/>
  <c r="F203" i="17"/>
  <c r="H203" i="17"/>
  <c r="G203" i="17"/>
  <c r="K106" i="17"/>
  <c r="K105" i="17"/>
  <c r="F105" i="17"/>
  <c r="K104" i="17"/>
  <c r="L201" i="38" l="1"/>
  <c r="O201" i="38" s="1"/>
  <c r="N201" i="38"/>
  <c r="G193" i="38"/>
  <c r="G194" i="38"/>
  <c r="G195" i="38"/>
  <c r="G196" i="38"/>
  <c r="G197" i="38"/>
  <c r="D193" i="38"/>
  <c r="D194" i="38"/>
  <c r="D195" i="38"/>
  <c r="D196" i="38"/>
  <c r="D197" i="38"/>
  <c r="D198" i="38"/>
  <c r="D199" i="38"/>
  <c r="D200" i="38"/>
  <c r="F104" i="17"/>
  <c r="K60" i="17"/>
  <c r="F103" i="17" l="1"/>
  <c r="G32" i="51"/>
  <c r="K4" i="51"/>
  <c r="K59" i="17"/>
  <c r="K18" i="53"/>
  <c r="R200" i="38"/>
  <c r="M200" i="38"/>
  <c r="K200" i="38"/>
  <c r="L200" i="38" s="1"/>
  <c r="H200" i="38"/>
  <c r="E200" i="38"/>
  <c r="K19" i="53"/>
  <c r="N200" i="38" l="1"/>
  <c r="T200" i="38"/>
  <c r="O200" i="38"/>
  <c r="F202" i="17" l="1"/>
  <c r="H202" i="17"/>
  <c r="F30" i="53"/>
  <c r="H30" i="53"/>
  <c r="G30" i="53"/>
  <c r="F285" i="25" l="1"/>
  <c r="H285" i="25"/>
  <c r="F119" i="7" l="1"/>
  <c r="H119" i="7"/>
  <c r="E199" i="38"/>
  <c r="H199" i="38"/>
  <c r="K199" i="38"/>
  <c r="L199" i="38" s="1"/>
  <c r="M199" i="38"/>
  <c r="R199" i="38"/>
  <c r="G202" i="17"/>
  <c r="F102" i="17"/>
  <c r="K58" i="17"/>
  <c r="G285" i="25"/>
  <c r="K95" i="25"/>
  <c r="G119" i="7"/>
  <c r="K57" i="7"/>
  <c r="F57" i="7"/>
  <c r="F101" i="17"/>
  <c r="F134" i="25"/>
  <c r="K57" i="17"/>
  <c r="N199" i="38" l="1"/>
  <c r="T199" i="38"/>
  <c r="O199" i="38"/>
  <c r="H25" i="57"/>
  <c r="G25" i="57"/>
  <c r="F25" i="57"/>
  <c r="AE68" i="57"/>
  <c r="AD68" i="57"/>
  <c r="AE67" i="57"/>
  <c r="AD67" i="57"/>
  <c r="AE66" i="57"/>
  <c r="AD66" i="57"/>
  <c r="AE65" i="57"/>
  <c r="AD65" i="57"/>
  <c r="AE64" i="57"/>
  <c r="AD64" i="57"/>
  <c r="AE63" i="57"/>
  <c r="AD63" i="57"/>
  <c r="P63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AE55" i="57"/>
  <c r="AD55" i="57"/>
  <c r="P55" i="57"/>
  <c r="AE54" i="57"/>
  <c r="AD54" i="57"/>
  <c r="P54" i="57"/>
  <c r="AE53" i="57"/>
  <c r="AD53" i="57"/>
  <c r="P53" i="57"/>
  <c r="AE52" i="57"/>
  <c r="AD52" i="57"/>
  <c r="P52" i="57"/>
  <c r="AE51" i="57"/>
  <c r="AD51" i="57"/>
  <c r="P51" i="57"/>
  <c r="AE50" i="57"/>
  <c r="AD50" i="57"/>
  <c r="P50" i="57"/>
  <c r="AE49" i="57"/>
  <c r="AD49" i="57"/>
  <c r="P49" i="57"/>
  <c r="AE48" i="57"/>
  <c r="AD48" i="57"/>
  <c r="P48" i="57"/>
  <c r="AE47" i="57"/>
  <c r="AD47" i="57"/>
  <c r="P47" i="57"/>
  <c r="AE46" i="57"/>
  <c r="AD46" i="57"/>
  <c r="P46" i="57"/>
  <c r="AE45" i="57"/>
  <c r="AD45" i="57"/>
  <c r="P45" i="57"/>
  <c r="AE44" i="57"/>
  <c r="AD44" i="57"/>
  <c r="P44" i="57"/>
  <c r="AE43" i="57"/>
  <c r="AD43" i="57"/>
  <c r="P43" i="57"/>
  <c r="AE42" i="57"/>
  <c r="AD42" i="57"/>
  <c r="AE41" i="57"/>
  <c r="AD41" i="57"/>
  <c r="AE40" i="57"/>
  <c r="AD40" i="57"/>
  <c r="AE39" i="57"/>
  <c r="AD39" i="57"/>
  <c r="AE38" i="57"/>
  <c r="AD38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AE31" i="57"/>
  <c r="AD31" i="57"/>
  <c r="AE30" i="57"/>
  <c r="AD30" i="57"/>
  <c r="AE29" i="57"/>
  <c r="AD29" i="57"/>
  <c r="AE28" i="57"/>
  <c r="AD28" i="57"/>
  <c r="AE27" i="57"/>
  <c r="AD27" i="57"/>
  <c r="AE26" i="57"/>
  <c r="AD26" i="57"/>
  <c r="AE25" i="57"/>
  <c r="AD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K18" i="57"/>
  <c r="E198" i="38"/>
  <c r="H198" i="38"/>
  <c r="K198" i="38"/>
  <c r="L198" i="38" s="1"/>
  <c r="M198" i="38"/>
  <c r="N198" i="38" s="1"/>
  <c r="R198" i="38"/>
  <c r="F201" i="17"/>
  <c r="H201" i="17"/>
  <c r="G201" i="17"/>
  <c r="K56" i="17"/>
  <c r="F284" i="25"/>
  <c r="H284" i="25"/>
  <c r="G284" i="25"/>
  <c r="F133" i="25"/>
  <c r="F19" i="57"/>
  <c r="F18" i="57" l="1"/>
  <c r="Q2" i="57"/>
  <c r="O198" i="38"/>
  <c r="F31" i="52"/>
  <c r="H31" i="52"/>
  <c r="G31" i="52"/>
  <c r="F31" i="51"/>
  <c r="H31" i="51"/>
  <c r="G31" i="51"/>
  <c r="F283" i="25"/>
  <c r="H283" i="25"/>
  <c r="G283" i="25"/>
  <c r="F28" i="54"/>
  <c r="G28" i="54"/>
  <c r="H28" i="54"/>
  <c r="K2" i="54"/>
  <c r="K18" i="54" s="1"/>
  <c r="K52" i="17"/>
  <c r="F200" i="17"/>
  <c r="H200" i="17"/>
  <c r="G200" i="17"/>
  <c r="K55" i="17"/>
  <c r="F100" i="17"/>
  <c r="K94" i="25"/>
  <c r="F132" i="25"/>
  <c r="K93" i="25"/>
  <c r="F9" i="49"/>
  <c r="K5" i="49"/>
  <c r="E197" i="38"/>
  <c r="H197" i="38"/>
  <c r="K197" i="38"/>
  <c r="L197" i="38" s="1"/>
  <c r="M197" i="38"/>
  <c r="N197" i="38" s="1"/>
  <c r="R197" i="38"/>
  <c r="K19" i="54"/>
  <c r="Q3" i="57" l="1"/>
  <c r="Q6" i="57" s="1"/>
  <c r="Q5" i="57"/>
  <c r="Q8" i="57"/>
  <c r="Q7" i="57" s="1"/>
  <c r="O197" i="38"/>
  <c r="Q9" i="57" l="1"/>
  <c r="F62" i="31"/>
  <c r="H62" i="31"/>
  <c r="G62" i="31"/>
  <c r="F282" i="25"/>
  <c r="H282" i="25"/>
  <c r="G282" i="25"/>
  <c r="F131" i="25"/>
  <c r="F30" i="51"/>
  <c r="H30" i="51"/>
  <c r="G30" i="51"/>
  <c r="K2" i="51"/>
  <c r="K18" i="51" s="1"/>
  <c r="F39" i="45"/>
  <c r="H39" i="45"/>
  <c r="G39" i="45"/>
  <c r="F199" i="17"/>
  <c r="H199" i="17"/>
  <c r="G199" i="17"/>
  <c r="K54" i="17"/>
  <c r="F99" i="17"/>
  <c r="K53" i="17"/>
  <c r="E196" i="38"/>
  <c r="H196" i="38"/>
  <c r="K196" i="38"/>
  <c r="L196" i="38" s="1"/>
  <c r="M196" i="38"/>
  <c r="N196" i="38" s="1"/>
  <c r="R196" i="38"/>
  <c r="K19" i="51"/>
  <c r="O196" i="38" l="1"/>
  <c r="F27" i="55"/>
  <c r="G27" i="55"/>
  <c r="H27" i="55"/>
  <c r="G192" i="38"/>
  <c r="R195" i="38"/>
  <c r="M195" i="38"/>
  <c r="N195" i="38" s="1"/>
  <c r="K195" i="38"/>
  <c r="L195" i="38" s="1"/>
  <c r="H195" i="38"/>
  <c r="E195" i="38"/>
  <c r="F281" i="25"/>
  <c r="H281" i="25"/>
  <c r="G281" i="25"/>
  <c r="K92" i="25"/>
  <c r="O195" i="38" l="1"/>
  <c r="F198" i="17"/>
  <c r="H198" i="17"/>
  <c r="G198" i="17"/>
  <c r="K51" i="17"/>
  <c r="E194" i="38"/>
  <c r="H194" i="38"/>
  <c r="K194" i="38"/>
  <c r="L194" i="38" s="1"/>
  <c r="M194" i="38"/>
  <c r="N194" i="38" s="1"/>
  <c r="R194" i="38"/>
  <c r="O194" i="38" l="1"/>
  <c r="F29" i="53"/>
  <c r="H29" i="53"/>
  <c r="G29" i="53"/>
  <c r="F29" i="51"/>
  <c r="H29" i="51"/>
  <c r="G29" i="51"/>
  <c r="E193" i="38"/>
  <c r="H193" i="38"/>
  <c r="K193" i="38"/>
  <c r="L193" i="38" s="1"/>
  <c r="M193" i="38"/>
  <c r="N193" i="38" s="1"/>
  <c r="R193" i="38"/>
  <c r="F8" i="49"/>
  <c r="K4" i="49"/>
  <c r="O193" i="38" l="1"/>
  <c r="F5" i="51"/>
  <c r="F26" i="50" l="1"/>
  <c r="G26" i="50"/>
  <c r="H26" i="50"/>
  <c r="F28" i="51"/>
  <c r="G28" i="51"/>
  <c r="H28" i="51"/>
  <c r="F4" i="51" l="1"/>
  <c r="D192" i="38"/>
  <c r="E192" i="38"/>
  <c r="H192" i="38"/>
  <c r="K192" i="38"/>
  <c r="L192" i="38" s="1"/>
  <c r="M192" i="38"/>
  <c r="N192" i="38" s="1"/>
  <c r="R192" i="38"/>
  <c r="O192" i="38" l="1"/>
  <c r="F38" i="45"/>
  <c r="H38" i="45"/>
  <c r="G38" i="45"/>
  <c r="M55" i="47"/>
  <c r="H55" i="47"/>
  <c r="C55" i="47"/>
  <c r="K42" i="47"/>
  <c r="F42" i="47"/>
  <c r="K41" i="47"/>
  <c r="F41" i="47"/>
  <c r="K40" i="47"/>
  <c r="F40" i="47"/>
  <c r="K39" i="47"/>
  <c r="F39" i="47"/>
  <c r="D191" i="38"/>
  <c r="E191" i="38"/>
  <c r="G191" i="38"/>
  <c r="H191" i="38"/>
  <c r="K191" i="38"/>
  <c r="L191" i="38" s="1"/>
  <c r="M191" i="38"/>
  <c r="N191" i="38" s="1"/>
  <c r="R191" i="38"/>
  <c r="K3" i="49"/>
  <c r="K29" i="49" s="1"/>
  <c r="F27" i="54"/>
  <c r="G27" i="54"/>
  <c r="H27" i="54"/>
  <c r="F3" i="54"/>
  <c r="K30" i="49"/>
  <c r="F55" i="47" l="1"/>
  <c r="O191" i="38"/>
  <c r="K55" i="47"/>
  <c r="F37" i="45"/>
  <c r="H37" i="45"/>
  <c r="G37" i="45"/>
  <c r="F26" i="55"/>
  <c r="G26" i="55"/>
  <c r="H26" i="55"/>
  <c r="F280" i="25"/>
  <c r="H280" i="25"/>
  <c r="G280" i="25"/>
  <c r="K91" i="25"/>
  <c r="F130" i="25"/>
  <c r="G183" i="38"/>
  <c r="G184" i="38"/>
  <c r="G185" i="38"/>
  <c r="G186" i="38"/>
  <c r="G187" i="38"/>
  <c r="G188" i="38"/>
  <c r="G189" i="38"/>
  <c r="G190" i="38"/>
  <c r="D183" i="38"/>
  <c r="D184" i="38"/>
  <c r="D185" i="38"/>
  <c r="D186" i="38"/>
  <c r="D187" i="38"/>
  <c r="D188" i="38"/>
  <c r="D189" i="38"/>
  <c r="D190" i="38"/>
  <c r="E190" i="38"/>
  <c r="H190" i="38"/>
  <c r="K190" i="38"/>
  <c r="L190" i="38" s="1"/>
  <c r="M190" i="38"/>
  <c r="N190" i="38" s="1"/>
  <c r="R190" i="38"/>
  <c r="M37" i="47" l="1"/>
  <c r="Q10" i="47" s="1"/>
  <c r="O190" i="38"/>
  <c r="Q11" i="28" l="1"/>
  <c r="M51" i="28"/>
  <c r="H51" i="28"/>
  <c r="C51" i="28"/>
  <c r="F37" i="28"/>
  <c r="F36" i="28"/>
  <c r="K35" i="28"/>
  <c r="K51" i="28" s="1"/>
  <c r="F35" i="28"/>
  <c r="Q11" i="30"/>
  <c r="M35" i="30"/>
  <c r="H35" i="30"/>
  <c r="C35" i="30"/>
  <c r="F31" i="30"/>
  <c r="K30" i="30"/>
  <c r="F30" i="30"/>
  <c r="K29" i="30"/>
  <c r="F29" i="30"/>
  <c r="Q11" i="20"/>
  <c r="M49" i="20"/>
  <c r="H49" i="20"/>
  <c r="C49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Q11" i="26"/>
  <c r="M44" i="26"/>
  <c r="H44" i="26"/>
  <c r="C44" i="26"/>
  <c r="F40" i="26"/>
  <c r="K39" i="26"/>
  <c r="F39" i="26"/>
  <c r="K38" i="26"/>
  <c r="F38" i="26"/>
  <c r="K37" i="26"/>
  <c r="F37" i="26"/>
  <c r="K36" i="26"/>
  <c r="F36" i="26"/>
  <c r="K35" i="26"/>
  <c r="F35" i="26"/>
  <c r="Q11" i="52"/>
  <c r="Q11" i="48"/>
  <c r="M45" i="48"/>
  <c r="H45" i="48"/>
  <c r="C45" i="48"/>
  <c r="K36" i="48"/>
  <c r="K45" i="48" s="1"/>
  <c r="F36" i="48"/>
  <c r="F45" i="48" s="1"/>
  <c r="Q11" i="32"/>
  <c r="M47" i="32"/>
  <c r="H47" i="32"/>
  <c r="C47" i="32"/>
  <c r="F45" i="32"/>
  <c r="F44" i="32"/>
  <c r="F43" i="32"/>
  <c r="K42" i="32"/>
  <c r="F42" i="32"/>
  <c r="K41" i="32"/>
  <c r="F41" i="32"/>
  <c r="K40" i="32"/>
  <c r="F40" i="32"/>
  <c r="K39" i="32"/>
  <c r="F39" i="32"/>
  <c r="K38" i="32"/>
  <c r="F38" i="32"/>
  <c r="F51" i="28" l="1"/>
  <c r="M33" i="28" s="1"/>
  <c r="Q10" i="28" s="1"/>
  <c r="F35" i="30"/>
  <c r="M34" i="48"/>
  <c r="Q10" i="48" s="1"/>
  <c r="K47" i="32"/>
  <c r="K49" i="20"/>
  <c r="F44" i="26"/>
  <c r="F47" i="32"/>
  <c r="K44" i="26"/>
  <c r="K35" i="30"/>
  <c r="F49" i="20"/>
  <c r="E189" i="38"/>
  <c r="H189" i="38"/>
  <c r="K189" i="38"/>
  <c r="M189" i="38"/>
  <c r="N189" i="38" s="1"/>
  <c r="R189" i="38"/>
  <c r="Q11" i="46"/>
  <c r="M50" i="46"/>
  <c r="H50" i="46"/>
  <c r="C50" i="46"/>
  <c r="K40" i="46"/>
  <c r="K39" i="46"/>
  <c r="F39" i="46"/>
  <c r="K38" i="46"/>
  <c r="F38" i="46"/>
  <c r="Q11" i="45"/>
  <c r="F36" i="45"/>
  <c r="H36" i="45"/>
  <c r="G36" i="45"/>
  <c r="M33" i="26" l="1"/>
  <c r="Q10" i="26" s="1"/>
  <c r="M36" i="32"/>
  <c r="Q10" i="32" s="1"/>
  <c r="L189" i="38"/>
  <c r="O189" i="38" s="1"/>
  <c r="M27" i="30"/>
  <c r="Q10" i="30" s="1"/>
  <c r="M34" i="20"/>
  <c r="Q10" i="20" s="1"/>
  <c r="K50" i="46"/>
  <c r="F50" i="46"/>
  <c r="Q11" i="24"/>
  <c r="Q11" i="50"/>
  <c r="Q11" i="56"/>
  <c r="F279" i="25"/>
  <c r="H279" i="25"/>
  <c r="G279" i="25"/>
  <c r="K90" i="25"/>
  <c r="F129" i="25"/>
  <c r="Q11" i="17"/>
  <c r="Q10" i="17"/>
  <c r="F197" i="17"/>
  <c r="H197" i="17"/>
  <c r="G197" i="17"/>
  <c r="F98" i="17"/>
  <c r="K50" i="17"/>
  <c r="K49" i="17"/>
  <c r="Q11" i="16"/>
  <c r="H51" i="16"/>
  <c r="C51" i="16"/>
  <c r="F49" i="16"/>
  <c r="F48" i="16"/>
  <c r="K47" i="16"/>
  <c r="F47" i="16"/>
  <c r="K46" i="16"/>
  <c r="F46" i="16"/>
  <c r="K45" i="16"/>
  <c r="F45" i="16"/>
  <c r="K44" i="16"/>
  <c r="F44" i="16"/>
  <c r="K43" i="16"/>
  <c r="F43" i="16"/>
  <c r="K42" i="16"/>
  <c r="F42" i="16"/>
  <c r="K41" i="16"/>
  <c r="F41" i="16"/>
  <c r="K40" i="16"/>
  <c r="F40" i="16"/>
  <c r="K39" i="16"/>
  <c r="F39" i="16"/>
  <c r="K38" i="16"/>
  <c r="F38" i="16"/>
  <c r="K37" i="16"/>
  <c r="F37" i="16"/>
  <c r="Q11" i="25"/>
  <c r="Q10" i="25"/>
  <c r="Q11" i="5"/>
  <c r="H64" i="5"/>
  <c r="C64" i="5"/>
  <c r="F61" i="5"/>
  <c r="F60" i="5"/>
  <c r="F59" i="5"/>
  <c r="F58" i="5"/>
  <c r="F57" i="5"/>
  <c r="F56" i="5"/>
  <c r="F55" i="5"/>
  <c r="K54" i="5"/>
  <c r="F54" i="5"/>
  <c r="K53" i="5"/>
  <c r="F53" i="5"/>
  <c r="K52" i="5"/>
  <c r="F52" i="5"/>
  <c r="K51" i="5"/>
  <c r="F51" i="5"/>
  <c r="K50" i="5"/>
  <c r="F50" i="5"/>
  <c r="K49" i="5"/>
  <c r="F49" i="5"/>
  <c r="K48" i="5"/>
  <c r="F48" i="5"/>
  <c r="K47" i="5"/>
  <c r="F47" i="5"/>
  <c r="Q11" i="51"/>
  <c r="Q10" i="51"/>
  <c r="Q11" i="44"/>
  <c r="M37" i="44"/>
  <c r="H37" i="44"/>
  <c r="C37" i="44"/>
  <c r="K32" i="44"/>
  <c r="K37" i="44" s="1"/>
  <c r="F32" i="44"/>
  <c r="F37" i="44" s="1"/>
  <c r="Q11" i="13"/>
  <c r="M56" i="13"/>
  <c r="H56" i="13"/>
  <c r="C56" i="13"/>
  <c r="F51" i="13"/>
  <c r="F50" i="13"/>
  <c r="F49" i="13"/>
  <c r="F48" i="13"/>
  <c r="F47" i="13"/>
  <c r="F46" i="13"/>
  <c r="F45" i="13"/>
  <c r="F44" i="13"/>
  <c r="K43" i="13"/>
  <c r="F43" i="13"/>
  <c r="K42" i="13"/>
  <c r="F42" i="13"/>
  <c r="K41" i="13"/>
  <c r="F41" i="13"/>
  <c r="K40" i="13"/>
  <c r="F40" i="13"/>
  <c r="K39" i="13"/>
  <c r="F39" i="13"/>
  <c r="K38" i="13"/>
  <c r="F38" i="13"/>
  <c r="K37" i="13"/>
  <c r="F37" i="13"/>
  <c r="K36" i="13"/>
  <c r="F36" i="13"/>
  <c r="K35" i="13"/>
  <c r="F35" i="13"/>
  <c r="Q11" i="1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M47" i="29"/>
  <c r="H47" i="29"/>
  <c r="C47" i="29"/>
  <c r="F34" i="29"/>
  <c r="F33" i="29"/>
  <c r="K32" i="29"/>
  <c r="F32" i="29"/>
  <c r="K31" i="29"/>
  <c r="F31" i="29"/>
  <c r="Q11" i="29"/>
  <c r="Q11" i="43"/>
  <c r="M37" i="43"/>
  <c r="H37" i="43"/>
  <c r="C37" i="43"/>
  <c r="K30" i="43"/>
  <c r="K37" i="43" s="1"/>
  <c r="F30" i="43"/>
  <c r="F37" i="43" s="1"/>
  <c r="Q11" i="31"/>
  <c r="Q10" i="31"/>
  <c r="M61" i="40"/>
  <c r="H61" i="40"/>
  <c r="C61" i="40"/>
  <c r="K47" i="40"/>
  <c r="F47" i="40"/>
  <c r="K46" i="40"/>
  <c r="F46" i="40"/>
  <c r="K45" i="40"/>
  <c r="F45" i="40"/>
  <c r="Q11" i="40"/>
  <c r="Q11" i="54"/>
  <c r="Q10" i="54"/>
  <c r="Q11" i="34"/>
  <c r="Q10" i="34"/>
  <c r="Q11" i="49"/>
  <c r="Q11" i="7"/>
  <c r="H54" i="42"/>
  <c r="C54" i="42"/>
  <c r="K38" i="42"/>
  <c r="K54" i="42" s="1"/>
  <c r="F38" i="42"/>
  <c r="F54" i="42" s="1"/>
  <c r="Q11" i="42"/>
  <c r="Q11" i="53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57" i="33"/>
  <c r="C57" i="33"/>
  <c r="Q11" i="33"/>
  <c r="M50" i="15"/>
  <c r="H50" i="15"/>
  <c r="C50" i="15"/>
  <c r="F44" i="15"/>
  <c r="F43" i="15"/>
  <c r="F42" i="15"/>
  <c r="F41" i="15"/>
  <c r="F40" i="15"/>
  <c r="F39" i="15"/>
  <c r="K38" i="15"/>
  <c r="F38" i="15"/>
  <c r="K37" i="15"/>
  <c r="F37" i="15"/>
  <c r="K36" i="15"/>
  <c r="F36" i="15"/>
  <c r="K35" i="15"/>
  <c r="F35" i="15"/>
  <c r="I34" i="15"/>
  <c r="K34" i="15" s="1"/>
  <c r="F34" i="15"/>
  <c r="Q11" i="15"/>
  <c r="M18" i="22"/>
  <c r="K18" i="22"/>
  <c r="F18" i="22"/>
  <c r="Q11" i="22"/>
  <c r="C18" i="22"/>
  <c r="H18" i="22"/>
  <c r="K61" i="40" l="1"/>
  <c r="K47" i="29"/>
  <c r="K50" i="15"/>
  <c r="M36" i="46"/>
  <c r="Q10" i="46" s="1"/>
  <c r="F47" i="29"/>
  <c r="K128" i="10"/>
  <c r="M36" i="42"/>
  <c r="Q10" i="42" s="1"/>
  <c r="F50" i="15"/>
  <c r="M28" i="43"/>
  <c r="Q10" i="43" s="1"/>
  <c r="K56" i="13"/>
  <c r="K64" i="5"/>
  <c r="F61" i="40"/>
  <c r="M30" i="44"/>
  <c r="Q10" i="44" s="1"/>
  <c r="F64" i="5"/>
  <c r="F51" i="16"/>
  <c r="K51" i="16"/>
  <c r="F56" i="13"/>
  <c r="F128" i="10"/>
  <c r="Q11" i="55"/>
  <c r="Q11" i="41"/>
  <c r="M56" i="22"/>
  <c r="H56" i="22"/>
  <c r="C56" i="22"/>
  <c r="F51" i="22"/>
  <c r="F50" i="22"/>
  <c r="F49" i="22"/>
  <c r="K48" i="22"/>
  <c r="F48" i="22"/>
  <c r="K47" i="22"/>
  <c r="F47" i="22"/>
  <c r="K46" i="22"/>
  <c r="F46" i="22"/>
  <c r="K45" i="22"/>
  <c r="F45" i="22"/>
  <c r="K44" i="22"/>
  <c r="F44" i="22"/>
  <c r="K43" i="22"/>
  <c r="F43" i="22"/>
  <c r="K42" i="22"/>
  <c r="F42" i="22"/>
  <c r="N245" i="1"/>
  <c r="M29" i="29" l="1"/>
  <c r="Q10" i="29" s="1"/>
  <c r="M43" i="40"/>
  <c r="Q10" i="40" s="1"/>
  <c r="M75" i="10"/>
  <c r="Q10" i="10" s="1"/>
  <c r="M32" i="15"/>
  <c r="Q10" i="15" s="1"/>
  <c r="M33" i="13"/>
  <c r="Q10" i="13" s="1"/>
  <c r="M35" i="16"/>
  <c r="Q10" i="16" s="1"/>
  <c r="M45" i="5"/>
  <c r="Q10" i="5" s="1"/>
  <c r="K56" i="22"/>
  <c r="F56" i="22"/>
  <c r="C85" i="3"/>
  <c r="M40" i="22" l="1"/>
  <c r="Q10" i="22" s="1"/>
  <c r="H23" i="41"/>
  <c r="M59" i="41"/>
  <c r="C59" i="41"/>
  <c r="K55" i="41"/>
  <c r="F55" i="41"/>
  <c r="K54" i="41"/>
  <c r="F54" i="41"/>
  <c r="K53" i="41"/>
  <c r="F53" i="41"/>
  <c r="K52" i="41"/>
  <c r="F52" i="41"/>
  <c r="K51" i="41"/>
  <c r="F51" i="41"/>
  <c r="K50" i="41"/>
  <c r="F50" i="41"/>
  <c r="K59" i="41" l="1"/>
  <c r="F59" i="41"/>
  <c r="F196" i="17"/>
  <c r="H196" i="17"/>
  <c r="M48" i="41" l="1"/>
  <c r="Q10" i="41" s="1"/>
  <c r="F35" i="45"/>
  <c r="H35" i="45"/>
  <c r="G35" i="45"/>
  <c r="F25" i="50"/>
  <c r="G25" i="50"/>
  <c r="H25" i="50"/>
  <c r="G61" i="31"/>
  <c r="F61" i="31"/>
  <c r="H61" i="31"/>
  <c r="F36" i="34"/>
  <c r="H36" i="34"/>
  <c r="G36" i="34"/>
  <c r="F30" i="52"/>
  <c r="H30" i="52"/>
  <c r="F278" i="25"/>
  <c r="H278" i="25"/>
  <c r="F277" i="25"/>
  <c r="H277" i="25"/>
  <c r="K89" i="25"/>
  <c r="E188" i="38" l="1"/>
  <c r="H188" i="38"/>
  <c r="K188" i="38"/>
  <c r="L188" i="38" s="1"/>
  <c r="M188" i="38"/>
  <c r="N188" i="38" s="1"/>
  <c r="R188" i="38"/>
  <c r="G278" i="25"/>
  <c r="F128" i="25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AE58" i="56"/>
  <c r="AD58" i="56"/>
  <c r="P58" i="56"/>
  <c r="AE57" i="56"/>
  <c r="AD57" i="56"/>
  <c r="P57" i="56"/>
  <c r="AE56" i="56"/>
  <c r="AD56" i="56"/>
  <c r="P56" i="56"/>
  <c r="AE55" i="56"/>
  <c r="AD55" i="56"/>
  <c r="P55" i="56"/>
  <c r="AE54" i="56"/>
  <c r="AD54" i="56"/>
  <c r="P54" i="56"/>
  <c r="AE53" i="56"/>
  <c r="AD53" i="56"/>
  <c r="P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AE37" i="56"/>
  <c r="AD37" i="56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F18" i="56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AE59" i="55"/>
  <c r="AD59" i="55"/>
  <c r="P59" i="55"/>
  <c r="AE58" i="55"/>
  <c r="AD58" i="55"/>
  <c r="P58" i="55"/>
  <c r="AE57" i="55"/>
  <c r="AD57" i="55"/>
  <c r="P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AE40" i="55"/>
  <c r="AD40" i="55"/>
  <c r="AE39" i="55"/>
  <c r="AD39" i="55"/>
  <c r="AE38" i="55"/>
  <c r="AD38" i="55"/>
  <c r="AE37" i="55"/>
  <c r="AD37" i="55"/>
  <c r="AE36" i="55"/>
  <c r="AD36" i="55"/>
  <c r="AE35" i="55"/>
  <c r="AD35" i="55"/>
  <c r="AE34" i="55"/>
  <c r="AD34" i="55"/>
  <c r="AE33" i="55"/>
  <c r="AD33" i="55"/>
  <c r="AE32" i="55"/>
  <c r="AD32" i="55"/>
  <c r="AE31" i="55"/>
  <c r="AD31" i="55"/>
  <c r="AE30" i="55"/>
  <c r="AD30" i="55"/>
  <c r="AE29" i="55"/>
  <c r="AD29" i="55"/>
  <c r="AE28" i="55"/>
  <c r="AD28" i="55"/>
  <c r="AE27" i="55"/>
  <c r="AD27" i="55"/>
  <c r="AE26" i="55"/>
  <c r="AD26" i="55"/>
  <c r="AE25" i="55"/>
  <c r="AD25" i="55"/>
  <c r="AE24" i="55"/>
  <c r="AD24" i="55"/>
  <c r="AE23" i="55"/>
  <c r="AD23" i="55"/>
  <c r="AE22" i="55"/>
  <c r="AD22" i="55"/>
  <c r="AE21" i="55"/>
  <c r="AD21" i="55"/>
  <c r="H25" i="55"/>
  <c r="G25" i="55"/>
  <c r="F25" i="55"/>
  <c r="AE20" i="55"/>
  <c r="AD20" i="55"/>
  <c r="AE19" i="55"/>
  <c r="AD19" i="55"/>
  <c r="AE18" i="55"/>
  <c r="AD18" i="55"/>
  <c r="M18" i="55"/>
  <c r="H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G30" i="52"/>
  <c r="G277" i="25"/>
  <c r="F127" i="25"/>
  <c r="F126" i="25"/>
  <c r="G196" i="17"/>
  <c r="F97" i="17"/>
  <c r="F96" i="17"/>
  <c r="F95" i="17"/>
  <c r="F19" i="55"/>
  <c r="K19" i="55"/>
  <c r="K18" i="55" l="1"/>
  <c r="F18" i="55"/>
  <c r="O188" i="38"/>
  <c r="Q2" i="56"/>
  <c r="Q2" i="55"/>
  <c r="E187" i="38"/>
  <c r="H187" i="38"/>
  <c r="K187" i="38"/>
  <c r="L187" i="38" s="1"/>
  <c r="M187" i="38"/>
  <c r="N187" i="38" s="1"/>
  <c r="R187" i="38"/>
  <c r="Q5" i="56" l="1"/>
  <c r="Q5" i="55"/>
  <c r="O187" i="38"/>
  <c r="Q8" i="56"/>
  <c r="Q7" i="56" s="1"/>
  <c r="Q3" i="56"/>
  <c r="Q6" i="56" s="1"/>
  <c r="Q8" i="55"/>
  <c r="Q3" i="55"/>
  <c r="Q6" i="55" s="1"/>
  <c r="F276" i="25"/>
  <c r="H276" i="25"/>
  <c r="G276" i="25"/>
  <c r="K88" i="25"/>
  <c r="E186" i="38"/>
  <c r="H186" i="38"/>
  <c r="K186" i="38"/>
  <c r="L186" i="38" s="1"/>
  <c r="M186" i="38"/>
  <c r="N186" i="38" s="1"/>
  <c r="R186" i="38"/>
  <c r="Q9" i="56" l="1"/>
  <c r="O186" i="38"/>
  <c r="Q9" i="55"/>
  <c r="Q7" i="55"/>
  <c r="G180" i="38" l="1"/>
  <c r="G181" i="38"/>
  <c r="G182" i="38"/>
  <c r="D178" i="38"/>
  <c r="D179" i="38"/>
  <c r="D180" i="38"/>
  <c r="D181" i="38"/>
  <c r="D182" i="38"/>
  <c r="E185" i="38"/>
  <c r="H185" i="38"/>
  <c r="K185" i="38"/>
  <c r="L185" i="38" s="1"/>
  <c r="M185" i="38"/>
  <c r="N185" i="38" s="1"/>
  <c r="R185" i="38"/>
  <c r="F275" i="25"/>
  <c r="H275" i="25"/>
  <c r="G275" i="25"/>
  <c r="F125" i="25"/>
  <c r="F124" i="25"/>
  <c r="O185" i="38" l="1"/>
  <c r="F35" i="34"/>
  <c r="H35" i="34"/>
  <c r="G35" i="34"/>
  <c r="F28" i="53"/>
  <c r="G28" i="53"/>
  <c r="H28" i="53"/>
  <c r="E184" i="38" l="1"/>
  <c r="H184" i="38"/>
  <c r="K184" i="38"/>
  <c r="L184" i="38" s="1"/>
  <c r="M184" i="38"/>
  <c r="N184" i="38" s="1"/>
  <c r="R184" i="38"/>
  <c r="O184" i="38" l="1"/>
  <c r="C18" i="10"/>
  <c r="F195" i="17"/>
  <c r="H195" i="17"/>
  <c r="G195" i="17"/>
  <c r="K48" i="17"/>
  <c r="F274" i="25"/>
  <c r="H274" i="25"/>
  <c r="G274" i="25"/>
  <c r="F123" i="25"/>
  <c r="K87" i="25"/>
  <c r="K86" i="25"/>
  <c r="F27" i="53"/>
  <c r="G27" i="53"/>
  <c r="H27" i="53"/>
  <c r="F29" i="52"/>
  <c r="H29" i="52"/>
  <c r="G29" i="52"/>
  <c r="E183" i="38"/>
  <c r="H183" i="38"/>
  <c r="K183" i="38"/>
  <c r="L183" i="38" s="1"/>
  <c r="M183" i="38"/>
  <c r="N183" i="38" s="1"/>
  <c r="R183" i="38"/>
  <c r="F60" i="31"/>
  <c r="H60" i="31"/>
  <c r="G60" i="31"/>
  <c r="F26" i="54"/>
  <c r="G26" i="54"/>
  <c r="H26" i="54"/>
  <c r="F118" i="7"/>
  <c r="H118" i="7"/>
  <c r="G118" i="7"/>
  <c r="F26" i="53"/>
  <c r="G26" i="53"/>
  <c r="H26" i="53"/>
  <c r="O183" i="38" l="1"/>
  <c r="F273" i="25"/>
  <c r="H273" i="25"/>
  <c r="G273" i="25"/>
  <c r="F122" i="25" l="1"/>
  <c r="F121" i="25"/>
  <c r="F120" i="25"/>
  <c r="F194" i="17"/>
  <c r="H194" i="17"/>
  <c r="G194" i="17"/>
  <c r="F94" i="17"/>
  <c r="F93" i="17"/>
  <c r="E182" i="38"/>
  <c r="H182" i="38"/>
  <c r="K182" i="38"/>
  <c r="L182" i="38" s="1"/>
  <c r="M182" i="38"/>
  <c r="N182" i="38" s="1"/>
  <c r="R182" i="38"/>
  <c r="O182" i="38" l="1"/>
  <c r="F62" i="10"/>
  <c r="G62" i="10"/>
  <c r="F272" i="25"/>
  <c r="H272" i="25"/>
  <c r="G272" i="25"/>
  <c r="K85" i="25"/>
  <c r="F119" i="25"/>
  <c r="E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L180" i="38" s="1"/>
  <c r="M180" i="38"/>
  <c r="N180" i="38" s="1"/>
  <c r="R180" i="38"/>
  <c r="F271" i="25"/>
  <c r="H271" i="25"/>
  <c r="G271" i="25"/>
  <c r="K84" i="25"/>
  <c r="K83" i="25"/>
  <c r="F118" i="25"/>
  <c r="F117" i="25"/>
  <c r="O180" i="38" l="1"/>
  <c r="F34" i="45" l="1"/>
  <c r="H34" i="45"/>
  <c r="G34" i="45"/>
  <c r="F27" i="52"/>
  <c r="G27" i="52"/>
  <c r="H27" i="52"/>
  <c r="F28" i="52"/>
  <c r="G28" i="52"/>
  <c r="H28" i="52"/>
  <c r="G193" i="17"/>
  <c r="F193" i="17"/>
  <c r="H193" i="17"/>
  <c r="F27" i="51"/>
  <c r="G27" i="51"/>
  <c r="H27" i="51"/>
  <c r="F59" i="31"/>
  <c r="H59" i="31"/>
  <c r="G59" i="31"/>
  <c r="F58" i="31"/>
  <c r="H58" i="31"/>
  <c r="F270" i="25" l="1"/>
  <c r="H270" i="25"/>
  <c r="E179" i="38"/>
  <c r="H179" i="38"/>
  <c r="K179" i="38"/>
  <c r="L179" i="38" s="1"/>
  <c r="M179" i="38"/>
  <c r="N179" i="38" s="1"/>
  <c r="R179" i="38"/>
  <c r="G270" i="25"/>
  <c r="K82" i="25"/>
  <c r="F116" i="25"/>
  <c r="F92" i="17"/>
  <c r="F6" i="49"/>
  <c r="F114" i="25"/>
  <c r="F115" i="25"/>
  <c r="F5" i="49"/>
  <c r="F11" i="31"/>
  <c r="G58" i="31"/>
  <c r="F10" i="31"/>
  <c r="F113" i="25"/>
  <c r="O179" i="38" l="1"/>
  <c r="F269" i="25"/>
  <c r="H269" i="25"/>
  <c r="G269" i="25"/>
  <c r="F26" i="52"/>
  <c r="G26" i="52"/>
  <c r="H26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25" i="54"/>
  <c r="G25" i="54"/>
  <c r="F25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8" i="54"/>
  <c r="C18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17" i="7"/>
  <c r="H117" i="7"/>
  <c r="G117" i="7"/>
  <c r="F56" i="7"/>
  <c r="K56" i="7"/>
  <c r="M134" i="17"/>
  <c r="F192" i="17"/>
  <c r="H192" i="17"/>
  <c r="G192" i="17"/>
  <c r="K47" i="17"/>
  <c r="K46" i="17"/>
  <c r="F91" i="17"/>
  <c r="F112" i="25"/>
  <c r="H25" i="53"/>
  <c r="G25" i="53"/>
  <c r="F25" i="53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8" i="53"/>
  <c r="C18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57" i="31"/>
  <c r="H57" i="31"/>
  <c r="G57" i="31"/>
  <c r="F9" i="31"/>
  <c r="F19" i="54"/>
  <c r="F19" i="53"/>
  <c r="F18" i="53" l="1"/>
  <c r="F18" i="54"/>
  <c r="Q2" i="54"/>
  <c r="O178" i="38"/>
  <c r="Q2" i="53"/>
  <c r="F191" i="17"/>
  <c r="H191" i="17"/>
  <c r="G191" i="17"/>
  <c r="Q5" i="53" l="1"/>
  <c r="Q8" i="54"/>
  <c r="Q7" i="54" s="1"/>
  <c r="Q3" i="54"/>
  <c r="Q6" i="54" s="1"/>
  <c r="Q5" i="54"/>
  <c r="Q8" i="53"/>
  <c r="Q7" i="53" s="1"/>
  <c r="Q3" i="53"/>
  <c r="F268" i="25"/>
  <c r="H268" i="25"/>
  <c r="G268" i="25"/>
  <c r="K81" i="25"/>
  <c r="F111" i="25"/>
  <c r="F33" i="45"/>
  <c r="H33" i="45"/>
  <c r="G33" i="45"/>
  <c r="F90" i="17"/>
  <c r="E177" i="38"/>
  <c r="H177" i="38"/>
  <c r="K177" i="38"/>
  <c r="L177" i="38" s="1"/>
  <c r="M177" i="38"/>
  <c r="N177" i="38" s="1"/>
  <c r="R177" i="38"/>
  <c r="Q9" i="54" l="1"/>
  <c r="O177" i="38"/>
  <c r="Q6" i="53"/>
  <c r="Q9" i="53" s="1"/>
  <c r="E176" i="38"/>
  <c r="H176" i="38"/>
  <c r="K176" i="38"/>
  <c r="L176" i="38" s="1"/>
  <c r="M176" i="38"/>
  <c r="N176" i="38" s="1"/>
  <c r="R176" i="38"/>
  <c r="F4" i="49"/>
  <c r="F190" i="17"/>
  <c r="H190" i="17"/>
  <c r="G190" i="17"/>
  <c r="K45" i="17"/>
  <c r="K44" i="17"/>
  <c r="F267" i="25"/>
  <c r="H267" i="25"/>
  <c r="G267" i="25"/>
  <c r="K80" i="25"/>
  <c r="O176" i="38" l="1"/>
  <c r="F26" i="51"/>
  <c r="G26" i="51"/>
  <c r="H26" i="51"/>
  <c r="G173" i="38"/>
  <c r="G174" i="38"/>
  <c r="R175" i="38"/>
  <c r="M175" i="38"/>
  <c r="N175" i="38" s="1"/>
  <c r="K175" i="38"/>
  <c r="L175" i="38" s="1"/>
  <c r="H175" i="38"/>
  <c r="E175" i="38"/>
  <c r="F266" i="25"/>
  <c r="H266" i="25"/>
  <c r="G266" i="25"/>
  <c r="F110" i="25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25" i="52"/>
  <c r="G25" i="52"/>
  <c r="F25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19" i="52"/>
  <c r="F18" i="52" l="1"/>
  <c r="Q2" i="52"/>
  <c r="O175" i="38"/>
  <c r="F32" i="45"/>
  <c r="H32" i="45"/>
  <c r="G32" i="45"/>
  <c r="F24" i="50"/>
  <c r="G24" i="50"/>
  <c r="H24" i="50"/>
  <c r="F189" i="17"/>
  <c r="H189" i="17"/>
  <c r="G189" i="17"/>
  <c r="F265" i="25"/>
  <c r="H265" i="25"/>
  <c r="G265" i="25"/>
  <c r="H25" i="51"/>
  <c r="G25" i="51"/>
  <c r="F25" i="51"/>
  <c r="M29" i="49"/>
  <c r="Q3" i="52" l="1"/>
  <c r="Q6" i="52" s="1"/>
  <c r="Q8" i="52"/>
  <c r="Q7" i="52" s="1"/>
  <c r="Q5" i="52"/>
  <c r="F34" i="34"/>
  <c r="H34" i="34"/>
  <c r="G34" i="34"/>
  <c r="K4" i="34"/>
  <c r="F3" i="51"/>
  <c r="E174" i="38"/>
  <c r="H174" i="38"/>
  <c r="K174" i="38"/>
  <c r="M174" i="38"/>
  <c r="N174" i="38" s="1"/>
  <c r="R174" i="38"/>
  <c r="F2" i="5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F3" i="49"/>
  <c r="F19" i="51"/>
  <c r="F18" i="51" l="1"/>
  <c r="Q9" i="52"/>
  <c r="L174" i="38"/>
  <c r="O174" i="38" s="1"/>
  <c r="Q2" i="51"/>
  <c r="E173" i="38"/>
  <c r="H173" i="38"/>
  <c r="K173" i="38"/>
  <c r="M173" i="38"/>
  <c r="N173" i="38" s="1"/>
  <c r="R173" i="38"/>
  <c r="Q5" i="51" l="1"/>
  <c r="Q8" i="51"/>
  <c r="Q7" i="51" s="1"/>
  <c r="L173" i="38"/>
  <c r="O173" i="38" s="1"/>
  <c r="Q3" i="51"/>
  <c r="F116" i="7"/>
  <c r="H116" i="7"/>
  <c r="G116" i="7"/>
  <c r="F55" i="7"/>
  <c r="E172" i="38"/>
  <c r="G172" i="38"/>
  <c r="H172" i="38"/>
  <c r="K172" i="38"/>
  <c r="L172" i="38" s="1"/>
  <c r="M172" i="38"/>
  <c r="N172" i="38" s="1"/>
  <c r="R172" i="38"/>
  <c r="Q6" i="51" l="1"/>
  <c r="Q9" i="51" s="1"/>
  <c r="O172" i="38"/>
  <c r="D171" i="38"/>
  <c r="E171" i="38"/>
  <c r="G171" i="38"/>
  <c r="H171" i="38"/>
  <c r="K171" i="38"/>
  <c r="M171" i="38"/>
  <c r="N171" i="38" s="1"/>
  <c r="R171" i="38"/>
  <c r="K55" i="7"/>
  <c r="L171" i="38" l="1"/>
  <c r="O171" i="38" s="1"/>
  <c r="F56" i="31"/>
  <c r="H56" i="31"/>
  <c r="G56" i="31"/>
  <c r="K6" i="31"/>
  <c r="F61" i="10"/>
  <c r="G61" i="10"/>
  <c r="F264" i="25"/>
  <c r="H264" i="25"/>
  <c r="G264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8" i="45"/>
  <c r="F263" i="25" l="1"/>
  <c r="H263" i="25"/>
  <c r="G263" i="25"/>
  <c r="K23" i="25"/>
  <c r="F109" i="25"/>
  <c r="E169" i="38"/>
  <c r="H169" i="38"/>
  <c r="K169" i="38"/>
  <c r="L169" i="38" s="1"/>
  <c r="M169" i="38"/>
  <c r="N169" i="38" s="1"/>
  <c r="R169" i="38"/>
  <c r="O169" i="38" l="1"/>
  <c r="F31" i="45"/>
  <c r="H31" i="45"/>
  <c r="G31" i="45"/>
  <c r="F262" i="25"/>
  <c r="H262" i="25"/>
  <c r="G262" i="25"/>
  <c r="F261" i="25"/>
  <c r="G261" i="25"/>
  <c r="H261" i="25"/>
  <c r="K78" i="25"/>
  <c r="F108" i="25"/>
  <c r="E168" i="38"/>
  <c r="H168" i="38"/>
  <c r="K168" i="38"/>
  <c r="L168" i="38" s="1"/>
  <c r="M168" i="38"/>
  <c r="N168" i="38" s="1"/>
  <c r="R168" i="38"/>
  <c r="O168" i="38" l="1"/>
  <c r="F55" i="31" l="1"/>
  <c r="H55" i="31"/>
  <c r="G55" i="31"/>
  <c r="F260" i="25" l="1"/>
  <c r="H260" i="25"/>
  <c r="G260" i="25"/>
  <c r="F107" i="25"/>
  <c r="F188" i="17"/>
  <c r="H188" i="17"/>
  <c r="G188" i="17"/>
  <c r="K43" i="17"/>
  <c r="F30" i="45"/>
  <c r="H30" i="45"/>
  <c r="G30" i="45"/>
  <c r="E167" i="38"/>
  <c r="H167" i="38"/>
  <c r="K167" i="38"/>
  <c r="L167" i="38" s="1"/>
  <c r="M167" i="38"/>
  <c r="N167" i="38" s="1"/>
  <c r="R167" i="38"/>
  <c r="K19" i="45"/>
  <c r="K18" i="45" l="1"/>
  <c r="O167" i="38"/>
  <c r="K74" i="25"/>
  <c r="G259" i="25" l="1"/>
  <c r="F259" i="25"/>
  <c r="H259" i="25"/>
  <c r="H23" i="50"/>
  <c r="G23" i="50"/>
  <c r="F23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F18" i="50"/>
  <c r="D166" i="38"/>
  <c r="E166" i="38"/>
  <c r="G166" i="38"/>
  <c r="H166" i="38"/>
  <c r="K166" i="38"/>
  <c r="L166" i="38" s="1"/>
  <c r="M166" i="38"/>
  <c r="N166" i="38" s="1"/>
  <c r="R166" i="38"/>
  <c r="G187" i="17"/>
  <c r="F187" i="17"/>
  <c r="H187" i="17"/>
  <c r="F89" i="17"/>
  <c r="F60" i="10"/>
  <c r="G60" i="10"/>
  <c r="F106" i="25"/>
  <c r="K77" i="25"/>
  <c r="K76" i="25"/>
  <c r="K75" i="25"/>
  <c r="K73" i="25"/>
  <c r="F19" i="50"/>
  <c r="O166" i="38" l="1"/>
  <c r="Q2" i="50"/>
  <c r="Q3" i="50" s="1"/>
  <c r="F33" i="34"/>
  <c r="H33" i="34"/>
  <c r="G33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F258" i="25"/>
  <c r="H258" i="25"/>
  <c r="G258" i="25"/>
  <c r="F105" i="25"/>
  <c r="F104" i="25"/>
  <c r="Q5" i="50" l="1"/>
  <c r="Q8" i="50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M186" i="25"/>
  <c r="Q7" i="50" l="1"/>
  <c r="Q6" i="50"/>
  <c r="Q9" i="50" s="1"/>
  <c r="K27" i="1"/>
  <c r="F27" i="1"/>
  <c r="F29" i="45"/>
  <c r="H29" i="45"/>
  <c r="G29" i="45"/>
  <c r="F53" i="31"/>
  <c r="F54" i="31"/>
  <c r="H54" i="31"/>
  <c r="G54" i="31"/>
  <c r="G257" i="25"/>
  <c r="F257" i="25"/>
  <c r="H257" i="25"/>
  <c r="M81" i="7"/>
  <c r="C81" i="7"/>
  <c r="N27" i="1" l="1"/>
  <c r="O27" i="1" s="1"/>
  <c r="K72" i="25"/>
  <c r="E164" i="38"/>
  <c r="H164" i="38"/>
  <c r="K164" i="38"/>
  <c r="L164" i="38" s="1"/>
  <c r="M164" i="38"/>
  <c r="N164" i="38" s="1"/>
  <c r="R164" i="38"/>
  <c r="F186" i="17"/>
  <c r="H186" i="17"/>
  <c r="G186" i="17"/>
  <c r="F185" i="17"/>
  <c r="H185" i="17"/>
  <c r="G185" i="17"/>
  <c r="K42" i="17"/>
  <c r="F54" i="17"/>
  <c r="F55" i="17"/>
  <c r="F56" i="17"/>
  <c r="C135" i="17"/>
  <c r="H135" i="17"/>
  <c r="M135" i="17"/>
  <c r="O164" i="38" l="1"/>
  <c r="F2" i="49"/>
  <c r="F29" i="49" s="1"/>
  <c r="E163" i="38"/>
  <c r="H163" i="38"/>
  <c r="K163" i="38"/>
  <c r="L163" i="38" s="1"/>
  <c r="M163" i="38"/>
  <c r="N163" i="38" s="1"/>
  <c r="R163" i="38"/>
  <c r="F30" i="49"/>
  <c r="O163" i="38" l="1"/>
  <c r="E162" i="38"/>
  <c r="H162" i="38"/>
  <c r="K162" i="38"/>
  <c r="L162" i="38" s="1"/>
  <c r="M162" i="38"/>
  <c r="N162" i="38" s="1"/>
  <c r="R162" i="38"/>
  <c r="F88" i="17"/>
  <c r="F59" i="10"/>
  <c r="G59" i="10"/>
  <c r="F28" i="45"/>
  <c r="H28" i="45"/>
  <c r="G28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F186" i="25"/>
  <c r="F185" i="25" l="1"/>
  <c r="E161" i="38"/>
  <c r="H161" i="38"/>
  <c r="K161" i="38"/>
  <c r="L161" i="38" s="1"/>
  <c r="M161" i="38"/>
  <c r="N161" i="38" s="1"/>
  <c r="R161" i="38"/>
  <c r="G184" i="17"/>
  <c r="F184" i="17"/>
  <c r="H184" i="17"/>
  <c r="F256" i="25"/>
  <c r="H256" i="25"/>
  <c r="G256" i="25"/>
  <c r="K71" i="25"/>
  <c r="F255" i="25"/>
  <c r="H255" i="25"/>
  <c r="G255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58" i="10"/>
  <c r="F58" i="10"/>
  <c r="G58" i="10"/>
  <c r="O160" i="38" l="1"/>
  <c r="E159" i="38"/>
  <c r="H159" i="38"/>
  <c r="K159" i="38"/>
  <c r="L159" i="38" s="1"/>
  <c r="M159" i="38"/>
  <c r="N159" i="38" s="1"/>
  <c r="R159" i="38"/>
  <c r="G183" i="17"/>
  <c r="F183" i="17"/>
  <c r="H183" i="17"/>
  <c r="K41" i="17"/>
  <c r="F254" i="25"/>
  <c r="H254" i="25"/>
  <c r="G254" i="25"/>
  <c r="K70" i="25"/>
  <c r="F253" i="25"/>
  <c r="H253" i="25"/>
  <c r="G253" i="25"/>
  <c r="K69" i="25"/>
  <c r="O159" i="38" l="1"/>
  <c r="F252" i="25"/>
  <c r="H252" i="25"/>
  <c r="G252" i="25"/>
  <c r="K68" i="25"/>
  <c r="F57" i="10"/>
  <c r="G57" i="10"/>
  <c r="K54" i="7"/>
  <c r="F54" i="7"/>
  <c r="E158" i="38"/>
  <c r="H158" i="38"/>
  <c r="K158" i="38"/>
  <c r="M158" i="38"/>
  <c r="N158" i="38" s="1"/>
  <c r="R158" i="38"/>
  <c r="L158" i="38" l="1"/>
  <c r="O158" i="38" s="1"/>
  <c r="H53" i="31"/>
  <c r="G53" i="31"/>
  <c r="F251" i="25" l="1"/>
  <c r="H251" i="25"/>
  <c r="G251" i="25"/>
  <c r="K67" i="25"/>
  <c r="E157" i="38"/>
  <c r="H157" i="38"/>
  <c r="K157" i="38"/>
  <c r="M157" i="38"/>
  <c r="N157" i="38" s="1"/>
  <c r="R157" i="38"/>
  <c r="L157" i="38" l="1"/>
  <c r="O157" i="38" s="1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250" i="25"/>
  <c r="F250" i="25"/>
  <c r="E154" i="38" l="1"/>
  <c r="H154" i="38"/>
  <c r="K154" i="38"/>
  <c r="L154" i="38" s="1"/>
  <c r="O154" i="38" s="1"/>
  <c r="M154" i="38"/>
  <c r="N154" i="38" s="1"/>
  <c r="R154" i="38"/>
  <c r="H56" i="10" l="1"/>
  <c r="F56" i="10"/>
  <c r="G56" i="10"/>
  <c r="F182" i="17" l="1"/>
  <c r="H182" i="17"/>
  <c r="G182" i="17"/>
  <c r="F87" i="17"/>
  <c r="H250" i="25"/>
  <c r="E153" i="38"/>
  <c r="H153" i="38"/>
  <c r="K153" i="38"/>
  <c r="M153" i="38"/>
  <c r="N153" i="38" s="1"/>
  <c r="R153" i="38"/>
  <c r="L153" i="38" l="1"/>
  <c r="O153" i="38" s="1"/>
  <c r="F181" i="17"/>
  <c r="H181" i="17"/>
  <c r="G181" i="17"/>
  <c r="F86" i="17"/>
  <c r="E152" i="38"/>
  <c r="H152" i="38"/>
  <c r="K152" i="38"/>
  <c r="L152" i="38" s="1"/>
  <c r="M152" i="38"/>
  <c r="N152" i="38" s="1"/>
  <c r="R152" i="38"/>
  <c r="F249" i="25"/>
  <c r="H249" i="25"/>
  <c r="G249" i="25"/>
  <c r="K66" i="25"/>
  <c r="K65" i="25"/>
  <c r="O152" i="38" l="1"/>
  <c r="H52" i="31"/>
  <c r="F52" i="31"/>
  <c r="G52" i="31"/>
  <c r="F180" i="17" l="1"/>
  <c r="H180" i="17"/>
  <c r="G180" i="17"/>
  <c r="H134" i="17"/>
  <c r="C134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248" i="25"/>
  <c r="H248" i="25"/>
  <c r="E151" i="38"/>
  <c r="H151" i="38"/>
  <c r="K151" i="38"/>
  <c r="L151" i="38" s="1"/>
  <c r="M151" i="38"/>
  <c r="N151" i="38" s="1"/>
  <c r="G248" i="25"/>
  <c r="F85" i="17"/>
  <c r="K40" i="17"/>
  <c r="O151" i="38" l="1"/>
  <c r="C31" i="31"/>
  <c r="F32" i="34" l="1"/>
  <c r="H32" i="34"/>
  <c r="G32" i="34"/>
  <c r="F115" i="7"/>
  <c r="H115" i="7"/>
  <c r="G115" i="7"/>
  <c r="F247" i="25" l="1"/>
  <c r="H247" i="25"/>
  <c r="G247" i="25"/>
  <c r="K63" i="25"/>
  <c r="F179" i="17"/>
  <c r="H179" i="17"/>
  <c r="G179" i="17"/>
  <c r="K39" i="17"/>
  <c r="K38" i="17"/>
  <c r="F84" i="17"/>
  <c r="K37" i="17"/>
  <c r="K64" i="25"/>
  <c r="K62" i="25"/>
  <c r="R150" i="38"/>
  <c r="K61" i="25"/>
  <c r="K60" i="25"/>
  <c r="F178" i="17"/>
  <c r="H178" i="17"/>
  <c r="G178" i="17"/>
  <c r="F83" i="17"/>
  <c r="F82" i="17"/>
  <c r="F51" i="31"/>
  <c r="H51" i="31"/>
  <c r="G51" i="31"/>
  <c r="K5" i="31"/>
  <c r="H18" i="33"/>
  <c r="L18" i="33"/>
  <c r="M18" i="33"/>
  <c r="F56" i="33"/>
  <c r="K18" i="33"/>
  <c r="K36" i="17"/>
  <c r="E150" i="38"/>
  <c r="H150" i="38"/>
  <c r="K150" i="38"/>
  <c r="L150" i="38" s="1"/>
  <c r="M150" i="38"/>
  <c r="N150" i="38" s="1"/>
  <c r="F177" i="17"/>
  <c r="G177" i="17"/>
  <c r="H177" i="17"/>
  <c r="F81" i="17"/>
  <c r="F80" i="17"/>
  <c r="K59" i="25"/>
  <c r="O150" i="38" l="1"/>
  <c r="K35" i="17"/>
  <c r="F55" i="33"/>
  <c r="F55" i="10"/>
  <c r="G55" i="10"/>
  <c r="F246" i="25"/>
  <c r="H246" i="25"/>
  <c r="G246" i="25"/>
  <c r="E149" i="38"/>
  <c r="H149" i="38"/>
  <c r="K149" i="38"/>
  <c r="M149" i="38"/>
  <c r="N149" i="38" s="1"/>
  <c r="R149" i="38"/>
  <c r="L149" i="38" l="1"/>
  <c r="O149" i="38" s="1"/>
  <c r="H50" i="31"/>
  <c r="F50" i="31"/>
  <c r="G50" i="31"/>
  <c r="R148" i="38" l="1"/>
  <c r="E148" i="38"/>
  <c r="H148" i="38"/>
  <c r="K148" i="38"/>
  <c r="M148" i="38"/>
  <c r="N148" i="38" s="1"/>
  <c r="F54" i="10"/>
  <c r="H54" i="10"/>
  <c r="G54" i="10"/>
  <c r="L148" i="38" l="1"/>
  <c r="O148" i="38" s="1"/>
  <c r="F31" i="46"/>
  <c r="G31" i="46"/>
  <c r="H31" i="46"/>
  <c r="F27" i="45" l="1"/>
  <c r="H27" i="45"/>
  <c r="G27" i="45"/>
  <c r="F30" i="46"/>
  <c r="H30" i="46"/>
  <c r="G30" i="46"/>
  <c r="F176" i="17"/>
  <c r="H176" i="17"/>
  <c r="G176" i="17"/>
  <c r="F114" i="7"/>
  <c r="H114" i="7"/>
  <c r="G114" i="7"/>
  <c r="O2" i="38"/>
  <c r="E147" i="38"/>
  <c r="H147" i="38"/>
  <c r="K147" i="38"/>
  <c r="M147" i="38"/>
  <c r="N147" i="38" s="1"/>
  <c r="F53" i="10"/>
  <c r="H53" i="10"/>
  <c r="G53" i="10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E145" i="38" l="1"/>
  <c r="H145" i="38"/>
  <c r="K145" i="38"/>
  <c r="L145" i="38" s="1"/>
  <c r="O145" i="38" s="1"/>
  <c r="M145" i="38"/>
  <c r="N145" i="38" s="1"/>
  <c r="F52" i="10"/>
  <c r="H52" i="10"/>
  <c r="G52" i="10"/>
  <c r="G51" i="10"/>
  <c r="F51" i="10"/>
  <c r="H51" i="10"/>
  <c r="F245" i="25"/>
  <c r="H245" i="25"/>
  <c r="G245" i="25"/>
  <c r="K58" i="25"/>
  <c r="F244" i="25" l="1"/>
  <c r="H244" i="25"/>
  <c r="G244" i="25"/>
  <c r="E144" i="38" l="1"/>
  <c r="H144" i="38"/>
  <c r="K144" i="38"/>
  <c r="L144" i="38" s="1"/>
  <c r="O144" i="38" s="1"/>
  <c r="M144" i="38"/>
  <c r="N144" i="38" s="1"/>
  <c r="F26" i="45" l="1"/>
  <c r="H26" i="45"/>
  <c r="G26" i="45"/>
  <c r="E143" i="38" l="1"/>
  <c r="H143" i="38"/>
  <c r="K143" i="38"/>
  <c r="L143" i="38" s="1"/>
  <c r="O143" i="38" s="1"/>
  <c r="M143" i="38"/>
  <c r="N143" i="38" s="1"/>
  <c r="E142" i="38" l="1"/>
  <c r="H142" i="38"/>
  <c r="K142" i="38"/>
  <c r="L142" i="38" s="1"/>
  <c r="O142" i="38" s="1"/>
  <c r="M142" i="38"/>
  <c r="N142" i="38" s="1"/>
  <c r="D128" i="38" l="1"/>
  <c r="D129" i="38"/>
  <c r="D130" i="38"/>
  <c r="D131" i="38"/>
  <c r="F29" i="46"/>
  <c r="H29" i="46"/>
  <c r="G29" i="46"/>
  <c r="F175" i="17"/>
  <c r="H175" i="17"/>
  <c r="G175" i="17"/>
  <c r="F79" i="17"/>
  <c r="K34" i="17"/>
  <c r="F78" i="17"/>
  <c r="F77" i="17"/>
  <c r="K141" i="38"/>
  <c r="L141" i="38" s="1"/>
  <c r="O141" i="38" s="1"/>
  <c r="M141" i="38"/>
  <c r="N141" i="38" s="1"/>
  <c r="H141" i="38"/>
  <c r="E141" i="38"/>
  <c r="H18" i="41" l="1"/>
  <c r="F28" i="46"/>
  <c r="H28" i="46"/>
  <c r="G28" i="46"/>
  <c r="F243" i="25" l="1"/>
  <c r="H243" i="25"/>
  <c r="G243" i="25"/>
  <c r="H140" i="38" l="1"/>
  <c r="E140" i="38"/>
  <c r="C18" i="41"/>
  <c r="K140" i="38"/>
  <c r="L140" i="38" s="1"/>
  <c r="O140" i="38" s="1"/>
  <c r="M140" i="38"/>
  <c r="N140" i="38" s="1"/>
  <c r="G50" i="10"/>
  <c r="F50" i="10"/>
  <c r="H50" i="10"/>
  <c r="F49" i="10"/>
  <c r="H49" i="10"/>
  <c r="G49" i="10"/>
  <c r="K54" i="25"/>
  <c r="K57" i="25"/>
  <c r="Q2" i="25" l="1"/>
  <c r="G242" i="25"/>
  <c r="F242" i="25"/>
  <c r="H242" i="25"/>
  <c r="K56" i="25"/>
  <c r="H139" i="38"/>
  <c r="E139" i="38"/>
  <c r="K139" i="38"/>
  <c r="L139" i="38" s="1"/>
  <c r="O139" i="38" s="1"/>
  <c r="M139" i="38"/>
  <c r="N139" i="38" s="1"/>
  <c r="H18" i="46" l="1"/>
  <c r="F25" i="45" l="1"/>
  <c r="G25" i="45"/>
  <c r="H25" i="45"/>
  <c r="F28" i="47"/>
  <c r="H28" i="47"/>
  <c r="G28" i="47"/>
  <c r="F26" i="44"/>
  <c r="G26" i="44"/>
  <c r="H26" i="44"/>
  <c r="F49" i="31"/>
  <c r="H49" i="31"/>
  <c r="G49" i="31"/>
  <c r="F24" i="48"/>
  <c r="G24" i="48"/>
  <c r="H24" i="48"/>
  <c r="F174" i="17"/>
  <c r="H174" i="17"/>
  <c r="G174" i="17"/>
  <c r="F27" i="46"/>
  <c r="H27" i="46"/>
  <c r="G27" i="46"/>
  <c r="F32" i="40"/>
  <c r="H32" i="40"/>
  <c r="G32" i="40"/>
  <c r="F21" i="10"/>
  <c r="G21" i="10"/>
  <c r="F113" i="7"/>
  <c r="H113" i="7"/>
  <c r="G113" i="7"/>
  <c r="G241" i="25"/>
  <c r="F241" i="25"/>
  <c r="H241" i="25"/>
  <c r="K138" i="38"/>
  <c r="L138" i="38" s="1"/>
  <c r="O138" i="38" s="1"/>
  <c r="M138" i="38"/>
  <c r="N138" i="38" s="1"/>
  <c r="H138" i="38"/>
  <c r="E138" i="38"/>
  <c r="F48" i="10"/>
  <c r="H48" i="10"/>
  <c r="G48" i="10"/>
  <c r="H18" i="10"/>
  <c r="K55" i="25"/>
  <c r="K53" i="25"/>
  <c r="K53" i="7"/>
  <c r="K52" i="25"/>
  <c r="K33" i="17"/>
  <c r="K51" i="25"/>
  <c r="M18" i="46"/>
  <c r="F24" i="45"/>
  <c r="G24" i="45"/>
  <c r="H24" i="45"/>
  <c r="F47" i="10" l="1"/>
  <c r="H47" i="10"/>
  <c r="G47" i="10"/>
  <c r="F48" i="31"/>
  <c r="H48" i="31"/>
  <c r="G48" i="31"/>
  <c r="F23" i="48"/>
  <c r="G23" i="48"/>
  <c r="H23" i="48"/>
  <c r="F26" i="46"/>
  <c r="H26" i="46"/>
  <c r="G26" i="46"/>
  <c r="F31" i="40"/>
  <c r="H31" i="40"/>
  <c r="G31" i="40"/>
  <c r="F31" i="34"/>
  <c r="H31" i="34"/>
  <c r="G31" i="34"/>
  <c r="G112" i="7"/>
  <c r="F112" i="7"/>
  <c r="H112" i="7"/>
  <c r="G240" i="25"/>
  <c r="F240" i="25"/>
  <c r="H240" i="25"/>
  <c r="K50" i="25"/>
  <c r="K137" i="38"/>
  <c r="L137" i="38" s="1"/>
  <c r="O137" i="38" s="1"/>
  <c r="M137" i="38"/>
  <c r="N137" i="38" s="1"/>
  <c r="H137" i="38"/>
  <c r="E137" i="38"/>
  <c r="K49" i="25"/>
  <c r="G239" i="25"/>
  <c r="F239" i="25"/>
  <c r="H239" i="25"/>
  <c r="F25" i="44"/>
  <c r="G25" i="44"/>
  <c r="H25" i="44"/>
  <c r="F238" i="25" l="1"/>
  <c r="G238" i="25"/>
  <c r="H238" i="25"/>
  <c r="F237" i="25"/>
  <c r="H237" i="25"/>
  <c r="G237" i="25"/>
  <c r="F236" i="25"/>
  <c r="H236" i="25"/>
  <c r="G236" i="25"/>
  <c r="F235" i="25"/>
  <c r="H235" i="25"/>
  <c r="G235" i="25"/>
  <c r="F234" i="25"/>
  <c r="H234" i="25"/>
  <c r="G234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85" i="3"/>
  <c r="H135" i="38"/>
  <c r="E135" i="38"/>
  <c r="K135" i="38"/>
  <c r="L135" i="38" s="1"/>
  <c r="O135" i="38" s="1"/>
  <c r="M135" i="38"/>
  <c r="N135" i="38" s="1"/>
  <c r="F47" i="31"/>
  <c r="H47" i="31"/>
  <c r="G47" i="31"/>
  <c r="F8" i="31"/>
  <c r="C80" i="7"/>
  <c r="C18" i="46"/>
  <c r="Q2" i="46" s="1"/>
  <c r="F233" i="25"/>
  <c r="H233" i="25"/>
  <c r="G233" i="25"/>
  <c r="F46" i="10"/>
  <c r="H46" i="10"/>
  <c r="G46" i="10"/>
  <c r="F232" i="25"/>
  <c r="H232" i="25"/>
  <c r="G232" i="25"/>
  <c r="F45" i="10"/>
  <c r="H45" i="10"/>
  <c r="G45" i="10"/>
  <c r="K45" i="25"/>
  <c r="F231" i="25"/>
  <c r="H231" i="25"/>
  <c r="G231" i="25"/>
  <c r="K44" i="25"/>
  <c r="K43" i="25"/>
  <c r="F25" i="46"/>
  <c r="H25" i="46"/>
  <c r="G25" i="46"/>
  <c r="G230" i="25"/>
  <c r="H230" i="25"/>
  <c r="F230" i="25"/>
  <c r="K42" i="25"/>
  <c r="F44" i="10"/>
  <c r="H44" i="10"/>
  <c r="G44" i="10"/>
  <c r="F24" i="46"/>
  <c r="G24" i="46"/>
  <c r="H24" i="46"/>
  <c r="F111" i="7"/>
  <c r="H111" i="7"/>
  <c r="G111" i="7"/>
  <c r="K52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229" i="25"/>
  <c r="G229" i="25"/>
  <c r="H229" i="25"/>
  <c r="K41" i="25"/>
  <c r="Q9" i="46" l="1"/>
  <c r="K18" i="46"/>
  <c r="Q5" i="46"/>
  <c r="K134" i="38" l="1"/>
  <c r="L134" i="38" s="1"/>
  <c r="O134" i="38" s="1"/>
  <c r="M134" i="38"/>
  <c r="N134" i="38" s="1"/>
  <c r="H134" i="38"/>
  <c r="E134" i="38"/>
  <c r="F30" i="40" l="1"/>
  <c r="H30" i="40"/>
  <c r="G30" i="40"/>
  <c r="F43" i="10"/>
  <c r="H43" i="10"/>
  <c r="G43" i="10"/>
  <c r="H133" i="38"/>
  <c r="E133" i="38"/>
  <c r="K133" i="38"/>
  <c r="L133" i="38" s="1"/>
  <c r="O133" i="38" s="1"/>
  <c r="M133" i="38"/>
  <c r="N133" i="38" s="1"/>
  <c r="F27" i="47"/>
  <c r="H27" i="47"/>
  <c r="G27" i="47"/>
  <c r="H132" i="38" l="1"/>
  <c r="E132" i="38"/>
  <c r="K132" i="38"/>
  <c r="L132" i="38" s="1"/>
  <c r="O132" i="38" s="1"/>
  <c r="M132" i="38"/>
  <c r="N132" i="38" s="1"/>
  <c r="H29" i="5"/>
  <c r="G29" i="5"/>
  <c r="F173" i="17"/>
  <c r="H173" i="17"/>
  <c r="G173" i="17"/>
  <c r="F76" i="17"/>
  <c r="F22" i="48" l="1"/>
  <c r="G22" i="48"/>
  <c r="H22" i="48"/>
  <c r="H21" i="48"/>
  <c r="G21" i="48"/>
  <c r="F21" i="48"/>
  <c r="F42" i="10"/>
  <c r="H42" i="10"/>
  <c r="G42" i="10"/>
  <c r="F228" i="25"/>
  <c r="H228" i="25"/>
  <c r="G228" i="25"/>
  <c r="K40" i="25"/>
  <c r="F227" i="25"/>
  <c r="F197" i="25"/>
  <c r="G197" i="25"/>
  <c r="H197" i="25"/>
  <c r="F198" i="25"/>
  <c r="G198" i="25"/>
  <c r="H198" i="25"/>
  <c r="F199" i="25"/>
  <c r="G199" i="25"/>
  <c r="H199" i="25"/>
  <c r="F200" i="25"/>
  <c r="G200" i="25"/>
  <c r="H200" i="25"/>
  <c r="F201" i="25"/>
  <c r="G201" i="25"/>
  <c r="H201" i="25"/>
  <c r="F202" i="25"/>
  <c r="G202" i="25"/>
  <c r="H202" i="25"/>
  <c r="F203" i="25"/>
  <c r="G203" i="25"/>
  <c r="H203" i="25"/>
  <c r="F204" i="25"/>
  <c r="G204" i="25"/>
  <c r="H204" i="25"/>
  <c r="F205" i="25"/>
  <c r="G205" i="25"/>
  <c r="H205" i="25"/>
  <c r="F206" i="25"/>
  <c r="G206" i="25"/>
  <c r="H206" i="25"/>
  <c r="F207" i="25"/>
  <c r="G207" i="25"/>
  <c r="H207" i="25"/>
  <c r="F208" i="25"/>
  <c r="G208" i="25"/>
  <c r="H208" i="25"/>
  <c r="F209" i="25"/>
  <c r="G209" i="25"/>
  <c r="H209" i="25"/>
  <c r="F210" i="25"/>
  <c r="G210" i="25"/>
  <c r="H210" i="25"/>
  <c r="F211" i="25"/>
  <c r="G211" i="25"/>
  <c r="H211" i="25"/>
  <c r="F212" i="25"/>
  <c r="G212" i="25"/>
  <c r="H212" i="25"/>
  <c r="F213" i="25"/>
  <c r="G213" i="25"/>
  <c r="H213" i="25"/>
  <c r="F214" i="25"/>
  <c r="G214" i="25"/>
  <c r="H214" i="25"/>
  <c r="F215" i="25"/>
  <c r="G215" i="25"/>
  <c r="H215" i="25"/>
  <c r="F216" i="25"/>
  <c r="G216" i="25"/>
  <c r="H216" i="25"/>
  <c r="F217" i="25"/>
  <c r="G217" i="25"/>
  <c r="H217" i="25"/>
  <c r="F218" i="25"/>
  <c r="G218" i="25"/>
  <c r="H218" i="25"/>
  <c r="F219" i="25"/>
  <c r="G219" i="25"/>
  <c r="H219" i="25"/>
  <c r="F220" i="25"/>
  <c r="G220" i="25"/>
  <c r="H220" i="25"/>
  <c r="F221" i="25"/>
  <c r="G221" i="25"/>
  <c r="H221" i="25"/>
  <c r="F222" i="25"/>
  <c r="G222" i="25"/>
  <c r="H222" i="25"/>
  <c r="F223" i="25"/>
  <c r="G223" i="25"/>
  <c r="H223" i="25"/>
  <c r="F224" i="25"/>
  <c r="G224" i="25"/>
  <c r="H224" i="25"/>
  <c r="F225" i="25"/>
  <c r="G225" i="25"/>
  <c r="H225" i="25"/>
  <c r="F226" i="25"/>
  <c r="G226" i="25"/>
  <c r="H226" i="25"/>
  <c r="H196" i="25"/>
  <c r="G196" i="25"/>
  <c r="F196" i="25"/>
  <c r="H227" i="25"/>
  <c r="G227" i="25"/>
  <c r="K39" i="25"/>
  <c r="M131" i="38"/>
  <c r="N131" i="38" s="1"/>
  <c r="K131" i="38"/>
  <c r="L131" i="38" s="1"/>
  <c r="O131" i="38" s="1"/>
  <c r="H131" i="38"/>
  <c r="E131" i="38"/>
  <c r="F22" i="46" l="1"/>
  <c r="G22" i="46"/>
  <c r="H22" i="46"/>
  <c r="F23" i="46"/>
  <c r="G23" i="46"/>
  <c r="H23" i="46"/>
  <c r="H21" i="46"/>
  <c r="G21" i="46"/>
  <c r="F21" i="46"/>
  <c r="F29" i="40"/>
  <c r="H29" i="40"/>
  <c r="G29" i="40"/>
  <c r="F30" i="34"/>
  <c r="H30" i="34"/>
  <c r="G30" i="34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W2" i="38" s="1"/>
  <c r="N248" i="1" s="1"/>
  <c r="K129" i="38"/>
  <c r="L129" i="38" s="1"/>
  <c r="O129" i="38" s="1"/>
  <c r="M129" i="38"/>
  <c r="N129" i="38" s="1"/>
  <c r="F172" i="17"/>
  <c r="H172" i="17"/>
  <c r="G172" i="17"/>
  <c r="K32" i="17"/>
  <c r="K31" i="17"/>
  <c r="F28" i="40"/>
  <c r="H28" i="40"/>
  <c r="G28" i="40"/>
  <c r="M18" i="3"/>
  <c r="K18" i="3"/>
  <c r="H18" i="3"/>
  <c r="F18" i="3"/>
  <c r="C18" i="3"/>
  <c r="N128" i="38" l="1"/>
  <c r="L128" i="38"/>
  <c r="O128" i="38" s="1"/>
  <c r="F41" i="10"/>
  <c r="H41" i="10"/>
  <c r="G41" i="10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K60" i="3"/>
  <c r="F60" i="3"/>
  <c r="K59" i="3"/>
  <c r="F59" i="3"/>
  <c r="K58" i="3"/>
  <c r="F58" i="3"/>
  <c r="K57" i="3"/>
  <c r="F57" i="3"/>
  <c r="K56" i="3"/>
  <c r="F56" i="3"/>
  <c r="K55" i="3"/>
  <c r="F55" i="3"/>
  <c r="K54" i="3"/>
  <c r="F54" i="3"/>
  <c r="K53" i="3"/>
  <c r="F53" i="3"/>
  <c r="K52" i="3"/>
  <c r="F52" i="3"/>
  <c r="K51" i="3"/>
  <c r="F51" i="3"/>
  <c r="K50" i="3"/>
  <c r="F50" i="3"/>
  <c r="K49" i="3"/>
  <c r="F49" i="3"/>
  <c r="K48" i="3"/>
  <c r="F48" i="3"/>
  <c r="K47" i="3"/>
  <c r="F47" i="3"/>
  <c r="K46" i="3"/>
  <c r="F46" i="3"/>
  <c r="K45" i="3"/>
  <c r="F45" i="3"/>
  <c r="K44" i="3"/>
  <c r="F44" i="3"/>
  <c r="H66" i="33"/>
  <c r="G66" i="33"/>
  <c r="H65" i="33"/>
  <c r="G65" i="33"/>
  <c r="H64" i="33"/>
  <c r="G64" i="33"/>
  <c r="H63" i="33"/>
  <c r="G63" i="33"/>
  <c r="H62" i="33"/>
  <c r="G62" i="33"/>
  <c r="H61" i="33"/>
  <c r="G61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85" i="3" l="1"/>
  <c r="K57" i="33"/>
  <c r="F85" i="3"/>
  <c r="H127" i="38"/>
  <c r="E127" i="38"/>
  <c r="F171" i="17"/>
  <c r="H171" i="17"/>
  <c r="G171" i="17"/>
  <c r="K30" i="17"/>
  <c r="F110" i="7"/>
  <c r="H110" i="7"/>
  <c r="G110" i="7"/>
  <c r="F170" i="17"/>
  <c r="H170" i="17"/>
  <c r="G170" i="17"/>
  <c r="K29" i="17"/>
  <c r="F29" i="34"/>
  <c r="G29" i="34"/>
  <c r="H29" i="34"/>
  <c r="K3" i="34"/>
  <c r="F52" i="7"/>
  <c r="K127" i="38"/>
  <c r="L127" i="38" s="1"/>
  <c r="O127" i="38" s="1"/>
  <c r="M127" i="38"/>
  <c r="N127" i="38" s="1"/>
  <c r="F28" i="5"/>
  <c r="H28" i="5"/>
  <c r="G28" i="5"/>
  <c r="H18" i="26"/>
  <c r="F26" i="47"/>
  <c r="H26" i="47"/>
  <c r="G26" i="47"/>
  <c r="F109" i="7"/>
  <c r="H109" i="7"/>
  <c r="G109" i="7"/>
  <c r="K51" i="7"/>
  <c r="F108" i="7"/>
  <c r="H108" i="7"/>
  <c r="G108" i="7"/>
  <c r="K50" i="7"/>
  <c r="K38" i="25"/>
  <c r="M42" i="3" l="1"/>
  <c r="Q10" i="3" s="1"/>
  <c r="H28" i="34" l="1"/>
  <c r="F27" i="34"/>
  <c r="G27" i="34"/>
  <c r="H27" i="34"/>
  <c r="F28" i="34"/>
  <c r="G28" i="34"/>
  <c r="H26" i="34"/>
  <c r="G26" i="34"/>
  <c r="F26" i="34"/>
  <c r="H31" i="32" l="1"/>
  <c r="G31" i="32"/>
  <c r="K37" i="25"/>
  <c r="F107" i="7"/>
  <c r="H107" i="7"/>
  <c r="G107" i="7"/>
  <c r="F51" i="7"/>
  <c r="F50" i="7"/>
  <c r="H126" i="38"/>
  <c r="E126" i="38"/>
  <c r="K126" i="38"/>
  <c r="M126" i="38"/>
  <c r="N126" i="38" s="1"/>
  <c r="L126" i="38" l="1"/>
  <c r="O126" i="38" s="1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33" i="22"/>
  <c r="F41" i="31" l="1"/>
  <c r="G41" i="31"/>
  <c r="H41" i="31"/>
  <c r="F42" i="31"/>
  <c r="G42" i="31"/>
  <c r="H42" i="31"/>
  <c r="F43" i="31"/>
  <c r="G43" i="31"/>
  <c r="H43" i="31"/>
  <c r="F44" i="31"/>
  <c r="G44" i="31"/>
  <c r="H44" i="31"/>
  <c r="F45" i="31"/>
  <c r="G45" i="31"/>
  <c r="H45" i="31"/>
  <c r="F46" i="31"/>
  <c r="G46" i="31"/>
  <c r="H46" i="31"/>
  <c r="H40" i="31"/>
  <c r="G40" i="31"/>
  <c r="F40" i="31"/>
  <c r="K4" i="31"/>
  <c r="F27" i="5"/>
  <c r="H27" i="5"/>
  <c r="G27" i="5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2" i="16"/>
  <c r="F25" i="47"/>
  <c r="H25" i="47"/>
  <c r="G25" i="47"/>
  <c r="F54" i="33"/>
  <c r="F18" i="33" l="1"/>
  <c r="F57" i="33"/>
  <c r="H121" i="38"/>
  <c r="E121" i="38"/>
  <c r="K121" i="38"/>
  <c r="L121" i="38" s="1"/>
  <c r="O121" i="38" s="1"/>
  <c r="M121" i="38"/>
  <c r="N121" i="38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3" i="49"/>
  <c r="AE60" i="49"/>
  <c r="AD60" i="49"/>
  <c r="P62" i="49"/>
  <c r="AE59" i="49"/>
  <c r="AD59" i="49"/>
  <c r="P61" i="49"/>
  <c r="AE58" i="49"/>
  <c r="AD58" i="49"/>
  <c r="P60" i="49"/>
  <c r="AE57" i="49"/>
  <c r="AD57" i="49"/>
  <c r="P59" i="49"/>
  <c r="AE56" i="49"/>
  <c r="AD56" i="49"/>
  <c r="P58" i="49"/>
  <c r="AE55" i="49"/>
  <c r="AD55" i="49"/>
  <c r="P57" i="49"/>
  <c r="AE54" i="49"/>
  <c r="AD54" i="49"/>
  <c r="P56" i="49"/>
  <c r="AE53" i="49"/>
  <c r="AD53" i="49"/>
  <c r="P55" i="49"/>
  <c r="AE52" i="49"/>
  <c r="AD52" i="49"/>
  <c r="P54" i="49"/>
  <c r="AE51" i="49"/>
  <c r="AD51" i="49"/>
  <c r="P53" i="49"/>
  <c r="AE50" i="49"/>
  <c r="AD50" i="49"/>
  <c r="P52" i="49"/>
  <c r="AE49" i="49"/>
  <c r="AD49" i="49"/>
  <c r="AE48" i="49"/>
  <c r="AD48" i="49"/>
  <c r="P50" i="49"/>
  <c r="AE47" i="49"/>
  <c r="AD47" i="49"/>
  <c r="P49" i="49"/>
  <c r="AE46" i="49"/>
  <c r="AD46" i="49"/>
  <c r="P48" i="49"/>
  <c r="AE45" i="49"/>
  <c r="AD45" i="49"/>
  <c r="P47" i="49"/>
  <c r="AE44" i="49"/>
  <c r="AD44" i="49"/>
  <c r="P46" i="49"/>
  <c r="AE43" i="49"/>
  <c r="AD43" i="49"/>
  <c r="P45" i="49"/>
  <c r="AE42" i="49"/>
  <c r="AD42" i="49"/>
  <c r="P44" i="49"/>
  <c r="AE41" i="49"/>
  <c r="AD41" i="49"/>
  <c r="P43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40" i="10"/>
  <c r="H40" i="10"/>
  <c r="G40" i="10"/>
  <c r="F22" i="47"/>
  <c r="G22" i="47"/>
  <c r="H22" i="47"/>
  <c r="F23" i="47"/>
  <c r="G23" i="47"/>
  <c r="H23" i="47"/>
  <c r="F24" i="47"/>
  <c r="G24" i="47"/>
  <c r="H24" i="47"/>
  <c r="M39" i="33" l="1"/>
  <c r="Q10" i="33" s="1"/>
  <c r="Q2" i="49"/>
  <c r="H30" i="32"/>
  <c r="G30" i="32"/>
  <c r="H120" i="38"/>
  <c r="E120" i="38"/>
  <c r="K120" i="38"/>
  <c r="M120" i="38"/>
  <c r="N120" i="38" s="1"/>
  <c r="Q3" i="49" l="1"/>
  <c r="Q6" i="49" s="1"/>
  <c r="Q5" i="49"/>
  <c r="Q8" i="49"/>
  <c r="Q7" i="49" s="1"/>
  <c r="L120" i="38"/>
  <c r="O120" i="38" s="1"/>
  <c r="F23" i="45"/>
  <c r="G23" i="45"/>
  <c r="H23" i="45"/>
  <c r="H22" i="45"/>
  <c r="G22" i="45"/>
  <c r="F22" i="45"/>
  <c r="H29" i="32"/>
  <c r="G29" i="32"/>
  <c r="G26" i="20"/>
  <c r="H26" i="20"/>
  <c r="F31" i="16"/>
  <c r="H31" i="16"/>
  <c r="G3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H21" i="16"/>
  <c r="G21" i="16"/>
  <c r="F21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24" i="44"/>
  <c r="G24" i="44"/>
  <c r="H24" i="44"/>
  <c r="H23" i="44"/>
  <c r="G23" i="44"/>
  <c r="F23" i="44"/>
  <c r="F24" i="40"/>
  <c r="G24" i="40"/>
  <c r="H24" i="40"/>
  <c r="F25" i="40"/>
  <c r="G25" i="40"/>
  <c r="H25" i="40"/>
  <c r="F26" i="40"/>
  <c r="G26" i="40"/>
  <c r="H26" i="40"/>
  <c r="F27" i="40"/>
  <c r="G27" i="40"/>
  <c r="H27" i="40"/>
  <c r="Q9" i="49" l="1"/>
  <c r="F24" i="42"/>
  <c r="G24" i="42"/>
  <c r="H24" i="42"/>
  <c r="H119" i="38"/>
  <c r="E119" i="38"/>
  <c r="K119" i="38"/>
  <c r="L119" i="38" s="1"/>
  <c r="O119" i="38" s="1"/>
  <c r="M119" i="38"/>
  <c r="N119" i="38" s="1"/>
  <c r="F18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8" i="48"/>
  <c r="H18" i="48"/>
  <c r="C18" i="48"/>
  <c r="K18" i="48"/>
  <c r="Q2" i="48" l="1"/>
  <c r="H118" i="38"/>
  <c r="E118" i="38"/>
  <c r="K118" i="38"/>
  <c r="L118" i="38" s="1"/>
  <c r="O118" i="38" s="1"/>
  <c r="M118" i="38"/>
  <c r="N118" i="38" s="1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86" i="7"/>
  <c r="H106" i="7"/>
  <c r="G106" i="7"/>
  <c r="F49" i="7"/>
  <c r="F7" i="31"/>
  <c r="F39" i="10"/>
  <c r="H39" i="10"/>
  <c r="G39" i="10"/>
  <c r="Q9" i="48" l="1"/>
  <c r="Q8" i="48"/>
  <c r="Q7" i="48" s="1"/>
  <c r="Q3" i="48"/>
  <c r="Q5" i="48"/>
  <c r="Q6" i="48" l="1"/>
  <c r="F169" i="17"/>
  <c r="G169" i="17"/>
  <c r="H169" i="17"/>
  <c r="F75" i="17"/>
  <c r="K117" i="38"/>
  <c r="L117" i="38" s="1"/>
  <c r="O117" i="38" s="1"/>
  <c r="M117" i="38"/>
  <c r="N117" i="38" s="1"/>
  <c r="H117" i="38"/>
  <c r="E117" i="38"/>
  <c r="H19" i="5" l="1"/>
  <c r="H18" i="16"/>
  <c r="H116" i="38"/>
  <c r="E116" i="38"/>
  <c r="K116" i="38"/>
  <c r="L116" i="38" s="1"/>
  <c r="O116" i="38" s="1"/>
  <c r="M116" i="38"/>
  <c r="N116" i="38" s="1"/>
  <c r="M18" i="41"/>
  <c r="K18" i="41"/>
  <c r="H105" i="7"/>
  <c r="G105" i="7"/>
  <c r="H104" i="7"/>
  <c r="G104" i="7"/>
  <c r="K49" i="7"/>
  <c r="K35" i="25"/>
  <c r="H18" i="32"/>
  <c r="F168" i="17"/>
  <c r="H168" i="17"/>
  <c r="G168" i="17"/>
  <c r="K28" i="17"/>
  <c r="F38" i="10"/>
  <c r="H38" i="10"/>
  <c r="G38" i="10"/>
  <c r="H18" i="47"/>
  <c r="M18" i="47"/>
  <c r="K18" i="47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Q8" i="5" l="1"/>
  <c r="Q7" i="5" s="1"/>
  <c r="Q9" i="5"/>
  <c r="E110" i="38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23" i="40" l="1"/>
  <c r="G23" i="40"/>
  <c r="H23" i="40"/>
  <c r="H22" i="40"/>
  <c r="G22" i="40"/>
  <c r="F22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67" i="17" l="1"/>
  <c r="H167" i="17"/>
  <c r="G167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21" i="47"/>
  <c r="G21" i="47"/>
  <c r="F21" i="47"/>
  <c r="AE11" i="47"/>
  <c r="AD11" i="47"/>
  <c r="AE10" i="47"/>
  <c r="AD10" i="47"/>
  <c r="AE9" i="47"/>
  <c r="AD9" i="47"/>
  <c r="AE8" i="47"/>
  <c r="AD8" i="47"/>
  <c r="AE7" i="47"/>
  <c r="AD7" i="47"/>
  <c r="C18" i="47"/>
  <c r="Q2" i="47" s="1"/>
  <c r="AE6" i="47"/>
  <c r="AD6" i="47"/>
  <c r="AE5" i="47"/>
  <c r="AD5" i="47"/>
  <c r="AE4" i="47"/>
  <c r="AD4" i="47"/>
  <c r="AE3" i="47"/>
  <c r="AD3" i="47"/>
  <c r="AE2" i="47"/>
  <c r="AD2" i="47"/>
  <c r="F18" i="47"/>
  <c r="C18" i="16"/>
  <c r="K102" i="38"/>
  <c r="L102" i="38" s="1"/>
  <c r="O102" i="38" s="1"/>
  <c r="M102" i="38"/>
  <c r="N102" i="38" s="1"/>
  <c r="H102" i="38"/>
  <c r="E102" i="38"/>
  <c r="Q9" i="47" l="1"/>
  <c r="Q8" i="47"/>
  <c r="Q7" i="47" s="1"/>
  <c r="Q3" i="47"/>
  <c r="Q5" i="47"/>
  <c r="Q6" i="47" l="1"/>
  <c r="M18" i="45"/>
  <c r="C18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3" i="46"/>
  <c r="AE66" i="46"/>
  <c r="AD66" i="46"/>
  <c r="P62" i="46"/>
  <c r="AE65" i="46"/>
  <c r="AD65" i="46"/>
  <c r="P61" i="46"/>
  <c r="AE64" i="46"/>
  <c r="AD64" i="46"/>
  <c r="P60" i="46"/>
  <c r="AE63" i="46"/>
  <c r="AD63" i="46"/>
  <c r="P59" i="46"/>
  <c r="AE62" i="46"/>
  <c r="AD62" i="46"/>
  <c r="P58" i="46"/>
  <c r="AE61" i="46"/>
  <c r="AD61" i="46"/>
  <c r="P57" i="46"/>
  <c r="AE60" i="46"/>
  <c r="AD60" i="46"/>
  <c r="P56" i="46"/>
  <c r="AE59" i="46"/>
  <c r="AD59" i="46"/>
  <c r="P55" i="46"/>
  <c r="AE58" i="46"/>
  <c r="AD58" i="46"/>
  <c r="P54" i="46"/>
  <c r="AE57" i="46"/>
  <c r="AD57" i="46"/>
  <c r="P53" i="46"/>
  <c r="AE56" i="46"/>
  <c r="AD56" i="46"/>
  <c r="P52" i="46"/>
  <c r="AE55" i="46"/>
  <c r="AD55" i="46"/>
  <c r="P51" i="46"/>
  <c r="AE54" i="46"/>
  <c r="AD54" i="46"/>
  <c r="P50" i="46"/>
  <c r="AE53" i="46"/>
  <c r="AD53" i="46"/>
  <c r="P49" i="46"/>
  <c r="AE52" i="46"/>
  <c r="AD52" i="46"/>
  <c r="P48" i="46"/>
  <c r="AE51" i="46"/>
  <c r="AD51" i="46"/>
  <c r="P47" i="46"/>
  <c r="AE50" i="46"/>
  <c r="AD50" i="46"/>
  <c r="P46" i="46"/>
  <c r="AE49" i="46"/>
  <c r="AD49" i="46"/>
  <c r="P45" i="46"/>
  <c r="AE48" i="46"/>
  <c r="AD48" i="46"/>
  <c r="P44" i="46"/>
  <c r="AE47" i="46"/>
  <c r="AD47" i="46"/>
  <c r="P43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18" i="46"/>
  <c r="H28" i="32"/>
  <c r="G28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AE36" i="44"/>
  <c r="AD36" i="44"/>
  <c r="AE35" i="44"/>
  <c r="AD35" i="44"/>
  <c r="AE34" i="44"/>
  <c r="AD34" i="44"/>
  <c r="AE33" i="44"/>
  <c r="AD33" i="44"/>
  <c r="AE32" i="44"/>
  <c r="AD32" i="44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AE25" i="44"/>
  <c r="AD25" i="44"/>
  <c r="AE24" i="44"/>
  <c r="AD24" i="44"/>
  <c r="AE23" i="44"/>
  <c r="AD23" i="44"/>
  <c r="M18" i="44"/>
  <c r="AE22" i="44"/>
  <c r="AD22" i="44"/>
  <c r="AE21" i="44"/>
  <c r="AD21" i="44"/>
  <c r="AE20" i="44"/>
  <c r="AD20" i="44"/>
  <c r="AE19" i="44"/>
  <c r="AD19" i="44"/>
  <c r="AE18" i="44"/>
  <c r="AD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F18" i="43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AF21" i="43"/>
  <c r="AE21" i="43"/>
  <c r="AF20" i="43"/>
  <c r="AE20" i="43"/>
  <c r="AF19" i="43"/>
  <c r="AE19" i="43"/>
  <c r="AF18" i="43"/>
  <c r="AE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M18" i="43"/>
  <c r="H18" i="43"/>
  <c r="C18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K18" i="43"/>
  <c r="H27" i="26"/>
  <c r="G27" i="26"/>
  <c r="F6" i="31"/>
  <c r="F19" i="45"/>
  <c r="F18" i="45" l="1"/>
  <c r="Q3" i="46"/>
  <c r="Q6" i="46" s="1"/>
  <c r="Q8" i="46"/>
  <c r="Q7" i="46" s="1"/>
  <c r="Q2" i="45"/>
  <c r="Q2" i="43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H24" i="10"/>
  <c r="G24" i="10"/>
  <c r="F24" i="10"/>
  <c r="H23" i="10"/>
  <c r="G23" i="10"/>
  <c r="F23" i="10"/>
  <c r="H22" i="10"/>
  <c r="G22" i="10"/>
  <c r="F22" i="10"/>
  <c r="H23" i="42"/>
  <c r="G23" i="42"/>
  <c r="F23" i="42"/>
  <c r="G18" i="42"/>
  <c r="H18" i="42"/>
  <c r="K18" i="42"/>
  <c r="C18" i="42"/>
  <c r="F18" i="42"/>
  <c r="AE68" i="42"/>
  <c r="AD68" i="42"/>
  <c r="AE67" i="42"/>
  <c r="AD67" i="42"/>
  <c r="P63" i="42"/>
  <c r="AE66" i="42"/>
  <c r="AD66" i="42"/>
  <c r="P62" i="42"/>
  <c r="AE65" i="42"/>
  <c r="AD65" i="42"/>
  <c r="P61" i="42"/>
  <c r="AE64" i="42"/>
  <c r="AD64" i="42"/>
  <c r="P60" i="42"/>
  <c r="AE63" i="42"/>
  <c r="AD63" i="42"/>
  <c r="P59" i="42"/>
  <c r="AE62" i="42"/>
  <c r="AD62" i="42"/>
  <c r="P58" i="42"/>
  <c r="AE61" i="42"/>
  <c r="AD61" i="42"/>
  <c r="P57" i="42"/>
  <c r="AE60" i="42"/>
  <c r="AD60" i="42"/>
  <c r="P56" i="42"/>
  <c r="AE59" i="42"/>
  <c r="AD59" i="42"/>
  <c r="P55" i="42"/>
  <c r="AE58" i="42"/>
  <c r="AD58" i="42"/>
  <c r="P54" i="42"/>
  <c r="AE57" i="42"/>
  <c r="AD57" i="42"/>
  <c r="P53" i="42"/>
  <c r="AE56" i="42"/>
  <c r="AD56" i="42"/>
  <c r="P52" i="42"/>
  <c r="AE55" i="42"/>
  <c r="AD55" i="42"/>
  <c r="P51" i="42"/>
  <c r="AE54" i="42"/>
  <c r="AD54" i="42"/>
  <c r="P50" i="42"/>
  <c r="AE53" i="42"/>
  <c r="AD53" i="42"/>
  <c r="P49" i="42"/>
  <c r="AE52" i="42"/>
  <c r="AD52" i="42"/>
  <c r="P48" i="42"/>
  <c r="AE51" i="42"/>
  <c r="AD51" i="42"/>
  <c r="P47" i="42"/>
  <c r="AE50" i="42"/>
  <c r="AD50" i="42"/>
  <c r="P46" i="42"/>
  <c r="AE49" i="42"/>
  <c r="AD49" i="42"/>
  <c r="P45" i="42"/>
  <c r="AE48" i="42"/>
  <c r="AD48" i="42"/>
  <c r="P44" i="42"/>
  <c r="AE47" i="42"/>
  <c r="AD47" i="42"/>
  <c r="P43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5" i="20"/>
  <c r="G25" i="20"/>
  <c r="G24" i="20"/>
  <c r="C18" i="20"/>
  <c r="Q5" i="45" l="1"/>
  <c r="Q8" i="45"/>
  <c r="Q7" i="45" s="1"/>
  <c r="Q5" i="43"/>
  <c r="Q9" i="43"/>
  <c r="Q8" i="43"/>
  <c r="Q7" i="43" s="1"/>
  <c r="Q2" i="42"/>
  <c r="Q3" i="43"/>
  <c r="Q6" i="43" s="1"/>
  <c r="Q3" i="42" l="1"/>
  <c r="Q6" i="42" s="1"/>
  <c r="Q9" i="42"/>
  <c r="Q8" i="42"/>
  <c r="Q7" i="42" s="1"/>
  <c r="Q5" i="42"/>
  <c r="H99" i="38"/>
  <c r="E99" i="38"/>
  <c r="K99" i="38"/>
  <c r="L99" i="38" s="1"/>
  <c r="O99" i="38" s="1"/>
  <c r="M99" i="38"/>
  <c r="N99" i="38" s="1"/>
  <c r="Q2" i="41"/>
  <c r="F18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K33" i="25"/>
  <c r="K34" i="25"/>
  <c r="Q8" i="41" l="1"/>
  <c r="Q7" i="41" s="1"/>
  <c r="Q5" i="41"/>
  <c r="Q3" i="41"/>
  <c r="Q6" i="41" s="1"/>
  <c r="Q9" i="41" l="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32" i="22"/>
  <c r="G32" i="22"/>
  <c r="K98" i="38"/>
  <c r="L98" i="38" s="1"/>
  <c r="O98" i="38" s="1"/>
  <c r="M98" i="38"/>
  <c r="N98" i="38" s="1"/>
  <c r="E98" i="38"/>
  <c r="H98" i="38"/>
  <c r="K32" i="25" l="1"/>
  <c r="C18" i="32"/>
  <c r="H27" i="32"/>
  <c r="G27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30" i="25"/>
  <c r="K31" i="25"/>
  <c r="K91" i="38" l="1"/>
  <c r="L91" i="38" s="1"/>
  <c r="O91" i="38" s="1"/>
  <c r="M91" i="38"/>
  <c r="N91" i="38" s="1"/>
  <c r="H91" i="38"/>
  <c r="E91" i="38"/>
  <c r="F166" i="17"/>
  <c r="H166" i="17"/>
  <c r="G166" i="17"/>
  <c r="F73" i="17"/>
  <c r="K27" i="17" l="1"/>
  <c r="M90" i="38"/>
  <c r="N90" i="38" s="1"/>
  <c r="K90" i="38"/>
  <c r="L90" i="38" s="1"/>
  <c r="O90" i="38" s="1"/>
  <c r="H90" i="38"/>
  <c r="E90" i="38"/>
  <c r="K29" i="25"/>
  <c r="F165" i="17"/>
  <c r="H165" i="17"/>
  <c r="G165" i="17"/>
  <c r="K26" i="17"/>
  <c r="F164" i="17" l="1"/>
  <c r="H164" i="17"/>
  <c r="G164" i="17"/>
  <c r="F72" i="17"/>
  <c r="K25" i="17"/>
  <c r="H103" i="7" l="1"/>
  <c r="G103" i="7"/>
  <c r="F71" i="17"/>
  <c r="F163" i="17"/>
  <c r="H163" i="17"/>
  <c r="G163" i="17"/>
  <c r="K24" i="17"/>
  <c r="F162" i="17"/>
  <c r="H162" i="17"/>
  <c r="G162" i="17"/>
  <c r="F70" i="17"/>
  <c r="K89" i="38"/>
  <c r="L89" i="38" s="1"/>
  <c r="O89" i="38" s="1"/>
  <c r="M89" i="38"/>
  <c r="N89" i="38" s="1"/>
  <c r="H89" i="38"/>
  <c r="E89" i="38"/>
  <c r="F47" i="7"/>
  <c r="K31" i="7"/>
  <c r="H102" i="7"/>
  <c r="G102" i="7"/>
  <c r="K30" i="7"/>
  <c r="K28" i="25"/>
  <c r="F161" i="17" l="1"/>
  <c r="H161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26" i="32"/>
  <c r="G26" i="32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M86" i="38"/>
  <c r="N86" i="38" s="1"/>
  <c r="F18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8" i="40"/>
  <c r="H18" i="40"/>
  <c r="C18" i="40"/>
  <c r="K18" i="40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G161" i="17"/>
  <c r="F69" i="17"/>
  <c r="K23" i="17"/>
  <c r="Q3" i="40" l="1"/>
  <c r="Q6" i="40" s="1"/>
  <c r="Q9" i="40"/>
  <c r="Q8" i="40"/>
  <c r="Q7" i="40" s="1"/>
  <c r="L85" i="38"/>
  <c r="O85" i="38" s="1"/>
  <c r="Q5" i="40"/>
  <c r="F160" i="17"/>
  <c r="H160" i="17"/>
  <c r="G160" i="17"/>
  <c r="H25" i="26"/>
  <c r="G25" i="26"/>
  <c r="H25" i="32"/>
  <c r="G25" i="32"/>
  <c r="F159" i="17"/>
  <c r="H159" i="17"/>
  <c r="G159" i="17"/>
  <c r="K22" i="17"/>
  <c r="H101" i="7"/>
  <c r="G101" i="7"/>
  <c r="F46" i="7"/>
  <c r="H84" i="38"/>
  <c r="E84" i="38"/>
  <c r="F156" i="17"/>
  <c r="F157" i="17"/>
  <c r="F158" i="17"/>
  <c r="F140" i="17"/>
  <c r="F141" i="17"/>
  <c r="F142" i="17"/>
  <c r="F143" i="17"/>
  <c r="F144" i="17"/>
  <c r="F145" i="17"/>
  <c r="F146" i="17"/>
  <c r="F147" i="17"/>
  <c r="F148" i="17"/>
  <c r="F149" i="17"/>
  <c r="F150" i="17"/>
  <c r="F151" i="17"/>
  <c r="F152" i="17"/>
  <c r="F153" i="17"/>
  <c r="F154" i="17"/>
  <c r="F155" i="17"/>
  <c r="F139" i="17"/>
  <c r="H156" i="17"/>
  <c r="H157" i="17"/>
  <c r="H158" i="17"/>
  <c r="G158" i="17"/>
  <c r="G157" i="17"/>
  <c r="F67" i="17"/>
  <c r="F68" i="17"/>
  <c r="K27" i="25"/>
  <c r="G156" i="17"/>
  <c r="K21" i="17"/>
  <c r="F66" i="17"/>
  <c r="K84" i="38"/>
  <c r="L84" i="38" s="1"/>
  <c r="O84" i="38" s="1"/>
  <c r="M84" i="38"/>
  <c r="N84" i="38" s="1"/>
  <c r="H83" i="38" l="1"/>
  <c r="E83" i="38"/>
  <c r="K83" i="38"/>
  <c r="L83" i="38" s="1"/>
  <c r="O83" i="38" s="1"/>
  <c r="M83" i="38"/>
  <c r="N83" i="38" s="1"/>
  <c r="K26" i="25"/>
  <c r="H155" i="17"/>
  <c r="G155" i="17"/>
  <c r="K20" i="17"/>
  <c r="H82" i="38" l="1"/>
  <c r="E82" i="38"/>
  <c r="K82" i="38"/>
  <c r="L82" i="38" s="1"/>
  <c r="O82" i="38" s="1"/>
  <c r="M82" i="38"/>
  <c r="N82" i="38" s="1"/>
  <c r="H154" i="17"/>
  <c r="G154" i="17"/>
  <c r="F65" i="17"/>
  <c r="K81" i="38" l="1"/>
  <c r="L81" i="38" s="1"/>
  <c r="O81" i="38" s="1"/>
  <c r="M81" i="38"/>
  <c r="N81" i="38" s="1"/>
  <c r="E81" i="38"/>
  <c r="H81" i="38"/>
  <c r="G24" i="32" l="1"/>
  <c r="H24" i="32"/>
  <c r="H80" i="38" l="1"/>
  <c r="E80" i="38"/>
  <c r="K80" i="38"/>
  <c r="L80" i="38" s="1"/>
  <c r="O80" i="38" s="1"/>
  <c r="M80" i="38"/>
  <c r="N80" i="38" s="1"/>
  <c r="H100" i="7" l="1"/>
  <c r="G100" i="7"/>
  <c r="C18" i="33"/>
  <c r="H79" i="38" l="1"/>
  <c r="E79" i="38"/>
  <c r="K79" i="38"/>
  <c r="L79" i="38" s="1"/>
  <c r="O79" i="38" s="1"/>
  <c r="M79" i="38"/>
  <c r="N79" i="38" s="1"/>
  <c r="K25" i="25" l="1"/>
  <c r="H28" i="22"/>
  <c r="H29" i="22"/>
  <c r="H30" i="22"/>
  <c r="H27" i="22"/>
  <c r="G31" i="22"/>
  <c r="H153" i="17" l="1"/>
  <c r="G153" i="17"/>
  <c r="K19" i="17"/>
  <c r="F64" i="17"/>
  <c r="H78" i="38"/>
  <c r="E78" i="38"/>
  <c r="K78" i="38"/>
  <c r="L78" i="38" s="1"/>
  <c r="O78" i="38" s="1"/>
  <c r="M78" i="38"/>
  <c r="N78" i="38" s="1"/>
  <c r="H152" i="17" l="1"/>
  <c r="G152" i="17"/>
  <c r="F63" i="17"/>
  <c r="H99" i="7"/>
  <c r="G99" i="7"/>
  <c r="H98" i="7"/>
  <c r="G98" i="7"/>
  <c r="F45" i="7"/>
  <c r="F44" i="7"/>
  <c r="E77" i="38"/>
  <c r="H77" i="38"/>
  <c r="K77" i="38"/>
  <c r="L77" i="38" s="1"/>
  <c r="O77" i="38" s="1"/>
  <c r="M77" i="38"/>
  <c r="N77" i="38" s="1"/>
  <c r="H76" i="38" l="1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51" i="17"/>
  <c r="G151" i="17"/>
  <c r="K18" i="17"/>
  <c r="G97" i="7"/>
  <c r="H96" i="7"/>
  <c r="H97" i="7"/>
  <c r="G96" i="7"/>
  <c r="K12" i="7"/>
  <c r="K11" i="7"/>
  <c r="H24" i="26" l="1"/>
  <c r="H95" i="7"/>
  <c r="G95" i="7"/>
  <c r="H74" i="38"/>
  <c r="E74" i="38"/>
  <c r="K74" i="38"/>
  <c r="L74" i="38" s="1"/>
  <c r="O74" i="38" s="1"/>
  <c r="M74" i="38"/>
  <c r="N74" i="38" s="1"/>
  <c r="H94" i="7"/>
  <c r="G94" i="7"/>
  <c r="F43" i="7"/>
  <c r="G24" i="26"/>
  <c r="C18" i="26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H23" i="26" l="1"/>
  <c r="G23" i="26"/>
  <c r="H22" i="26"/>
  <c r="G22" i="26"/>
  <c r="H21" i="26"/>
  <c r="G21" i="26"/>
  <c r="H23" i="32"/>
  <c r="G23" i="32"/>
  <c r="H22" i="32"/>
  <c r="G22" i="32"/>
  <c r="H21" i="32"/>
  <c r="G21" i="32"/>
  <c r="G150" i="17"/>
  <c r="H150" i="17"/>
  <c r="G149" i="17"/>
  <c r="H149" i="17"/>
  <c r="G146" i="17"/>
  <c r="H146" i="17"/>
  <c r="G147" i="17"/>
  <c r="H147" i="17"/>
  <c r="G148" i="17"/>
  <c r="H148" i="17"/>
  <c r="H145" i="17"/>
  <c r="G145" i="17"/>
  <c r="H144" i="17"/>
  <c r="G144" i="17"/>
  <c r="H143" i="17"/>
  <c r="G143" i="17"/>
  <c r="H142" i="17"/>
  <c r="G142" i="17"/>
  <c r="H141" i="17"/>
  <c r="G141" i="17"/>
  <c r="H140" i="17"/>
  <c r="G140" i="17"/>
  <c r="H139" i="17"/>
  <c r="G139" i="17"/>
  <c r="H195" i="25"/>
  <c r="G195" i="25"/>
  <c r="H194" i="25"/>
  <c r="G194" i="25"/>
  <c r="H193" i="25"/>
  <c r="G193" i="25"/>
  <c r="H192" i="25"/>
  <c r="G192" i="25"/>
  <c r="H191" i="25"/>
  <c r="G191" i="25"/>
  <c r="H190" i="25"/>
  <c r="G190" i="25"/>
  <c r="H189" i="25"/>
  <c r="G189" i="25"/>
  <c r="H93" i="7"/>
  <c r="G93" i="7"/>
  <c r="H92" i="7"/>
  <c r="G92" i="7"/>
  <c r="H91" i="7"/>
  <c r="G91" i="7"/>
  <c r="H90" i="7"/>
  <c r="G90" i="7"/>
  <c r="H89" i="7"/>
  <c r="G89" i="7"/>
  <c r="H88" i="7"/>
  <c r="G88" i="7"/>
  <c r="H87" i="7"/>
  <c r="G87" i="7"/>
  <c r="H86" i="7"/>
  <c r="G86" i="7"/>
  <c r="K24" i="25" l="1"/>
  <c r="K17" i="17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23" i="26"/>
  <c r="E69" i="38" l="1"/>
  <c r="H69" i="38"/>
  <c r="K69" i="38"/>
  <c r="L69" i="38" s="1"/>
  <c r="O69" i="38" s="1"/>
  <c r="M69" i="38"/>
  <c r="N69" i="38" s="1"/>
  <c r="G30" i="22" l="1"/>
  <c r="K10" i="7"/>
  <c r="H68" i="38"/>
  <c r="E68" i="38"/>
  <c r="K68" i="38"/>
  <c r="L68" i="38" s="1"/>
  <c r="O68" i="38" s="1"/>
  <c r="M68" i="38"/>
  <c r="N68" i="38" s="1"/>
  <c r="G27" i="22" l="1"/>
  <c r="G29" i="22"/>
  <c r="G28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8" i="15"/>
  <c r="F40" i="7"/>
  <c r="M60" i="38"/>
  <c r="N60" i="38" s="1"/>
  <c r="K15" i="17"/>
  <c r="K60" i="38"/>
  <c r="L60" i="38" s="1"/>
  <c r="O60" i="38" s="1"/>
  <c r="F39" i="7"/>
  <c r="F38" i="7" l="1"/>
  <c r="F58" i="17"/>
  <c r="F57" i="17"/>
  <c r="F53" i="17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F52" i="17" l="1"/>
  <c r="F51" i="17"/>
  <c r="E58" i="38"/>
  <c r="K14" i="17" l="1"/>
  <c r="K13" i="17"/>
  <c r="K57" i="38"/>
  <c r="L57" i="38" s="1"/>
  <c r="O57" i="38" s="1"/>
  <c r="M57" i="38"/>
  <c r="N57" i="38" s="1"/>
  <c r="E57" i="38"/>
  <c r="K22" i="25" l="1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50" i="17"/>
  <c r="K53" i="38" l="1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18" i="32"/>
  <c r="H18" i="24"/>
  <c r="C18" i="24"/>
  <c r="K18" i="24"/>
  <c r="F135" i="17"/>
  <c r="F134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18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2" i="34"/>
  <c r="K18" i="34" s="1"/>
  <c r="K19" i="34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18" i="13" l="1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E45" i="38"/>
  <c r="K44" i="38" l="1"/>
  <c r="L44" i="38" s="1"/>
  <c r="O44" i="38" s="1"/>
  <c r="M44" i="38"/>
  <c r="N44" i="38" s="1"/>
  <c r="E44" i="38"/>
  <c r="K19" i="25" l="1"/>
  <c r="F35" i="7"/>
  <c r="M43" i="38" l="1"/>
  <c r="N43" i="38" s="1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34" i="7" l="1"/>
  <c r="M18" i="26"/>
  <c r="K18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8" i="7" l="1"/>
  <c r="K39" i="38"/>
  <c r="L39" i="38" s="1"/>
  <c r="O39" i="38" s="1"/>
  <c r="M39" i="38"/>
  <c r="N39" i="38" s="1"/>
  <c r="E39" i="38"/>
  <c r="K10" i="17"/>
  <c r="M215" i="1" l="1"/>
  <c r="H215" i="1"/>
  <c r="C215" i="1"/>
  <c r="K214" i="1"/>
  <c r="F214" i="1"/>
  <c r="K213" i="1"/>
  <c r="F213" i="1"/>
  <c r="K215" i="1" l="1"/>
  <c r="F215" i="1"/>
  <c r="M18" i="15"/>
  <c r="K38" i="38"/>
  <c r="L38" i="38" s="1"/>
  <c r="O38" i="38" s="1"/>
  <c r="M38" i="38"/>
  <c r="N38" i="38" s="1"/>
  <c r="E38" i="38"/>
  <c r="N215" i="1" l="1"/>
  <c r="O215" i="1" s="1"/>
  <c r="C18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9" i="17" l="1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P46" i="16"/>
  <c r="P45" i="16"/>
  <c r="P44" i="16"/>
  <c r="P43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18" i="28"/>
  <c r="M18" i="28"/>
  <c r="C18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18" i="10"/>
  <c r="K35" i="38" l="1"/>
  <c r="L35" i="38" s="1"/>
  <c r="O35" i="38" s="1"/>
  <c r="M35" i="38"/>
  <c r="N35" i="38" s="1"/>
  <c r="K17" i="25"/>
  <c r="K6" i="7"/>
  <c r="K15" i="25"/>
  <c r="K14" i="25"/>
  <c r="K5" i="7"/>
  <c r="K13" i="25"/>
  <c r="K12" i="25"/>
  <c r="K11" i="25"/>
  <c r="K10" i="25"/>
  <c r="C18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8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18" i="29" l="1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18" i="13" l="1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U265" i="38" s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31" i="7"/>
  <c r="F30" i="7"/>
  <c r="F29" i="7"/>
  <c r="U12" i="38" l="1"/>
  <c r="U20" i="38"/>
  <c r="U28" i="38"/>
  <c r="U36" i="38"/>
  <c r="U44" i="38"/>
  <c r="U52" i="38"/>
  <c r="U60" i="38"/>
  <c r="U68" i="38"/>
  <c r="U76" i="38"/>
  <c r="U84" i="38"/>
  <c r="U92" i="38"/>
  <c r="U100" i="38"/>
  <c r="U108" i="38"/>
  <c r="U116" i="38"/>
  <c r="U124" i="38"/>
  <c r="U132" i="38"/>
  <c r="U140" i="38"/>
  <c r="U148" i="38"/>
  <c r="U156" i="38"/>
  <c r="U164" i="38"/>
  <c r="U172" i="38"/>
  <c r="U180" i="38"/>
  <c r="U188" i="38"/>
  <c r="U196" i="38"/>
  <c r="U204" i="38"/>
  <c r="U212" i="38"/>
  <c r="U220" i="38"/>
  <c r="U228" i="38"/>
  <c r="U236" i="38"/>
  <c r="U244" i="38"/>
  <c r="U252" i="38"/>
  <c r="U260" i="38"/>
  <c r="U11" i="38"/>
  <c r="U67" i="38"/>
  <c r="U139" i="38"/>
  <c r="U195" i="38"/>
  <c r="U259" i="38"/>
  <c r="U5" i="38"/>
  <c r="U13" i="38"/>
  <c r="U21" i="38"/>
  <c r="U29" i="38"/>
  <c r="U37" i="38"/>
  <c r="U45" i="38"/>
  <c r="U53" i="38"/>
  <c r="U61" i="38"/>
  <c r="U69" i="38"/>
  <c r="U77" i="38"/>
  <c r="U85" i="38"/>
  <c r="U93" i="38"/>
  <c r="U101" i="38"/>
  <c r="U109" i="38"/>
  <c r="U117" i="38"/>
  <c r="U125" i="38"/>
  <c r="U133" i="38"/>
  <c r="U141" i="38"/>
  <c r="U149" i="38"/>
  <c r="U157" i="38"/>
  <c r="U165" i="38"/>
  <c r="U173" i="38"/>
  <c r="U181" i="38"/>
  <c r="U189" i="38"/>
  <c r="U197" i="38"/>
  <c r="U205" i="38"/>
  <c r="U213" i="38"/>
  <c r="U221" i="38"/>
  <c r="U229" i="38"/>
  <c r="U237" i="38"/>
  <c r="U245" i="38"/>
  <c r="U253" i="38"/>
  <c r="U261" i="38"/>
  <c r="U27" i="38"/>
  <c r="U99" i="38"/>
  <c r="U171" i="38"/>
  <c r="U251" i="38"/>
  <c r="U6" i="38"/>
  <c r="U14" i="38"/>
  <c r="U22" i="38"/>
  <c r="U30" i="38"/>
  <c r="U38" i="38"/>
  <c r="U46" i="38"/>
  <c r="U54" i="38"/>
  <c r="U62" i="38"/>
  <c r="U70" i="38"/>
  <c r="U78" i="38"/>
  <c r="U86" i="38"/>
  <c r="U94" i="38"/>
  <c r="U102" i="38"/>
  <c r="U110" i="38"/>
  <c r="U118" i="38"/>
  <c r="U126" i="38"/>
  <c r="U134" i="38"/>
  <c r="U142" i="38"/>
  <c r="U150" i="38"/>
  <c r="U158" i="38"/>
  <c r="U166" i="38"/>
  <c r="U174" i="38"/>
  <c r="U182" i="38"/>
  <c r="U190" i="38"/>
  <c r="U198" i="38"/>
  <c r="U206" i="38"/>
  <c r="U214" i="38"/>
  <c r="U222" i="38"/>
  <c r="U230" i="38"/>
  <c r="U238" i="38"/>
  <c r="U246" i="38"/>
  <c r="U254" i="38"/>
  <c r="U262" i="38"/>
  <c r="U43" i="38"/>
  <c r="U83" i="38"/>
  <c r="U131" i="38"/>
  <c r="U163" i="38"/>
  <c r="U211" i="38"/>
  <c r="U235" i="38"/>
  <c r="U7" i="38"/>
  <c r="U15" i="38"/>
  <c r="U23" i="38"/>
  <c r="U31" i="38"/>
  <c r="U39" i="38"/>
  <c r="U47" i="38"/>
  <c r="U55" i="38"/>
  <c r="U63" i="38"/>
  <c r="U71" i="38"/>
  <c r="U79" i="38"/>
  <c r="U87" i="38"/>
  <c r="U95" i="38"/>
  <c r="U103" i="38"/>
  <c r="U111" i="38"/>
  <c r="U119" i="38"/>
  <c r="U127" i="38"/>
  <c r="U135" i="38"/>
  <c r="U143" i="38"/>
  <c r="U151" i="38"/>
  <c r="U159" i="38"/>
  <c r="U167" i="38"/>
  <c r="U175" i="38"/>
  <c r="U183" i="38"/>
  <c r="U191" i="38"/>
  <c r="U199" i="38"/>
  <c r="U207" i="38"/>
  <c r="U215" i="38"/>
  <c r="U223" i="38"/>
  <c r="U231" i="38"/>
  <c r="U239" i="38"/>
  <c r="U247" i="38"/>
  <c r="U255" i="38"/>
  <c r="U4" i="38"/>
  <c r="U59" i="38"/>
  <c r="U115" i="38"/>
  <c r="U179" i="38"/>
  <c r="U243" i="38"/>
  <c r="U8" i="38"/>
  <c r="U16" i="38"/>
  <c r="U24" i="38"/>
  <c r="U32" i="38"/>
  <c r="U40" i="38"/>
  <c r="U48" i="38"/>
  <c r="U56" i="38"/>
  <c r="U64" i="38"/>
  <c r="U72" i="38"/>
  <c r="U80" i="38"/>
  <c r="U88" i="38"/>
  <c r="U96" i="38"/>
  <c r="U104" i="38"/>
  <c r="U112" i="38"/>
  <c r="U120" i="38"/>
  <c r="U128" i="38"/>
  <c r="U136" i="38"/>
  <c r="U144" i="38"/>
  <c r="U152" i="38"/>
  <c r="U160" i="38"/>
  <c r="U168" i="38"/>
  <c r="U176" i="38"/>
  <c r="U184" i="38"/>
  <c r="U192" i="38"/>
  <c r="U200" i="38"/>
  <c r="U208" i="38"/>
  <c r="U216" i="38"/>
  <c r="U224" i="38"/>
  <c r="U232" i="38"/>
  <c r="U240" i="38"/>
  <c r="U248" i="38"/>
  <c r="U256" i="38"/>
  <c r="U19" i="38"/>
  <c r="U75" i="38"/>
  <c r="U123" i="38"/>
  <c r="U155" i="38"/>
  <c r="U203" i="38"/>
  <c r="U227" i="38"/>
  <c r="U9" i="38"/>
  <c r="U17" i="38"/>
  <c r="U25" i="38"/>
  <c r="U33" i="38"/>
  <c r="U41" i="38"/>
  <c r="U49" i="38"/>
  <c r="U57" i="38"/>
  <c r="U65" i="38"/>
  <c r="U73" i="38"/>
  <c r="U81" i="38"/>
  <c r="U89" i="38"/>
  <c r="U97" i="38"/>
  <c r="U105" i="38"/>
  <c r="U113" i="38"/>
  <c r="U121" i="38"/>
  <c r="U129" i="38"/>
  <c r="U137" i="38"/>
  <c r="U145" i="38"/>
  <c r="U153" i="38"/>
  <c r="U161" i="38"/>
  <c r="U169" i="38"/>
  <c r="U177" i="38"/>
  <c r="U185" i="38"/>
  <c r="U193" i="38"/>
  <c r="U201" i="38"/>
  <c r="U209" i="38"/>
  <c r="U217" i="38"/>
  <c r="U225" i="38"/>
  <c r="U233" i="38"/>
  <c r="U241" i="38"/>
  <c r="U249" i="38"/>
  <c r="U257" i="38"/>
  <c r="U35" i="38"/>
  <c r="U107" i="38"/>
  <c r="U187" i="38"/>
  <c r="U10" i="38"/>
  <c r="U18" i="38"/>
  <c r="U26" i="38"/>
  <c r="U34" i="38"/>
  <c r="U42" i="38"/>
  <c r="U50" i="38"/>
  <c r="U58" i="38"/>
  <c r="U66" i="38"/>
  <c r="U74" i="38"/>
  <c r="U82" i="38"/>
  <c r="U90" i="38"/>
  <c r="U98" i="38"/>
  <c r="U106" i="38"/>
  <c r="U114" i="38"/>
  <c r="U122" i="38"/>
  <c r="U130" i="38"/>
  <c r="U138" i="38"/>
  <c r="U146" i="38"/>
  <c r="U154" i="38"/>
  <c r="U162" i="38"/>
  <c r="U170" i="38"/>
  <c r="U178" i="38"/>
  <c r="U186" i="38"/>
  <c r="U194" i="38"/>
  <c r="U202" i="38"/>
  <c r="U210" i="38"/>
  <c r="U218" i="38"/>
  <c r="U226" i="38"/>
  <c r="U234" i="38"/>
  <c r="U242" i="38"/>
  <c r="U250" i="38"/>
  <c r="U258" i="38"/>
  <c r="U51" i="38"/>
  <c r="U91" i="38"/>
  <c r="U147" i="38"/>
  <c r="U219" i="38"/>
  <c r="U264" i="38"/>
  <c r="U263" i="38"/>
  <c r="L3" i="38"/>
  <c r="V265" i="38" s="1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K9" i="25"/>
  <c r="N26" i="38"/>
  <c r="V264" i="38" l="1"/>
  <c r="V8" i="38"/>
  <c r="V16" i="38"/>
  <c r="V24" i="38"/>
  <c r="V32" i="38"/>
  <c r="V40" i="38"/>
  <c r="V48" i="38"/>
  <c r="V56" i="38"/>
  <c r="V64" i="38"/>
  <c r="V72" i="38"/>
  <c r="V80" i="38"/>
  <c r="V88" i="38"/>
  <c r="V96" i="38"/>
  <c r="V104" i="38"/>
  <c r="V112" i="38"/>
  <c r="V120" i="38"/>
  <c r="V128" i="38"/>
  <c r="V136" i="38"/>
  <c r="V144" i="38"/>
  <c r="V152" i="38"/>
  <c r="V160" i="38"/>
  <c r="V168" i="38"/>
  <c r="V176" i="38"/>
  <c r="V184" i="38"/>
  <c r="V192" i="38"/>
  <c r="V200" i="38"/>
  <c r="V208" i="38"/>
  <c r="V216" i="38"/>
  <c r="V224" i="38"/>
  <c r="V232" i="38"/>
  <c r="V240" i="38"/>
  <c r="V248" i="38"/>
  <c r="V256" i="38"/>
  <c r="V4" i="38"/>
  <c r="V55" i="38"/>
  <c r="V103" i="38"/>
  <c r="V167" i="38"/>
  <c r="V207" i="38"/>
  <c r="V9" i="38"/>
  <c r="V17" i="38"/>
  <c r="V25" i="38"/>
  <c r="V33" i="38"/>
  <c r="V41" i="38"/>
  <c r="V49" i="38"/>
  <c r="V57" i="38"/>
  <c r="V65" i="38"/>
  <c r="V73" i="38"/>
  <c r="V81" i="38"/>
  <c r="V89" i="38"/>
  <c r="V97" i="38"/>
  <c r="V105" i="38"/>
  <c r="V113" i="38"/>
  <c r="V121" i="38"/>
  <c r="V129" i="38"/>
  <c r="V137" i="38"/>
  <c r="V145" i="38"/>
  <c r="V153" i="38"/>
  <c r="V161" i="38"/>
  <c r="V169" i="38"/>
  <c r="V177" i="38"/>
  <c r="V185" i="38"/>
  <c r="V193" i="38"/>
  <c r="V201" i="38"/>
  <c r="V209" i="38"/>
  <c r="V217" i="38"/>
  <c r="V225" i="38"/>
  <c r="V233" i="38"/>
  <c r="V241" i="38"/>
  <c r="V249" i="38"/>
  <c r="V257" i="38"/>
  <c r="V7" i="38"/>
  <c r="V143" i="38"/>
  <c r="V223" i="38"/>
  <c r="V10" i="38"/>
  <c r="V18" i="38"/>
  <c r="V26" i="38"/>
  <c r="V34" i="38"/>
  <c r="V42" i="38"/>
  <c r="V50" i="38"/>
  <c r="V58" i="38"/>
  <c r="V66" i="38"/>
  <c r="V74" i="38"/>
  <c r="V82" i="38"/>
  <c r="V90" i="38"/>
  <c r="V98" i="38"/>
  <c r="V106" i="38"/>
  <c r="V114" i="38"/>
  <c r="V122" i="38"/>
  <c r="V130" i="38"/>
  <c r="V138" i="38"/>
  <c r="V146" i="38"/>
  <c r="V154" i="38"/>
  <c r="V162" i="38"/>
  <c r="V170" i="38"/>
  <c r="V178" i="38"/>
  <c r="V186" i="38"/>
  <c r="V194" i="38"/>
  <c r="V202" i="38"/>
  <c r="V210" i="38"/>
  <c r="V218" i="38"/>
  <c r="V226" i="38"/>
  <c r="V234" i="38"/>
  <c r="V242" i="38"/>
  <c r="V250" i="38"/>
  <c r="V258" i="38"/>
  <c r="V39" i="38"/>
  <c r="V71" i="38"/>
  <c r="V95" i="38"/>
  <c r="V127" i="38"/>
  <c r="V175" i="38"/>
  <c r="V215" i="38"/>
  <c r="V263" i="38"/>
  <c r="V11" i="38"/>
  <c r="V19" i="38"/>
  <c r="V27" i="38"/>
  <c r="V35" i="38"/>
  <c r="V43" i="38"/>
  <c r="V51" i="38"/>
  <c r="V59" i="38"/>
  <c r="V67" i="38"/>
  <c r="V75" i="38"/>
  <c r="V83" i="38"/>
  <c r="V91" i="38"/>
  <c r="V99" i="38"/>
  <c r="V107" i="38"/>
  <c r="V115" i="38"/>
  <c r="V123" i="38"/>
  <c r="V131" i="38"/>
  <c r="V139" i="38"/>
  <c r="V147" i="38"/>
  <c r="V155" i="38"/>
  <c r="V163" i="38"/>
  <c r="V171" i="38"/>
  <c r="V179" i="38"/>
  <c r="V187" i="38"/>
  <c r="V195" i="38"/>
  <c r="V203" i="38"/>
  <c r="V211" i="38"/>
  <c r="V219" i="38"/>
  <c r="V227" i="38"/>
  <c r="V235" i="38"/>
  <c r="V243" i="38"/>
  <c r="V251" i="38"/>
  <c r="V259" i="38"/>
  <c r="V23" i="38"/>
  <c r="V119" i="38"/>
  <c r="V183" i="38"/>
  <c r="V255" i="38"/>
  <c r="V12" i="38"/>
  <c r="V20" i="38"/>
  <c r="V28" i="38"/>
  <c r="V36" i="38"/>
  <c r="V44" i="38"/>
  <c r="V52" i="38"/>
  <c r="V60" i="38"/>
  <c r="V68" i="38"/>
  <c r="V76" i="38"/>
  <c r="V84" i="38"/>
  <c r="V92" i="38"/>
  <c r="V100" i="38"/>
  <c r="V108" i="38"/>
  <c r="V116" i="38"/>
  <c r="V124" i="38"/>
  <c r="V132" i="38"/>
  <c r="V140" i="38"/>
  <c r="V148" i="38"/>
  <c r="V156" i="38"/>
  <c r="V164" i="38"/>
  <c r="V172" i="38"/>
  <c r="V180" i="38"/>
  <c r="V188" i="38"/>
  <c r="V196" i="38"/>
  <c r="V204" i="38"/>
  <c r="V212" i="38"/>
  <c r="V220" i="38"/>
  <c r="V228" i="38"/>
  <c r="V236" i="38"/>
  <c r="V244" i="38"/>
  <c r="V252" i="38"/>
  <c r="V260" i="38"/>
  <c r="V47" i="38"/>
  <c r="V63" i="38"/>
  <c r="V79" i="38"/>
  <c r="V111" i="38"/>
  <c r="V159" i="38"/>
  <c r="V199" i="38"/>
  <c r="V247" i="38"/>
  <c r="V5" i="38"/>
  <c r="V13" i="38"/>
  <c r="V21" i="38"/>
  <c r="V29" i="38"/>
  <c r="V37" i="38"/>
  <c r="V45" i="38"/>
  <c r="V53" i="38"/>
  <c r="V61" i="38"/>
  <c r="V69" i="38"/>
  <c r="V77" i="38"/>
  <c r="V85" i="38"/>
  <c r="V93" i="38"/>
  <c r="V101" i="38"/>
  <c r="V109" i="38"/>
  <c r="V117" i="38"/>
  <c r="V125" i="38"/>
  <c r="V133" i="38"/>
  <c r="V141" i="38"/>
  <c r="V149" i="38"/>
  <c r="V157" i="38"/>
  <c r="V165" i="38"/>
  <c r="V173" i="38"/>
  <c r="V181" i="38"/>
  <c r="V189" i="38"/>
  <c r="V197" i="38"/>
  <c r="V205" i="38"/>
  <c r="V213" i="38"/>
  <c r="V221" i="38"/>
  <c r="V229" i="38"/>
  <c r="V237" i="38"/>
  <c r="V245" i="38"/>
  <c r="V253" i="38"/>
  <c r="V261" i="38"/>
  <c r="V15" i="38"/>
  <c r="V151" i="38"/>
  <c r="V231" i="38"/>
  <c r="V6" i="38"/>
  <c r="V14" i="38"/>
  <c r="V22" i="38"/>
  <c r="V30" i="38"/>
  <c r="V38" i="38"/>
  <c r="V46" i="38"/>
  <c r="V54" i="38"/>
  <c r="V62" i="38"/>
  <c r="V70" i="38"/>
  <c r="V78" i="38"/>
  <c r="V86" i="38"/>
  <c r="V94" i="38"/>
  <c r="V102" i="38"/>
  <c r="V110" i="38"/>
  <c r="V118" i="38"/>
  <c r="V126" i="38"/>
  <c r="V134" i="38"/>
  <c r="V142" i="38"/>
  <c r="V150" i="38"/>
  <c r="V158" i="38"/>
  <c r="V166" i="38"/>
  <c r="V174" i="38"/>
  <c r="V182" i="38"/>
  <c r="V190" i="38"/>
  <c r="V198" i="38"/>
  <c r="V206" i="38"/>
  <c r="V214" i="38"/>
  <c r="V222" i="38"/>
  <c r="V230" i="38"/>
  <c r="V238" i="38"/>
  <c r="V246" i="38"/>
  <c r="V254" i="38"/>
  <c r="V262" i="38"/>
  <c r="V31" i="38"/>
  <c r="V87" i="38"/>
  <c r="V135" i="38"/>
  <c r="V191" i="38"/>
  <c r="V239" i="38"/>
  <c r="O3" i="38"/>
  <c r="P265" i="38" s="1"/>
  <c r="P264" i="38" l="1"/>
  <c r="P263" i="38"/>
  <c r="P262" i="38"/>
  <c r="P261" i="38"/>
  <c r="P260" i="38"/>
  <c r="P259" i="38"/>
  <c r="P258" i="38"/>
  <c r="P257" i="38"/>
  <c r="P256" i="38"/>
  <c r="P254" i="38"/>
  <c r="P255" i="38"/>
  <c r="P252" i="38"/>
  <c r="P253" i="38"/>
  <c r="P250" i="38"/>
  <c r="P251" i="38"/>
  <c r="P247" i="38"/>
  <c r="P249" i="38"/>
  <c r="P248" i="38"/>
  <c r="P246" i="38"/>
  <c r="P245" i="38"/>
  <c r="P244" i="38"/>
  <c r="P243" i="38"/>
  <c r="P241" i="38"/>
  <c r="P242" i="38"/>
  <c r="P240" i="38"/>
  <c r="P239" i="38"/>
  <c r="P238" i="38"/>
  <c r="P234" i="38"/>
  <c r="P237" i="38"/>
  <c r="P236" i="38"/>
  <c r="P235" i="38"/>
  <c r="P232" i="38"/>
  <c r="P233" i="38"/>
  <c r="P231" i="38"/>
  <c r="P230" i="38"/>
  <c r="P229" i="38"/>
  <c r="P226" i="38"/>
  <c r="P228" i="38"/>
  <c r="P227" i="38"/>
  <c r="P208" i="38"/>
  <c r="P225" i="38"/>
  <c r="P224" i="38"/>
  <c r="P32" i="38"/>
  <c r="P70" i="38"/>
  <c r="P146" i="38"/>
  <c r="P17" i="38"/>
  <c r="P69" i="38"/>
  <c r="P92" i="38"/>
  <c r="P131" i="38"/>
  <c r="P10" i="38"/>
  <c r="P16" i="38"/>
  <c r="P192" i="38"/>
  <c r="P72" i="38"/>
  <c r="P47" i="38"/>
  <c r="P8" i="38"/>
  <c r="P110" i="38"/>
  <c r="P144" i="38"/>
  <c r="P154" i="38"/>
  <c r="P45" i="38"/>
  <c r="P63" i="38"/>
  <c r="P34" i="38"/>
  <c r="P102" i="38"/>
  <c r="P61" i="38"/>
  <c r="P12" i="38"/>
  <c r="P111" i="38"/>
  <c r="P50" i="38"/>
  <c r="P169" i="38"/>
  <c r="P201" i="38"/>
  <c r="P57" i="38"/>
  <c r="P98" i="38"/>
  <c r="P125" i="38"/>
  <c r="P103" i="38"/>
  <c r="P43" i="38"/>
  <c r="P14" i="38"/>
  <c r="P93" i="38"/>
  <c r="P133" i="38"/>
  <c r="P96" i="38"/>
  <c r="P159" i="38"/>
  <c r="P39" i="38"/>
  <c r="P74" i="38"/>
  <c r="P41" i="38"/>
  <c r="P80" i="38"/>
  <c r="P87" i="38"/>
  <c r="P127" i="38"/>
  <c r="P134" i="38"/>
  <c r="P33" i="38"/>
  <c r="P130" i="38"/>
  <c r="P76" i="38"/>
  <c r="P155" i="38"/>
  <c r="P83" i="38"/>
  <c r="P121" i="38"/>
  <c r="P176" i="38"/>
  <c r="P207" i="38"/>
  <c r="P3" i="38"/>
  <c r="P30" i="38"/>
  <c r="P158" i="38"/>
  <c r="P94" i="38"/>
  <c r="P67" i="38"/>
  <c r="P68" i="38"/>
  <c r="P114" i="38"/>
  <c r="P153" i="38"/>
  <c r="P37" i="38"/>
  <c r="P107" i="38"/>
  <c r="P81" i="38"/>
  <c r="P78" i="38"/>
  <c r="P28" i="38"/>
  <c r="P65" i="38"/>
  <c r="P161" i="38"/>
  <c r="P90" i="38"/>
  <c r="P184" i="38"/>
  <c r="P143" i="38"/>
  <c r="P25" i="38"/>
  <c r="P62" i="38"/>
  <c r="P95" i="38"/>
  <c r="P136" i="38"/>
  <c r="P140" i="38"/>
  <c r="P29" i="38"/>
  <c r="P66" i="38"/>
  <c r="P99" i="38"/>
  <c r="P60" i="38"/>
  <c r="P100" i="38"/>
  <c r="P122" i="38"/>
  <c r="P38" i="38"/>
  <c r="P71" i="38"/>
  <c r="P160" i="38"/>
  <c r="P138" i="38"/>
  <c r="P85" i="38"/>
  <c r="P11" i="38"/>
  <c r="P139" i="38"/>
  <c r="P44" i="38"/>
  <c r="P112" i="38"/>
  <c r="P97" i="38"/>
  <c r="P15" i="38"/>
  <c r="P124" i="38"/>
  <c r="P40" i="38"/>
  <c r="P120" i="38"/>
  <c r="P13" i="38"/>
  <c r="P51" i="38"/>
  <c r="P84" i="38"/>
  <c r="P22" i="38"/>
  <c r="P156" i="38"/>
  <c r="P21" i="38"/>
  <c r="P91" i="38"/>
  <c r="P162" i="38"/>
  <c r="P170" i="38"/>
  <c r="P178" i="38"/>
  <c r="P187" i="38"/>
  <c r="P195" i="38"/>
  <c r="P200" i="38"/>
  <c r="P211" i="38"/>
  <c r="P204" i="38"/>
  <c r="P128" i="38"/>
  <c r="P54" i="38"/>
  <c r="P24" i="38"/>
  <c r="P53" i="38"/>
  <c r="P123" i="38"/>
  <c r="P165" i="38"/>
  <c r="P175" i="38"/>
  <c r="P180" i="38"/>
  <c r="P188" i="38"/>
  <c r="P196" i="38"/>
  <c r="P212" i="38"/>
  <c r="P137" i="38"/>
  <c r="P106" i="38"/>
  <c r="P31" i="38"/>
  <c r="P151" i="38"/>
  <c r="P64" i="38"/>
  <c r="P145" i="38"/>
  <c r="P126" i="38"/>
  <c r="P35" i="38"/>
  <c r="P152" i="38"/>
  <c r="P36" i="38"/>
  <c r="P118" i="38"/>
  <c r="P77" i="38"/>
  <c r="P7" i="38"/>
  <c r="P135" i="38"/>
  <c r="P104" i="38"/>
  <c r="P142" i="38"/>
  <c r="P42" i="38"/>
  <c r="P75" i="38"/>
  <c r="P4" i="38"/>
  <c r="P116" i="38"/>
  <c r="P9" i="38"/>
  <c r="P46" i="38"/>
  <c r="P79" i="38"/>
  <c r="P6" i="38"/>
  <c r="P48" i="38"/>
  <c r="P73" i="38"/>
  <c r="P18" i="38"/>
  <c r="P147" i="38"/>
  <c r="P101" i="38"/>
  <c r="P55" i="38"/>
  <c r="P132" i="38"/>
  <c r="P58" i="38"/>
  <c r="P108" i="38"/>
  <c r="P166" i="38"/>
  <c r="P172" i="38"/>
  <c r="P182" i="38"/>
  <c r="P191" i="38"/>
  <c r="P197" i="38"/>
  <c r="P221" i="38"/>
  <c r="P223" i="38"/>
  <c r="P222" i="38"/>
  <c r="P82" i="38"/>
  <c r="P115" i="38"/>
  <c r="P20" i="38"/>
  <c r="P109" i="38"/>
  <c r="P49" i="38"/>
  <c r="P86" i="38"/>
  <c r="P119" i="38"/>
  <c r="P56" i="38"/>
  <c r="P105" i="38"/>
  <c r="P141" i="38"/>
  <c r="P27" i="38"/>
  <c r="P149" i="38"/>
  <c r="P5" i="38"/>
  <c r="P164" i="38"/>
  <c r="P168" i="38"/>
  <c r="P173" i="38"/>
  <c r="P177" i="38"/>
  <c r="P181" i="38"/>
  <c r="P185" i="38"/>
  <c r="P190" i="38"/>
  <c r="P193" i="38"/>
  <c r="P198" i="38"/>
  <c r="P202" i="38"/>
  <c r="P205" i="38"/>
  <c r="P209" i="38"/>
  <c r="P214" i="38"/>
  <c r="P113" i="38"/>
  <c r="P19" i="38"/>
  <c r="P148" i="38"/>
  <c r="P52" i="38"/>
  <c r="P89" i="38"/>
  <c r="P129" i="38"/>
  <c r="P23" i="38"/>
  <c r="P150" i="38"/>
  <c r="P88" i="38"/>
  <c r="P117" i="38"/>
  <c r="P26" i="38"/>
  <c r="P59" i="38"/>
  <c r="P157" i="38"/>
  <c r="P163" i="38"/>
  <c r="P167" i="38"/>
  <c r="P171" i="38"/>
  <c r="P174" i="38"/>
  <c r="P179" i="38"/>
  <c r="P183" i="38"/>
  <c r="P186" i="38"/>
  <c r="P189" i="38"/>
  <c r="P194" i="38"/>
  <c r="P199" i="38"/>
  <c r="P203" i="38"/>
  <c r="P206" i="38"/>
  <c r="P210" i="38"/>
  <c r="P213" i="38"/>
  <c r="P219" i="38"/>
  <c r="P220" i="38"/>
  <c r="P217" i="38"/>
  <c r="P218" i="38"/>
  <c r="P215" i="38"/>
  <c r="P216" i="38"/>
  <c r="N24" i="38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94" i="1"/>
  <c r="F70" i="1"/>
  <c r="K70" i="1"/>
  <c r="N25" i="38" l="1"/>
  <c r="K72" i="1"/>
  <c r="M94" i="1" l="1"/>
  <c r="K220" i="1" l="1"/>
  <c r="K160" i="1"/>
  <c r="K2" i="7"/>
  <c r="K3" i="7"/>
  <c r="K4" i="7"/>
  <c r="K85" i="1"/>
  <c r="K81" i="7"/>
  <c r="K80" i="7" l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M18" i="30"/>
  <c r="H18" i="30"/>
  <c r="C18" i="30"/>
  <c r="M18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18" i="29"/>
  <c r="H18" i="29"/>
  <c r="Q2" i="29" s="1"/>
  <c r="H18" i="28"/>
  <c r="Q2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31" i="31"/>
  <c r="H31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8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Q2" i="15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8" i="24"/>
  <c r="Q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Q2" i="16"/>
  <c r="K18" i="16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8" i="20"/>
  <c r="Q2" i="20" s="1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AE50" i="13"/>
  <c r="AD50" i="13"/>
  <c r="P50" i="13"/>
  <c r="AE49" i="13"/>
  <c r="AD49" i="13"/>
  <c r="P49" i="13"/>
  <c r="AE48" i="13"/>
  <c r="AD48" i="13"/>
  <c r="P48" i="13"/>
  <c r="AE47" i="13"/>
  <c r="AD47" i="13"/>
  <c r="P47" i="13"/>
  <c r="AE46" i="13"/>
  <c r="AD46" i="13"/>
  <c r="P46" i="13"/>
  <c r="AE45" i="13"/>
  <c r="AD45" i="13"/>
  <c r="P45" i="13"/>
  <c r="AE44" i="13"/>
  <c r="AD44" i="13"/>
  <c r="P44" i="13"/>
  <c r="AE43" i="13"/>
  <c r="AD43" i="13"/>
  <c r="P43" i="13"/>
  <c r="AE42" i="13"/>
  <c r="AD42" i="13"/>
  <c r="P42" i="13"/>
  <c r="AE41" i="13"/>
  <c r="AD41" i="13"/>
  <c r="P41" i="13"/>
  <c r="AE40" i="13"/>
  <c r="AD40" i="13"/>
  <c r="AE39" i="13"/>
  <c r="AD39" i="13"/>
  <c r="AE38" i="13"/>
  <c r="AD38" i="13"/>
  <c r="AE37" i="13"/>
  <c r="AD37" i="13"/>
  <c r="AE36" i="13"/>
  <c r="AD36" i="13"/>
  <c r="AE35" i="13"/>
  <c r="AD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Q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3" i="7"/>
  <c r="AE66" i="7"/>
  <c r="AD66" i="7"/>
  <c r="P62" i="7"/>
  <c r="AE65" i="7"/>
  <c r="AD65" i="7"/>
  <c r="P61" i="7"/>
  <c r="AE64" i="7"/>
  <c r="AD64" i="7"/>
  <c r="P60" i="7"/>
  <c r="AE63" i="7"/>
  <c r="AD63" i="7"/>
  <c r="P59" i="7"/>
  <c r="AE62" i="7"/>
  <c r="AD62" i="7"/>
  <c r="P58" i="7"/>
  <c r="AE61" i="7"/>
  <c r="AD61" i="7"/>
  <c r="P57" i="7"/>
  <c r="AE60" i="7"/>
  <c r="AD60" i="7"/>
  <c r="P56" i="7"/>
  <c r="AE59" i="7"/>
  <c r="AD59" i="7"/>
  <c r="P55" i="7"/>
  <c r="AE58" i="7"/>
  <c r="AD58" i="7"/>
  <c r="P54" i="7"/>
  <c r="AE57" i="7"/>
  <c r="AD57" i="7"/>
  <c r="P53" i="7"/>
  <c r="AE56" i="7"/>
  <c r="AD56" i="7"/>
  <c r="P52" i="7"/>
  <c r="AE55" i="7"/>
  <c r="AD55" i="7"/>
  <c r="P51" i="7"/>
  <c r="AE54" i="7"/>
  <c r="AD54" i="7"/>
  <c r="P50" i="7"/>
  <c r="AE53" i="7"/>
  <c r="AD53" i="7"/>
  <c r="P49" i="7"/>
  <c r="AE52" i="7"/>
  <c r="AD52" i="7"/>
  <c r="P48" i="7"/>
  <c r="AE51" i="7"/>
  <c r="AD51" i="7"/>
  <c r="P47" i="7"/>
  <c r="AE50" i="7"/>
  <c r="AD50" i="7"/>
  <c r="P46" i="7"/>
  <c r="AE49" i="7"/>
  <c r="AD49" i="7"/>
  <c r="P45" i="7"/>
  <c r="AE48" i="7"/>
  <c r="AD48" i="7"/>
  <c r="P44" i="7"/>
  <c r="AE47" i="7"/>
  <c r="AD47" i="7"/>
  <c r="P43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P72" i="25"/>
  <c r="AE68" i="25"/>
  <c r="P71" i="25"/>
  <c r="AE67" i="25"/>
  <c r="P70" i="25"/>
  <c r="AE66" i="25"/>
  <c r="P69" i="25"/>
  <c r="AE65" i="25"/>
  <c r="P68" i="25"/>
  <c r="AE64" i="25"/>
  <c r="P67" i="25"/>
  <c r="AE63" i="25"/>
  <c r="P66" i="25"/>
  <c r="AE62" i="25"/>
  <c r="P65" i="25"/>
  <c r="AE61" i="25"/>
  <c r="P64" i="25"/>
  <c r="AE60" i="25"/>
  <c r="P63" i="25"/>
  <c r="AE59" i="25"/>
  <c r="P62" i="25"/>
  <c r="AE58" i="25"/>
  <c r="P61" i="25"/>
  <c r="AE57" i="25"/>
  <c r="P60" i="25"/>
  <c r="AE56" i="25"/>
  <c r="P59" i="25"/>
  <c r="AE55" i="25"/>
  <c r="P58" i="25"/>
  <c r="AE54" i="25"/>
  <c r="P57" i="25"/>
  <c r="AE53" i="25"/>
  <c r="P56" i="25"/>
  <c r="AE52" i="25"/>
  <c r="P55" i="25"/>
  <c r="AE51" i="25"/>
  <c r="P54" i="25"/>
  <c r="AE50" i="25"/>
  <c r="AE49" i="25"/>
  <c r="AE48" i="25"/>
  <c r="AE47" i="25"/>
  <c r="AE46" i="25"/>
  <c r="AE45" i="25"/>
  <c r="AE44" i="25"/>
  <c r="AE43" i="25"/>
  <c r="AE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AE10" i="25"/>
  <c r="AE9" i="25"/>
  <c r="AE8" i="25"/>
  <c r="K8" i="25"/>
  <c r="AE7" i="25"/>
  <c r="K7" i="25"/>
  <c r="AE6" i="25"/>
  <c r="K6" i="25"/>
  <c r="AE5" i="25"/>
  <c r="K5" i="25"/>
  <c r="AE4" i="25"/>
  <c r="K4" i="25"/>
  <c r="AE3" i="25"/>
  <c r="K3" i="25"/>
  <c r="AE2" i="25"/>
  <c r="K2" i="25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K221" i="1"/>
  <c r="H221" i="1"/>
  <c r="C221" i="1"/>
  <c r="F220" i="1"/>
  <c r="F221" i="1" s="1"/>
  <c r="M218" i="1"/>
  <c r="H218" i="1"/>
  <c r="C218" i="1"/>
  <c r="K217" i="1"/>
  <c r="K218" i="1" s="1"/>
  <c r="F217" i="1"/>
  <c r="F218" i="1" s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K135" i="17"/>
  <c r="K32" i="31"/>
  <c r="K186" i="25"/>
  <c r="F32" i="31"/>
  <c r="F81" i="7"/>
  <c r="F19" i="34"/>
  <c r="F18" i="34" l="1"/>
  <c r="Q9" i="15"/>
  <c r="Q9" i="26"/>
  <c r="Q5" i="17"/>
  <c r="Q9" i="28"/>
  <c r="Q9" i="10"/>
  <c r="Q9" i="20"/>
  <c r="Q9" i="29"/>
  <c r="Q9" i="13"/>
  <c r="Q9" i="16"/>
  <c r="K31" i="31"/>
  <c r="K185" i="25"/>
  <c r="Q5" i="7"/>
  <c r="Q8" i="33"/>
  <c r="Q7" i="33" s="1"/>
  <c r="F18" i="10"/>
  <c r="F31" i="31"/>
  <c r="F19" i="5"/>
  <c r="K19" i="5"/>
  <c r="F18" i="32"/>
  <c r="F18" i="28"/>
  <c r="Q8" i="28" s="1"/>
  <c r="Q7" i="28" s="1"/>
  <c r="Q5" i="16"/>
  <c r="Q3" i="16"/>
  <c r="F80" i="7"/>
  <c r="Q3" i="7" s="1"/>
  <c r="K134" i="17"/>
  <c r="F18" i="16"/>
  <c r="Q8" i="16" s="1"/>
  <c r="Q7" i="16" s="1"/>
  <c r="F18" i="29"/>
  <c r="Q8" i="29" s="1"/>
  <c r="Q7" i="29" s="1"/>
  <c r="Q5" i="10"/>
  <c r="K18" i="10"/>
  <c r="Q3" i="29"/>
  <c r="F6" i="1"/>
  <c r="Q3" i="33"/>
  <c r="F18" i="20"/>
  <c r="K18" i="20"/>
  <c r="K18" i="15"/>
  <c r="Q2" i="34"/>
  <c r="F18" i="15"/>
  <c r="Q5" i="5"/>
  <c r="Q3" i="5"/>
  <c r="F18" i="26"/>
  <c r="Q8" i="26" s="1"/>
  <c r="Q7" i="26" s="1"/>
  <c r="Q2" i="32"/>
  <c r="Q3" i="26"/>
  <c r="F18" i="30"/>
  <c r="Q3" i="28"/>
  <c r="F18" i="24"/>
  <c r="Q3" i="24" s="1"/>
  <c r="Q3" i="15"/>
  <c r="Q5" i="24"/>
  <c r="K18" i="13"/>
  <c r="Q2" i="30"/>
  <c r="Q5" i="20"/>
  <c r="F18" i="13"/>
  <c r="Q3" i="13" s="1"/>
  <c r="Q5" i="13"/>
  <c r="Q5" i="25"/>
  <c r="Q5" i="28"/>
  <c r="Q5" i="29"/>
  <c r="Q5" i="15"/>
  <c r="Q5" i="31"/>
  <c r="Q5" i="26"/>
  <c r="Q5" i="33"/>
  <c r="K94" i="1"/>
  <c r="N94" i="1" s="1"/>
  <c r="O94" i="1" s="1"/>
  <c r="N242" i="1"/>
  <c r="F146" i="1"/>
  <c r="N146" i="1" s="1"/>
  <c r="O146" i="1" s="1"/>
  <c r="F211" i="1"/>
  <c r="N211" i="1" s="1"/>
  <c r="O211" i="1" s="1"/>
  <c r="K107" i="1"/>
  <c r="F88" i="1"/>
  <c r="N88" i="1" s="1"/>
  <c r="O88" i="1" s="1"/>
  <c r="F32" i="1"/>
  <c r="N32" i="1" s="1"/>
  <c r="O32" i="1" s="1"/>
  <c r="F237" i="1"/>
  <c r="N19" i="1"/>
  <c r="O19" i="1" s="1"/>
  <c r="N218" i="1"/>
  <c r="O218" i="1" s="1"/>
  <c r="F107" i="1"/>
  <c r="N175" i="1"/>
  <c r="O175" i="1" s="1"/>
  <c r="K230" i="1"/>
  <c r="F153" i="1"/>
  <c r="N153" i="1" s="1"/>
  <c r="O153" i="1" s="1"/>
  <c r="K83" i="1"/>
  <c r="F98" i="1"/>
  <c r="N98" i="1" s="1"/>
  <c r="O98" i="1" s="1"/>
  <c r="N207" i="1"/>
  <c r="O207" i="1" s="1"/>
  <c r="K237" i="1"/>
  <c r="F139" i="1"/>
  <c r="N221" i="1"/>
  <c r="O221" i="1" s="1"/>
  <c r="K6" i="1"/>
  <c r="F83" i="1"/>
  <c r="F230" i="1"/>
  <c r="K139" i="1"/>
  <c r="N101" i="1"/>
  <c r="O101" i="1" s="1"/>
  <c r="N142" i="1"/>
  <c r="O142" i="1" s="1"/>
  <c r="N240" i="1"/>
  <c r="O240" i="1" s="1"/>
  <c r="N61" i="1"/>
  <c r="O61" i="1" s="1"/>
  <c r="Q8" i="34" l="1"/>
  <c r="Q7" i="34" s="1"/>
  <c r="Q3" i="34"/>
  <c r="Q3" i="31"/>
  <c r="Q9" i="30"/>
  <c r="Q9" i="32"/>
  <c r="Q5" i="34"/>
  <c r="Q8" i="13"/>
  <c r="Q7" i="13" s="1"/>
  <c r="Q8" i="20"/>
  <c r="Q7" i="20" s="1"/>
  <c r="Q8" i="32"/>
  <c r="Q7" i="32" s="1"/>
  <c r="Q8" i="24"/>
  <c r="Q8" i="31"/>
  <c r="Q7" i="31" s="1"/>
  <c r="Q8" i="10"/>
  <c r="Q7" i="10" s="1"/>
  <c r="Q3" i="17"/>
  <c r="Q6" i="17" s="1"/>
  <c r="Q8" i="17"/>
  <c r="Q6" i="7"/>
  <c r="Q8" i="7"/>
  <c r="Q8" i="15"/>
  <c r="Q7" i="15" s="1"/>
  <c r="Q3" i="10"/>
  <c r="Q6" i="10" s="1"/>
  <c r="Q6" i="29"/>
  <c r="Q3" i="20"/>
  <c r="Q3" i="32"/>
  <c r="Q5" i="32"/>
  <c r="Q6" i="31"/>
  <c r="Q6" i="5"/>
  <c r="Q6" i="33"/>
  <c r="Q9" i="33" s="1"/>
  <c r="Q6" i="16"/>
  <c r="Q6" i="26"/>
  <c r="Q6" i="28"/>
  <c r="Q6" i="15"/>
  <c r="Q6" i="24"/>
  <c r="Q6" i="13"/>
  <c r="Q5" i="30"/>
  <c r="Q3" i="30"/>
  <c r="N6" i="1"/>
  <c r="N237" i="1"/>
  <c r="O237" i="1" s="1"/>
  <c r="N107" i="1"/>
  <c r="O107" i="1" s="1"/>
  <c r="N83" i="1"/>
  <c r="N230" i="1"/>
  <c r="O230" i="1" s="1"/>
  <c r="N139" i="1"/>
  <c r="O139" i="1" s="1"/>
  <c r="Q7" i="24" l="1"/>
  <c r="Q9" i="24"/>
  <c r="Q9" i="31"/>
  <c r="Q9" i="17"/>
  <c r="Q7" i="17"/>
  <c r="Q7" i="7"/>
  <c r="Q9" i="7"/>
  <c r="O6" i="1"/>
  <c r="Q6" i="20"/>
  <c r="Q6" i="32"/>
  <c r="Q6" i="34"/>
  <c r="Q9" i="34" s="1"/>
  <c r="O83" i="1"/>
  <c r="K18" i="30"/>
  <c r="Q8" i="30" s="1"/>
  <c r="Q7" i="30" s="1"/>
  <c r="Q6" i="30" l="1"/>
  <c r="F18" i="44"/>
  <c r="K18" i="44"/>
  <c r="C18" i="44"/>
  <c r="H18" i="44"/>
  <c r="Q2" i="44" l="1"/>
  <c r="Q3" i="44" l="1"/>
  <c r="Q6" i="44" s="1"/>
  <c r="Q9" i="44"/>
  <c r="Q8" i="44"/>
  <c r="Q7" i="44" s="1"/>
  <c r="Q5" i="44"/>
  <c r="Q3" i="45"/>
  <c r="Q6" i="45" l="1"/>
  <c r="Q9" i="45" s="1"/>
  <c r="Q2" i="3"/>
  <c r="Q8" i="3" l="1"/>
  <c r="Q7" i="3" s="1"/>
  <c r="Q3" i="3"/>
  <c r="Q6" i="3" s="1"/>
  <c r="Q5" i="3"/>
  <c r="C166" i="1"/>
  <c r="K166" i="1"/>
  <c r="F166" i="1"/>
  <c r="H166" i="1"/>
  <c r="M185" i="25"/>
  <c r="Q9" i="3" l="1"/>
  <c r="Q3" i="25"/>
  <c r="Q6" i="25" s="1"/>
  <c r="Q8" i="25"/>
  <c r="Q7" i="25" s="1"/>
  <c r="N166" i="1"/>
  <c r="Q9" i="25" l="1"/>
  <c r="O166" i="1"/>
  <c r="N243" i="1"/>
  <c r="N247" i="1" s="1"/>
  <c r="N251" i="1" s="1"/>
  <c r="Q2" i="22"/>
  <c r="Q3" i="22" l="1"/>
  <c r="Q6" i="22" s="1"/>
  <c r="Q9" i="22"/>
  <c r="Q5" i="22"/>
  <c r="Q8" i="22"/>
  <c r="Q7" i="22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6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9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0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3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7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8" name="Connection681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9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0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1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2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3" name="Connection72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74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5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6" name="Connection741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7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8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9" name="Connection77" type="4" refreshedVersion="5" background="1" saveData="1">
    <webPr sourceData="1" parsePre="1" consecutive="1" xl2000="1" url="http://finance.yahoo.com/q/hp?s=CF" htmlTables="1">
      <tables count="1">
        <x v="15"/>
      </tables>
    </webPr>
  </connection>
  <connection id="80" name="Connection78" type="4" refreshedVersion="5" background="1" saveData="1">
    <webPr sourceData="1" parsePre="1" consecutive="1" xl2000="1" url="http://finance.yahoo.com/q/hp?s=vgk" htmlTables="1">
      <tables count="1">
        <x v="15"/>
      </tables>
    </webPr>
  </connection>
  <connection id="81" name="Connection79" type="4" refreshedVersion="5" background="1" saveData="1">
    <webPr sourceData="1" parsePre="1" consecutive="1" xl2000="1" url="http://finance.yahoo.com/q?s=vgk" htmlTables="1">
      <tables count="2">
        <s v="table1"/>
        <s v="table2"/>
      </tables>
    </webPr>
  </connection>
  <connection id="82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3" name="Connection80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84" name="Connection81" type="4" refreshedVersion="5" background="1" saveData="1">
    <webPr sourceData="1" parsePre="1" consecutive="1" xl2000="1" url="http://finance.yahoo.com/q/hp?s=LUV" htmlTables="1">
      <tables count="1">
        <x v="15"/>
      </tables>
    </webPr>
  </connection>
  <connection id="85" name="Connection82" type="4" refreshedVersion="5" background="1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6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7" name="Connection84" type="4" refreshedVersion="5" background="1" saveData="1">
    <webPr sourceData="1" parsePre="1" consecutive="1" xl2000="1" url="http://finance.yahoo.com/q?s=AKAM" htmlTables="1">
      <tables count="2">
        <s v="table1"/>
        <s v="table2"/>
      </tables>
    </webPr>
  </connection>
  <connection id="88" name="Connection85" type="4" refreshedVersion="5" background="1" saveData="1">
    <webPr parsePre="1" consecutive="1" textDates="1" xl2000="1" url="http://finance.yahoo.com/q?s=SIG" htmlTables="1">
      <tables count="2">
        <s v="table1"/>
        <s v="table2"/>
      </tables>
    </webPr>
  </connection>
  <connection id="89" name="Connection86" type="4" refreshedVersion="5" background="1" saveData="1">
    <webPr sourceData="1" parsePre="1" consecutive="1" xl2000="1" url="http://finance.yahoo.com/q?s=mro" htmlTables="1">
      <tables count="2">
        <s v="table1"/>
        <s v="table2"/>
      </tables>
    </webPr>
  </connection>
  <connection id="90" name="Connection87" type="4" refreshedVersion="5" background="1" saveData="1">
    <webPr sourceData="1" parsePre="1" consecutive="1" xl2000="1" url="http://finance.yahoo.com/q?s=dg" htmlTables="1">
      <tables count="2">
        <s v="table1"/>
        <s v="table2"/>
      </tables>
    </webPr>
  </connection>
  <connection id="91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2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3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4" name="Connection90" type="4" refreshedVersion="5" background="1" saveData="1">
    <webPr sourceData="1" parsePre="1" consecutive="1" xl2000="1" url="http://finance.yahoo.com/q?s=foxa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<sst xmlns="http://schemas.openxmlformats.org/spreadsheetml/2006/main" count="4246" uniqueCount="606">
  <si>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</si>
  <si>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</si>
  <si>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</si>
  <si>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</si>
  <si>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</si>
  <si>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</si>
  <si>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</si>
  <si>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</si>
  <si>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</si>
  <si>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</si>
  <si>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</si>
  <si>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</si>
  <si>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</si>
  <si>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</si>
  <si>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</si>
  <si>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</si>
  <si>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</si>
  <si>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</si>
  <si>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</si>
  <si>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</si>
  <si>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</si>
  <si>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</si>
  <si>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</si>
  <si>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</si>
  <si>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</si>
  <si>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</si>
  <si>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</si>
  <si>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</si>
  <si>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</si>
  <si>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</si>
  <si>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</si>
  <si>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</si>
  <si>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</si>
  <si>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</si>
  <si>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</si>
  <si>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</si>
  <si>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</si>
  <si>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</si>
  <si>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</si>
  <si>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</si>
  <si>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</si>
  <si>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</si>
  <si>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</si>
  <si>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</si>
  <si>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</si>
  <si>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</si>
  <si>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</si>
  <si>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</si>
  <si>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</si>
  <si>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</si>
  <si>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</si>
  <si>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</si>
  <si>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</si>
  <si>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</si>
  <si>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</si>
  <si>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</si>
  <si>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</si>
  <si>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</si>
  <si>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</si>
  <si>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</si>
  <si>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</si>
  <si>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</si>
  <si>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</si>
  <si>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</si>
  <si>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</si>
  <si>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</si>
  <si>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</si>
  <si>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</si>
  <si>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</si>
  <si>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</si>
  <si>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</si>
  <si>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</si>
  <si>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</si>
  <si>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</si>
  <si>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</si>
  <si>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</si>
  <si>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</si>
  <si>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</si>
  <si>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</si>
  <si>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</si>
  <si>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</si>
  <si>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</si>
  <si>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</si>
  <si>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</si>
  <si>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</si>
  <si>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</si>
  <si>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</si>
  <si>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</si>
  <si>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</si>
  <si>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</si>
  <si>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</si>
  <si>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</si>
  <si>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</si>
  <si>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</si>
  <si>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</si>
  <si>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</si>
  <si>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</si>
  <si>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</si>
  <si>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</si>
  <si>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</si>
  <si>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</si>
  <si>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</si>
  <si>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</si>
  <si>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</si>
  <si>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</si>
  <si>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</si>
  <si>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</si>
  <si>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</si>
  <si>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</si>
  <si>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</si>
  <si>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</si>
  <si>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</si>
  <si>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</si>
  <si>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</si>
  <si>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</si>
  <si>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</si>
  <si>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</si>
  <si>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</si>
  <si>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</si>
  <si>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</si>
  <si>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</si>
  <si>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</si>
  <si>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</si>
  <si>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</si>
  <si>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</si>
  <si>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</si>
  <si>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</si>
  <si>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</si>
  <si>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</si>
  <si>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</si>
  <si>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</si>
  <si>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</si>
  <si>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</si>
  <si>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</si>
  <si>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</si>
  <si>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</si>
  <si>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</si>
  <si>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</si>
  <si>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</si>
  <si>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</si>
  <si>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</si>
  <si>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</si>
  <si>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</si>
  <si>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</si>
  <si>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</si>
  <si>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</si>
  <si>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</si>
  <si>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</si>
  <si>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</si>
  <si>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</si>
  <si>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</si>
  <si>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</si>
  <si>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</si>
  <si>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</si>
  <si>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</si>
  <si>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</si>
  <si>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</si>
  <si>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</si>
  <si>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</si>
  <si>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</si>
  <si>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</si>
  <si>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</si>
  <si>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</si>
  <si>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</si>
  <si>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</si>
  <si>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</si>
  <si>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</si>
  <si>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</si>
  <si>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</si>
  <si>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</si>
  <si>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</si>
  <si>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</si>
  <si>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</si>
  <si>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</si>
  <si>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</si>
  <si>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</si>
  <si>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</si>
  <si>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</si>
  <si>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</si>
  <si>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</si>
  <si>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</si>
  <si>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</si>
  <si>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</si>
  <si>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</si>
  <si>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</si>
  <si>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</si>
  <si>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</si>
  <si>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</si>
  <si>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</si>
  <si>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</si>
  <si>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</si>
  <si>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</si>
  <si>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</si>
  <si>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</si>
  <si>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</si>
  <si>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</si>
  <si>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</si>
  <si>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</si>
  <si>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</si>
  <si>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</si>
  <si>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</si>
  <si>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</si>
  <si>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</si>
  <si>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</si>
  <si>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</si>
  <si>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</si>
  <si>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0.16 Dividend</t>
  </si>
  <si>
    <t>KR</t>
  </si>
  <si>
    <t>F</t>
  </si>
  <si>
    <t>3000 @ 13.99</t>
  </si>
  <si>
    <t>ER sequence: CAH, MCK, ABC</t>
  </si>
  <si>
    <t>CEO 5/2 Ed Bastian</t>
  </si>
  <si>
    <t>CEO Geoge Barrett</t>
  </si>
  <si>
    <t>1240 @ 10.18</t>
  </si>
  <si>
    <t>2000 @ 12.42</t>
  </si>
  <si>
    <t>46.23 - 66.22</t>
  </si>
  <si>
    <t>3.81 - 5.85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</si>
  <si>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</si>
  <si>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</si>
  <si>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</si>
  <si>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</si>
  <si>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</si>
  <si>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</si>
  <si>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</si>
  <si>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</si>
  <si>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</si>
  <si>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64.51 - 98.75</t>
  </si>
  <si>
    <t>75@</t>
  </si>
  <si>
    <t>0.66 Dividend</t>
  </si>
  <si>
    <t>P/L &gt; 400</t>
  </si>
  <si>
    <t>0.44 Dividend</t>
  </si>
  <si>
    <t>34.83 - 59.49</t>
  </si>
  <si>
    <t>SIG</t>
  </si>
  <si>
    <t>Top3 Loss</t>
  </si>
  <si>
    <t>Rest P/L</t>
  </si>
  <si>
    <t>15.10 - 26.46</t>
  </si>
  <si>
    <t>Interest</t>
  </si>
  <si>
    <t>0.33 Dividend</t>
  </si>
  <si>
    <t>NAV¹:</t>
  </si>
  <si>
    <t>Net Assets²:</t>
  </si>
  <si>
    <t>YTD Return (Mkt)²:</t>
  </si>
  <si>
    <t>P/E (ttm)²:</t>
  </si>
  <si>
    <t>Yield (ttm)²:</t>
  </si>
  <si>
    <t>0.293 Dividend</t>
  </si>
  <si>
    <t>16.K, 16.53</t>
  </si>
  <si>
    <t>0.47 Dividend</t>
  </si>
  <si>
    <t>0.50 Dividend</t>
  </si>
  <si>
    <t>0.625 Dividend</t>
  </si>
  <si>
    <t>9-Sep-16KR Earnings announcement</t>
  </si>
  <si>
    <t>1.078 Dividend</t>
  </si>
  <si>
    <t>20-Jun 1600  @14.31</t>
  </si>
  <si>
    <t>SPX vol</t>
  </si>
  <si>
    <t>My vol</t>
  </si>
  <si>
    <t>Corrections</t>
  </si>
  <si>
    <t>CF</t>
  </si>
  <si>
    <t>VGK</t>
  </si>
  <si>
    <t>0.30 Dividend</t>
  </si>
  <si>
    <t>AXP</t>
  </si>
  <si>
    <t>MOS</t>
  </si>
  <si>
    <t>0.29 Dividend</t>
  </si>
  <si>
    <t>1.10 (2.90%)</t>
  </si>
  <si>
    <t>6.14 - 11.50</t>
  </si>
  <si>
    <t>32.60 - 52.77</t>
  </si>
  <si>
    <t>22.22 - 37.07</t>
  </si>
  <si>
    <t>ER, AH -7%</t>
  </si>
  <si>
    <t>up 3.8%</t>
  </si>
  <si>
    <t>0.924 Dividend</t>
  </si>
  <si>
    <t>0.449 Dividend</t>
  </si>
  <si>
    <t>Sep 22 - Sep 26 (Est.)</t>
  </si>
  <si>
    <t>Sep 29 - Oct 3 (Est.)</t>
  </si>
  <si>
    <t>1-Jul,      2178  @15.63</t>
  </si>
  <si>
    <t>-9% AH after ER</t>
  </si>
  <si>
    <t>Sellable</t>
  </si>
  <si>
    <t>0.71 Dividend</t>
  </si>
  <si>
    <t>0.48 Dividend</t>
  </si>
  <si>
    <t>AH ER beat, +3.8%</t>
  </si>
  <si>
    <t>AH ER, 0.15 vs 0.09, 5.3B vs 5.2B</t>
  </si>
  <si>
    <t>insider sold shares@ 14.75</t>
  </si>
  <si>
    <t>Oct 6 - Oct 10 (Est.)</t>
  </si>
  <si>
    <t>32.41 - 64.08</t>
  </si>
  <si>
    <t>div 33.67</t>
  </si>
  <si>
    <t>1.47 vs 1.42, 10.45B vs 10.48B</t>
  </si>
  <si>
    <t>1.01 vs 1.00, 22.5B vs 22.2B, g 1.02</t>
  </si>
  <si>
    <t>ER, -2.51%</t>
  </si>
  <si>
    <t>ex 9/6 e</t>
  </si>
  <si>
    <t>ex 9/1 e</t>
  </si>
  <si>
    <t>ex 9/26 e</t>
  </si>
  <si>
    <t>Oct 12 - Oct 17 (Est.)</t>
  </si>
  <si>
    <t>14-Oct-16WFC Earnings announcement</t>
  </si>
  <si>
    <t>37.41 - 62.21</t>
  </si>
  <si>
    <t>73.25 - 91.23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</si>
  <si>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</si>
  <si>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</si>
  <si>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</si>
  <si>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</si>
  <si>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</si>
  <si>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</si>
  <si>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</si>
  <si>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</si>
  <si>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</si>
  <si>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</si>
  <si>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</si>
  <si>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0.10 Dividend</t>
  </si>
  <si>
    <t>AH -4%</t>
  </si>
  <si>
    <t>Oct 19 - Oct 24 (Est.)</t>
  </si>
  <si>
    <t>Oct 20 - Oct 24 (Est.)</t>
  </si>
  <si>
    <t>18-Oct-16INTC Earnings announcement</t>
  </si>
  <si>
    <t>AH -4% (84-100)</t>
  </si>
  <si>
    <t>AKAM</t>
  </si>
  <si>
    <t>AH -9%</t>
  </si>
  <si>
    <t>AH +7%</t>
  </si>
  <si>
    <t>AH +2% due to apple, 67.8</t>
  </si>
  <si>
    <t>Oct 25 - Oct 31 (Est.)</t>
  </si>
  <si>
    <t>89.47 - 123.82</t>
  </si>
  <si>
    <t>26-Oct-16LUV Earnings announcement</t>
  </si>
  <si>
    <t>sold 30 at loss</t>
  </si>
  <si>
    <t>1000 @ 13.57</t>
  </si>
  <si>
    <t>ER, -8%</t>
  </si>
  <si>
    <t>margin</t>
  </si>
  <si>
    <t>27-Oct-16F Earnings announcement</t>
  </si>
  <si>
    <t>Oct 28 - Nov 1 (Est.)</t>
  </si>
  <si>
    <t>27-Oct-16IP Earnings announcement</t>
  </si>
  <si>
    <t>Oct 26 - Oct 31 (Est.)</t>
  </si>
  <si>
    <t>54.50 - 92.63</t>
  </si>
  <si>
    <t>Nov 1 - Nov 7 (Est.)</t>
  </si>
  <si>
    <t>117.10 - 160.68</t>
  </si>
  <si>
    <t>Oct 18 - Oct 24 (Est.)</t>
  </si>
  <si>
    <t>0.28 Dividend</t>
  </si>
  <si>
    <t>86.25 - 120.65</t>
  </si>
  <si>
    <t>77.00 - 152.27</t>
  </si>
  <si>
    <t>223.02 - 333.65</t>
  </si>
  <si>
    <t>Nov 3 - Nov 7 (Est.)</t>
  </si>
  <si>
    <t>2-Nov-16KATE Earnings announcement</t>
  </si>
  <si>
    <t>2-Nov-16ALL Earnings announcement</t>
  </si>
  <si>
    <t>Nov 2 - Nov 7 (Est.)</t>
  </si>
  <si>
    <t>39.43 - 76.39</t>
  </si>
  <si>
    <t>16.98B</t>
  </si>
  <si>
    <t>9.31 - 19.30</t>
  </si>
  <si>
    <t>198.94B</t>
  </si>
  <si>
    <t>Oct 31 - Nov 4 (Est.)</t>
  </si>
  <si>
    <t>9/14 ex</t>
  </si>
  <si>
    <t>8/15 ex</t>
  </si>
  <si>
    <t>9/12 pay</t>
  </si>
  <si>
    <t>Nov 7 - Nov 11 (Est.)</t>
  </si>
  <si>
    <t>0.203 Dividend</t>
  </si>
  <si>
    <t>缺两天</t>
  </si>
  <si>
    <t>0.12 Dividend</t>
  </si>
  <si>
    <t>33.26 - 55.45</t>
  </si>
  <si>
    <t>83.39 - 109.83</t>
  </si>
  <si>
    <t>2000 @ 14.94</t>
  </si>
  <si>
    <t>37.59 - 55.51</t>
  </si>
  <si>
    <t>22.02 - 41.35</t>
  </si>
  <si>
    <t>42.73 - 52.77</t>
  </si>
  <si>
    <t>44.50 - 56.34</t>
  </si>
  <si>
    <t>8/18/2016 1678@    16.43</t>
  </si>
  <si>
    <t>50.27 - 78.40</t>
  </si>
  <si>
    <t>2000 @ 12.78; 2500 @ 12.64</t>
  </si>
  <si>
    <t>11.02 - 15.84</t>
  </si>
  <si>
    <t>56.03 - 70.38</t>
  </si>
  <si>
    <t>26.69 - 36.88</t>
  </si>
  <si>
    <t>107.51 - 144.48</t>
  </si>
  <si>
    <t>33.96 - 51.34</t>
  </si>
  <si>
    <t>31.45 - 42.75</t>
  </si>
  <si>
    <t>51.48 - 68.19</t>
  </si>
  <si>
    <t>53.53 - 72.95</t>
  </si>
  <si>
    <t>11.53 - 16.60</t>
  </si>
  <si>
    <t>20.77 - 58.90</t>
  </si>
  <si>
    <t>181.02 - 219.60</t>
  </si>
  <si>
    <t>32.50 - 49.70</t>
  </si>
  <si>
    <t>Nov 22 - Nov 28 (Est.)</t>
  </si>
  <si>
    <t>21-Sep-16GIS Earnings announcement</t>
  </si>
  <si>
    <t>barc conf</t>
  </si>
  <si>
    <t>conf</t>
  </si>
  <si>
    <t>6.52 - 20.44</t>
  </si>
  <si>
    <t>8.32B</t>
  </si>
  <si>
    <t>111.53 - 179.42</t>
  </si>
  <si>
    <t>25.40B</t>
  </si>
  <si>
    <t>Achieved, 16.35</t>
  </si>
  <si>
    <t>Achieved, 16.25</t>
  </si>
  <si>
    <t>313.01 x 100</t>
  </si>
  <si>
    <t>313.80 x 300</t>
  </si>
  <si>
    <t>308.66 - 318.88</t>
  </si>
  <si>
    <t>68.71B</t>
  </si>
  <si>
    <t>12.45 x 8100</t>
  </si>
  <si>
    <t>12.47 x 2400</t>
  </si>
  <si>
    <t>12.46 - 12.57</t>
  </si>
  <si>
    <t>50.58B</t>
  </si>
  <si>
    <t>12.42 x 500</t>
  </si>
  <si>
    <t>12.50 x 400</t>
  </si>
  <si>
    <t>12.20 - 12.57</t>
  </si>
  <si>
    <t>4.48B</t>
  </si>
  <si>
    <t>49.11 x 2900</t>
  </si>
  <si>
    <t>49.12 x 4700</t>
  </si>
  <si>
    <t>48.77 - 49.22</t>
  </si>
  <si>
    <t>20.20B</t>
  </si>
  <si>
    <t>36.05 x 400</t>
  </si>
  <si>
    <t>36.12 x 200</t>
  </si>
  <si>
    <t>35.95 - 36.33</t>
  </si>
  <si>
    <t>27.68 - 36.33</t>
  </si>
  <si>
    <t>170.69B</t>
  </si>
  <si>
    <t>53.08 x 1400</t>
  </si>
  <si>
    <t>53.09 x 600</t>
  </si>
  <si>
    <t>52.87 - 54.35</t>
  </si>
  <si>
    <t>16.66B</t>
  </si>
  <si>
    <t>1.00 (1.88%)</t>
  </si>
  <si>
    <t>94.17 x 500</t>
  </si>
  <si>
    <t>94.18 x 400</t>
  </si>
  <si>
    <t>93.69 - 94.80</t>
  </si>
  <si>
    <t>27.64B</t>
  </si>
  <si>
    <t>74.20 x 300</t>
  </si>
  <si>
    <t>75.50 x 300</t>
  </si>
  <si>
    <t>74.21 - 75.43</t>
  </si>
  <si>
    <t>13.99B</t>
  </si>
  <si>
    <t>57.15 x 200</t>
  </si>
  <si>
    <t>65.90 x 100</t>
  </si>
  <si>
    <t>64.90 - 65.81</t>
  </si>
  <si>
    <t>50.51B</t>
  </si>
  <si>
    <t>10.12 x 500</t>
  </si>
  <si>
    <t>10.13 x 3800</t>
  </si>
  <si>
    <t>10.01 - 10.27</t>
  </si>
  <si>
    <t>13.32B</t>
  </si>
  <si>
    <t>0.12 (1.18%)</t>
  </si>
  <si>
    <t>19.08 x 100</t>
  </si>
  <si>
    <t>19.30 x 100</t>
  </si>
  <si>
    <t>18.73 - 19.36</t>
  </si>
  <si>
    <t>2.45B</t>
  </si>
  <si>
    <t>53.55 x 5200</t>
  </si>
  <si>
    <t>53.56 x 2900</t>
  </si>
  <si>
    <t>53.35 - 53.96</t>
  </si>
  <si>
    <t>25.83B</t>
  </si>
  <si>
    <t>0.76 (1.42%)</t>
  </si>
  <si>
    <t>48.90 x 100</t>
  </si>
  <si>
    <t>51.07 x 400</t>
  </si>
  <si>
    <t>49.16 - 50.36</t>
  </si>
  <si>
    <t>68.94 x 4200</t>
  </si>
  <si>
    <t>68.95 x 6900</t>
  </si>
  <si>
    <t>68.52 - 69.25</t>
  </si>
  <si>
    <t>25.61B</t>
  </si>
  <si>
    <t>1.32 (1.91%)</t>
  </si>
  <si>
    <t>173.11 x 1200</t>
  </si>
  <si>
    <t>173.79 x 200</t>
  </si>
  <si>
    <t>168.80 - 177.34</t>
  </si>
  <si>
    <t>68.47B</t>
  </si>
  <si>
    <t>37.00 x 1000</t>
  </si>
  <si>
    <t>37.20 x 500</t>
  </si>
  <si>
    <t>36.67 - 37.49</t>
  </si>
  <si>
    <t>27.77B</t>
  </si>
  <si>
    <t>0.81 (2.18%)</t>
  </si>
  <si>
    <t>94.40 x 100</t>
  </si>
  <si>
    <t>94.50 x 300</t>
  </si>
  <si>
    <t>94.13 - 94.96</t>
  </si>
  <si>
    <t>151.74B</t>
  </si>
  <si>
    <t>1.42 (1.50%)</t>
  </si>
  <si>
    <t>4.57 x 3000</t>
  </si>
  <si>
    <t>4.70 x 2000</t>
  </si>
  <si>
    <t>4.50 - 4.63</t>
  </si>
  <si>
    <t>5.35B</t>
  </si>
  <si>
    <t>76.89 x 500</t>
  </si>
  <si>
    <t>76.94 x 1700</t>
  </si>
  <si>
    <t>76.67 - 77.76</t>
  </si>
  <si>
    <t>76.67 - 113.31</t>
  </si>
  <si>
    <t>101.47B</t>
  </si>
  <si>
    <t>63.77 x 1400</t>
  </si>
  <si>
    <t>63.78 x 7500</t>
  </si>
  <si>
    <t>63.03 - 63.78</t>
  </si>
  <si>
    <t>39.68 - 63.78</t>
  </si>
  <si>
    <t>3.92B</t>
  </si>
  <si>
    <t>0.44 (0.70%)</t>
  </si>
  <si>
    <t>32.19 x 100</t>
  </si>
  <si>
    <t>32.20 x 1800</t>
  </si>
  <si>
    <t>31.85 - 32.20</t>
  </si>
  <si>
    <t>50.33B</t>
  </si>
  <si>
    <t>143.25 x 200</t>
  </si>
  <si>
    <t>160.00 x 100</t>
  </si>
  <si>
    <t>150.67 - 151.84</t>
  </si>
  <si>
    <t>59.60B</t>
  </si>
  <si>
    <t>27.50 x 100</t>
  </si>
  <si>
    <t>35.01 x 200</t>
  </si>
  <si>
    <t>33.80 - 34.14</t>
  </si>
  <si>
    <t>2.66B</t>
  </si>
  <si>
    <t>106.53 x 400</t>
  </si>
  <si>
    <t>107.35 x 300</t>
  </si>
  <si>
    <t>106.48 - 107.72</t>
  </si>
  <si>
    <t>89.49B</t>
  </si>
  <si>
    <t>2.64 (2.47%)</t>
  </si>
  <si>
    <t>136.20 x 200</t>
  </si>
  <si>
    <t>136.99 x 100</t>
  </si>
  <si>
    <t>135.76 - 136.78</t>
  </si>
  <si>
    <t>130.11B</t>
  </si>
  <si>
    <t>39.98 x 300</t>
  </si>
  <si>
    <t>40.00 x 100</t>
  </si>
  <si>
    <t>39.82 - 42.09</t>
  </si>
  <si>
    <t>21.38B</t>
  </si>
  <si>
    <t>80.50 x 100</t>
  </si>
  <si>
    <t>82.98 x 400</t>
  </si>
  <si>
    <t>80.85 - 83.34</t>
  </si>
  <si>
    <t>6.40B</t>
  </si>
  <si>
    <t>107.70 x 100</t>
  </si>
  <si>
    <t>107.75 x 300</t>
  </si>
  <si>
    <t>106.82 - 108.00</t>
  </si>
  <si>
    <t>580.50B</t>
  </si>
  <si>
    <t>65.20 x 2800</t>
  </si>
  <si>
    <t>65.21 x 6000</t>
  </si>
  <si>
    <t>64.86 - 65.67</t>
  </si>
  <si>
    <t>60.22B</t>
  </si>
  <si>
    <t>25.83 x 100</t>
  </si>
  <si>
    <t>25.98 x 200</t>
  </si>
  <si>
    <t>25.47 - 26.16</t>
  </si>
  <si>
    <t>6.05B</t>
  </si>
  <si>
    <t>36.83 x 600</t>
  </si>
  <si>
    <t>36.86 x 300</t>
  </si>
  <si>
    <t>36.52 - 37.01</t>
  </si>
  <si>
    <t>22.88B</t>
  </si>
  <si>
    <t>0.40 (1.08%)</t>
  </si>
  <si>
    <t>51.58 x 100</t>
  </si>
  <si>
    <t>56.40 x 200</t>
  </si>
  <si>
    <t>55.01 - 55.78</t>
  </si>
  <si>
    <t>9.67B</t>
  </si>
  <si>
    <t>15.48 x 400</t>
  </si>
  <si>
    <t>15.49 x 500</t>
  </si>
  <si>
    <t>15.35 - 15.69</t>
  </si>
  <si>
    <t>13.12B</t>
  </si>
  <si>
    <t>32.50 x 500</t>
  </si>
  <si>
    <t>32.59 x 400</t>
  </si>
  <si>
    <t>32.01 - 32.81</t>
  </si>
  <si>
    <t>30.84B</t>
  </si>
  <si>
    <t>58.05 x 800</t>
  </si>
  <si>
    <t>58.24 x 500</t>
  </si>
  <si>
    <t>57.99 - 59.18</t>
  </si>
  <si>
    <t>97.35B</t>
  </si>
  <si>
    <t>0.64 (1.09%)</t>
  </si>
  <si>
    <t>29.49 x 24700</t>
  </si>
  <si>
    <t>29.50 x 17500</t>
  </si>
  <si>
    <t>28.90 - 29.85</t>
  </si>
  <si>
    <t>10.33B</t>
  </si>
  <si>
    <t>49.48 x 100</t>
  </si>
  <si>
    <t>49.72 x 100</t>
  </si>
  <si>
    <t>49.34 - 49.73</t>
  </si>
  <si>
    <t>16.63 x 500</t>
  </si>
  <si>
    <t>16.70 x 1200</t>
  </si>
  <si>
    <t>16.57 - 16.97</t>
  </si>
  <si>
    <t>17.34B</t>
  </si>
  <si>
    <t>218.33 x 5100</t>
  </si>
  <si>
    <t>218.34 x 1000</t>
  </si>
  <si>
    <t>217.70 - 218.87</t>
  </si>
  <si>
    <t>50.46 x 200</t>
  </si>
  <si>
    <t>50.49 x 100</t>
  </si>
  <si>
    <t>50.18 - 50.66</t>
  </si>
  <si>
    <t>255.05B</t>
  </si>
  <si>
    <t>50.03 x 100</t>
  </si>
  <si>
    <t>51.07 x 2500</t>
  </si>
  <si>
    <t>50.45 - 51.53</t>
  </si>
  <si>
    <t>16.47B</t>
  </si>
  <si>
    <t>78.90 x 100</t>
  </si>
  <si>
    <t>79.86 x 100</t>
  </si>
  <si>
    <t>79.53 - 80.14</t>
  </si>
  <si>
    <t>1.80 (2.25%)</t>
  </si>
  <si>
    <t>69.25 x 200</t>
  </si>
  <si>
    <t>72.00 x 200</t>
  </si>
  <si>
    <t>70.45 - 71.12</t>
  </si>
  <si>
    <t>42.53B</t>
  </si>
  <si>
    <t>system down</t>
  </si>
  <si>
    <t>div, 36.50</t>
  </si>
  <si>
    <t>Achieved, 15.75</t>
  </si>
  <si>
    <t>div, 12.00</t>
  </si>
  <si>
    <t>MS conference</t>
  </si>
  <si>
    <t>10/15 pay</t>
  </si>
  <si>
    <t>9/29 ex 0.4489</t>
  </si>
  <si>
    <t>sep. sale</t>
  </si>
  <si>
    <t>investor day</t>
  </si>
  <si>
    <t>0.60 (4.80%)</t>
  </si>
  <si>
    <t>1.76 (3.58%)</t>
  </si>
  <si>
    <t>1.04 (2.88%)</t>
  </si>
  <si>
    <t>2.36 (2.51%)</t>
  </si>
  <si>
    <t>1.12 (1.49%)</t>
  </si>
  <si>
    <t>1.14 (1.74%)</t>
  </si>
  <si>
    <t>2.00 (1.16%)</t>
  </si>
  <si>
    <t>0.42 (9.21%)</t>
  </si>
  <si>
    <t>1.88 (2.45%)</t>
  </si>
  <si>
    <t>1.52 (4.73%)</t>
  </si>
  <si>
    <t>0.60 (0.40%)</t>
  </si>
  <si>
    <t>1.04 (3.09%)</t>
  </si>
  <si>
    <t>2.50 (1.84%)</t>
  </si>
  <si>
    <t>1.04 (1.27%)</t>
  </si>
  <si>
    <t>2.28 (2.12%)</t>
  </si>
  <si>
    <t>1.16 (1.78%)</t>
  </si>
  <si>
    <t>1.20 (4.63%)</t>
  </si>
  <si>
    <t>0.20 (1.29%)</t>
  </si>
  <si>
    <t>0.48 (1.48%)</t>
  </si>
  <si>
    <t>1.52 (3.01%)</t>
  </si>
  <si>
    <t>1.92 (2.71%)</t>
  </si>
  <si>
    <t>DG</t>
  </si>
  <si>
    <t>FOXA</t>
  </si>
  <si>
    <t>72.00 x 800</t>
  </si>
  <si>
    <t>72.30 x 500</t>
  </si>
  <si>
    <t>Dec 1 - Dec 5 (Est.)</t>
  </si>
  <si>
    <t>71.93 - 73.50</t>
  </si>
  <si>
    <t>59.75 - 96.88</t>
  </si>
  <si>
    <t>20.43B</t>
  </si>
  <si>
    <t>1.00 (1.36%)</t>
  </si>
  <si>
    <t>22.12 x 100</t>
  </si>
  <si>
    <t>24.65 x 200</t>
  </si>
  <si>
    <t>24.09 - 24.55</t>
  </si>
  <si>
    <t>22.66 - 31.40</t>
  </si>
  <si>
    <t>45.48B</t>
  </si>
  <si>
    <t>0.36 (1.47%)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</si>
</sst>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</numFmts>
  <fonts count="34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rgb="FFF6F6DE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E7271D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</cellStyleXfs>
  <cellXfs count="563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23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 applyAlignment="1">
      <alignment horizontal="lef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166" fontId="4" fillId="11" borderId="0" xfId="0" applyNumberFormat="1" applyFont="1" applyFill="1"/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2" fontId="1" fillId="7" borderId="0" xfId="0" applyNumberFormat="1" applyFont="1" applyFill="1"/>
    <xf numFmtId="2" fontId="18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14" fillId="4" borderId="0" xfId="0" applyFont="1" applyFill="1"/>
    <xf numFmtId="0" fontId="4" fillId="19" borderId="0" xfId="0" applyFont="1" applyFill="1"/>
    <xf numFmtId="166" fontId="4" fillId="19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166" fontId="4" fillId="0" borderId="0" xfId="0" applyNumberFormat="1" applyFont="1" applyFill="1"/>
    <xf numFmtId="2" fontId="2" fillId="7" borderId="0" xfId="0" applyNumberFormat="1" applyFont="1" applyFill="1" applyAlignment="1">
      <alignment horizontal="right"/>
    </xf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2" fontId="14" fillId="7" borderId="0" xfId="0" applyNumberFormat="1" applyFont="1" applyFill="1" applyAlignment="1">
      <alignment horizontal="right"/>
    </xf>
    <xf numFmtId="2" fontId="14" fillId="7" borderId="0" xfId="0" quotePrefix="1" applyNumberFormat="1" applyFont="1" applyFill="1" applyAlignment="1">
      <alignment horizontal="right"/>
    </xf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6" fontId="0" fillId="18" borderId="0" xfId="0" applyNumberFormat="1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6" fontId="4" fillId="16" borderId="0" xfId="0" applyNumberFormat="1" applyFont="1" applyFill="1"/>
    <xf numFmtId="16" fontId="0" fillId="21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2" fontId="0" fillId="16" borderId="0" xfId="0" applyNumberFormat="1" applyFill="1"/>
    <xf numFmtId="2" fontId="4" fillId="22" borderId="0" xfId="0" applyNumberFormat="1" applyFont="1" applyFill="1"/>
    <xf numFmtId="2" fontId="4" fillId="10" borderId="0" xfId="0" applyNumberFormat="1" applyFont="1" applyFill="1" applyAlignment="1">
      <alignment horizontal="right"/>
    </xf>
    <xf numFmtId="2" fontId="4" fillId="3" borderId="0" xfId="0" applyNumberFormat="1" applyFont="1" applyFill="1" applyAlignment="1">
      <alignment horizontal="right"/>
    </xf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21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wrapText="1"/>
    </xf>
    <xf numFmtId="14" fontId="0" fillId="4" borderId="0" xfId="0" applyNumberFormat="1" applyFill="1" applyAlignment="1">
      <alignment horizontal="right" vertical="center" wrapText="1"/>
    </xf>
    <xf numFmtId="14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3" xfId="0" applyNumberFormat="1" applyFill="1" applyBorder="1" applyAlignment="1">
      <alignment horizontal="right" vertical="center"/>
    </xf>
    <xf numFmtId="16" fontId="0" fillId="4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0" fontId="4" fillId="10" borderId="0" xfId="0" applyFont="1" applyFill="1" applyAlignment="1">
      <alignment horizontal="center" vertical="center" wrapText="1"/>
    </xf>
    <xf numFmtId="0" fontId="0" fillId="20" borderId="0" xfId="0" applyFill="1" applyAlignment="1">
      <alignment horizontal="center" vertical="center" wrapText="1"/>
    </xf>
    <xf numFmtId="0" fontId="0" fillId="18" borderId="0" xfId="0" applyFill="1" applyAlignment="1">
      <alignment horizontal="center" wrapText="1"/>
    </xf>
    <xf numFmtId="0" fontId="0" fillId="0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751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750"/>
      <tableStyleElement type="headerRow" dxfId="749"/>
    </tableStyle>
  </tableStyles>
  <colors>
    <mruColors>
      <color rgb="FFFF7C5D"/>
      <color rgb="FFE7271D"/>
      <color rgb="FF00221A"/>
      <color rgb="FFED5C55"/>
      <color rgb="FFFBDBD9"/>
      <color rgb="FFF6F6DE"/>
      <color rgb="FFF9DEDB"/>
      <color rgb="FFFF3399"/>
      <color rgb="FFFFCC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42616</c:v>
                </c:pt>
              </c:numCache>
            </c:numRef>
          </c:xVal>
          <c:yVal>
            <c:numRef>
              <c:f>Balance!$I$2:$I$318</c:f>
              <c:numCache>
                <c:formatCode>0.00</c:formatCode>
                <c:ptCount val="317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011656"/>
        <c:axId val="491994016"/>
      </c:scatterChart>
      <c:valAx>
        <c:axId val="49201165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94016"/>
        <c:crosses val="autoZero"/>
        <c:crossBetween val="midCat"/>
      </c:valAx>
      <c:valAx>
        <c:axId val="491994016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011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Balance!$B$2:$B$306</c:f>
              <c:numCache>
                <c:formatCode>m/d/yyyy</c:formatCode>
                <c:ptCount val="30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42616</c:v>
                </c:pt>
              </c:numCache>
            </c:numRef>
          </c:xVal>
          <c:yVal>
            <c:numRef>
              <c:f>Balance!$M$2:$M$277</c:f>
              <c:numCache>
                <c:formatCode>0.00</c:formatCode>
                <c:ptCount val="276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992056"/>
        <c:axId val="491988920"/>
      </c:scatterChart>
      <c:valAx>
        <c:axId val="49199205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88920"/>
        <c:crosses val="autoZero"/>
        <c:crossBetween val="midCat"/>
      </c:valAx>
      <c:valAx>
        <c:axId val="491988920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92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Balance!$B$2:$B$265</c:f>
              <c:numCache>
                <c:formatCode>m/d/yyyy</c:formatCode>
                <c:ptCount val="264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</c:numCache>
            </c:numRef>
          </c:xVal>
          <c:yVal>
            <c:numRef>
              <c:f>Balance!$C$2:$C$277</c:f>
              <c:numCache>
                <c:formatCode>0.00</c:formatCode>
                <c:ptCount val="276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996760"/>
        <c:axId val="491998720"/>
      </c:scatterChart>
      <c:valAx>
        <c:axId val="49199676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98720"/>
        <c:crosses val="autoZero"/>
        <c:crossBetween val="midCat"/>
      </c:valAx>
      <c:valAx>
        <c:axId val="49199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96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42616</c:v>
                </c:pt>
              </c:numCache>
            </c:numRef>
          </c:xVal>
          <c:yVal>
            <c:numRef>
              <c:f>Balance!$P$2:$P$466</c:f>
              <c:numCache>
                <c:formatCode>0.00%</c:formatCode>
                <c:ptCount val="4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991272"/>
        <c:axId val="491986960"/>
      </c:scatterChart>
      <c:valAx>
        <c:axId val="49199127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86960"/>
        <c:crosses val="autoZero"/>
        <c:crossBetween val="midCat"/>
      </c:valAx>
      <c:valAx>
        <c:axId val="491986960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91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42615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42608</c:v>
                </c:pt>
                <c:pt idx="6">
                  <c:v>42607</c:v>
                </c:pt>
                <c:pt idx="7">
                  <c:v>42606</c:v>
                </c:pt>
                <c:pt idx="8">
                  <c:v>42605</c:v>
                </c:pt>
                <c:pt idx="9">
                  <c:v>42604</c:v>
                </c:pt>
                <c:pt idx="10">
                  <c:v>42601</c:v>
                </c:pt>
                <c:pt idx="11">
                  <c:v>42600</c:v>
                </c:pt>
                <c:pt idx="12">
                  <c:v>42599</c:v>
                </c:pt>
                <c:pt idx="13">
                  <c:v>42598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42592</c:v>
                </c:pt>
                <c:pt idx="18">
                  <c:v>42591</c:v>
                </c:pt>
                <c:pt idx="19">
                  <c:v>42590</c:v>
                </c:pt>
                <c:pt idx="20">
                  <c:v>42587</c:v>
                </c:pt>
                <c:pt idx="21">
                  <c:v>42586</c:v>
                </c:pt>
                <c:pt idx="22">
                  <c:v>42585</c:v>
                </c:pt>
                <c:pt idx="23">
                  <c:v>42584</c:v>
                </c:pt>
                <c:pt idx="24">
                  <c:v>42583</c:v>
                </c:pt>
                <c:pt idx="25">
                  <c:v>42580</c:v>
                </c:pt>
                <c:pt idx="26">
                  <c:v>42579</c:v>
                </c:pt>
                <c:pt idx="27">
                  <c:v>42578</c:v>
                </c:pt>
                <c:pt idx="28">
                  <c:v>42577</c:v>
                </c:pt>
                <c:pt idx="29">
                  <c:v>42576</c:v>
                </c:pt>
                <c:pt idx="30">
                  <c:v>42573</c:v>
                </c:pt>
                <c:pt idx="31">
                  <c:v>42572</c:v>
                </c:pt>
                <c:pt idx="32">
                  <c:v>42571</c:v>
                </c:pt>
                <c:pt idx="33">
                  <c:v>42570</c:v>
                </c:pt>
                <c:pt idx="34">
                  <c:v>42569</c:v>
                </c:pt>
                <c:pt idx="35">
                  <c:v>42566</c:v>
                </c:pt>
                <c:pt idx="36">
                  <c:v>42565</c:v>
                </c:pt>
                <c:pt idx="37">
                  <c:v>42564</c:v>
                </c:pt>
                <c:pt idx="38">
                  <c:v>42563</c:v>
                </c:pt>
                <c:pt idx="39">
                  <c:v>42562</c:v>
                </c:pt>
                <c:pt idx="40">
                  <c:v>42559</c:v>
                </c:pt>
                <c:pt idx="41">
                  <c:v>42558</c:v>
                </c:pt>
                <c:pt idx="42">
                  <c:v>42557</c:v>
                </c:pt>
                <c:pt idx="43">
                  <c:v>42556</c:v>
                </c:pt>
                <c:pt idx="44">
                  <c:v>42552</c:v>
                </c:pt>
                <c:pt idx="45">
                  <c:v>42551</c:v>
                </c:pt>
                <c:pt idx="46">
                  <c:v>42550</c:v>
                </c:pt>
                <c:pt idx="47">
                  <c:v>42549</c:v>
                </c:pt>
                <c:pt idx="48">
                  <c:v>42548</c:v>
                </c:pt>
                <c:pt idx="49">
                  <c:v>42545</c:v>
                </c:pt>
                <c:pt idx="50">
                  <c:v>42544</c:v>
                </c:pt>
                <c:pt idx="51">
                  <c:v>42543</c:v>
                </c:pt>
                <c:pt idx="52">
                  <c:v>42542</c:v>
                </c:pt>
                <c:pt idx="53">
                  <c:v>42541</c:v>
                </c:pt>
                <c:pt idx="54">
                  <c:v>42538</c:v>
                </c:pt>
                <c:pt idx="55">
                  <c:v>42537</c:v>
                </c:pt>
                <c:pt idx="56">
                  <c:v>42536</c:v>
                </c:pt>
                <c:pt idx="57">
                  <c:v>42535</c:v>
                </c:pt>
                <c:pt idx="58">
                  <c:v>42534</c:v>
                </c:pt>
                <c:pt idx="59">
                  <c:v>42531</c:v>
                </c:pt>
                <c:pt idx="60">
                  <c:v>42530</c:v>
                </c:pt>
                <c:pt idx="61">
                  <c:v>42529</c:v>
                </c:pt>
                <c:pt idx="62">
                  <c:v>42528</c:v>
                </c:pt>
                <c:pt idx="63">
                  <c:v>42527</c:v>
                </c:pt>
                <c:pt idx="64">
                  <c:v>42524</c:v>
                </c:pt>
                <c:pt idx="65">
                  <c:v>42523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313.58999999999997</c:v>
                </c:pt>
                <c:pt idx="1">
                  <c:v>306.02999999999997</c:v>
                </c:pt>
                <c:pt idx="2">
                  <c:v>305.63</c:v>
                </c:pt>
                <c:pt idx="3">
                  <c:v>307.86</c:v>
                </c:pt>
                <c:pt idx="4">
                  <c:v>306.13</c:v>
                </c:pt>
                <c:pt idx="5">
                  <c:v>308.17</c:v>
                </c:pt>
                <c:pt idx="6">
                  <c:v>306.85000000000002</c:v>
                </c:pt>
                <c:pt idx="7">
                  <c:v>309.33</c:v>
                </c:pt>
                <c:pt idx="8">
                  <c:v>318.17</c:v>
                </c:pt>
                <c:pt idx="9">
                  <c:v>316.81</c:v>
                </c:pt>
                <c:pt idx="10">
                  <c:v>316.81</c:v>
                </c:pt>
                <c:pt idx="11">
                  <c:v>313.38</c:v>
                </c:pt>
                <c:pt idx="12">
                  <c:v>313.82</c:v>
                </c:pt>
                <c:pt idx="13">
                  <c:v>313.42</c:v>
                </c:pt>
                <c:pt idx="14">
                  <c:v>313.39</c:v>
                </c:pt>
                <c:pt idx="15">
                  <c:v>313.94</c:v>
                </c:pt>
                <c:pt idx="16">
                  <c:v>314.49</c:v>
                </c:pt>
                <c:pt idx="17">
                  <c:v>308.87</c:v>
                </c:pt>
                <c:pt idx="18">
                  <c:v>314.42</c:v>
                </c:pt>
                <c:pt idx="19">
                  <c:v>313.64999999999998</c:v>
                </c:pt>
                <c:pt idx="20">
                  <c:v>315.95999999999998</c:v>
                </c:pt>
                <c:pt idx="21">
                  <c:v>314.56</c:v>
                </c:pt>
                <c:pt idx="22">
                  <c:v>321.33999999999997</c:v>
                </c:pt>
                <c:pt idx="23">
                  <c:v>330.11</c:v>
                </c:pt>
                <c:pt idx="24">
                  <c:v>301.83</c:v>
                </c:pt>
                <c:pt idx="25">
                  <c:v>289.93</c:v>
                </c:pt>
                <c:pt idx="26">
                  <c:v>289.02999999999997</c:v>
                </c:pt>
                <c:pt idx="27">
                  <c:v>288.35000000000002</c:v>
                </c:pt>
                <c:pt idx="28">
                  <c:v>287.04000000000002</c:v>
                </c:pt>
                <c:pt idx="29">
                  <c:v>287.35000000000002</c:v>
                </c:pt>
                <c:pt idx="30">
                  <c:v>287.77999999999997</c:v>
                </c:pt>
                <c:pt idx="31">
                  <c:v>282.45</c:v>
                </c:pt>
                <c:pt idx="32">
                  <c:v>262.41000000000003</c:v>
                </c:pt>
                <c:pt idx="33">
                  <c:v>259.82</c:v>
                </c:pt>
                <c:pt idx="34">
                  <c:v>261.5</c:v>
                </c:pt>
                <c:pt idx="35">
                  <c:v>260.3</c:v>
                </c:pt>
                <c:pt idx="36">
                  <c:v>252.87</c:v>
                </c:pt>
                <c:pt idx="37">
                  <c:v>251.19</c:v>
                </c:pt>
                <c:pt idx="38">
                  <c:v>253.36</c:v>
                </c:pt>
                <c:pt idx="39">
                  <c:v>252.54</c:v>
                </c:pt>
                <c:pt idx="40">
                  <c:v>251.3</c:v>
                </c:pt>
                <c:pt idx="41">
                  <c:v>247.27</c:v>
                </c:pt>
                <c:pt idx="42">
                  <c:v>247.48</c:v>
                </c:pt>
                <c:pt idx="43">
                  <c:v>242.03</c:v>
                </c:pt>
                <c:pt idx="44">
                  <c:v>245.06</c:v>
                </c:pt>
                <c:pt idx="45">
                  <c:v>241.82</c:v>
                </c:pt>
                <c:pt idx="46">
                  <c:v>238.91</c:v>
                </c:pt>
                <c:pt idx="47">
                  <c:v>228.52</c:v>
                </c:pt>
                <c:pt idx="48">
                  <c:v>224.6</c:v>
                </c:pt>
                <c:pt idx="49">
                  <c:v>229.02</c:v>
                </c:pt>
                <c:pt idx="50">
                  <c:v>238.62</c:v>
                </c:pt>
                <c:pt idx="51">
                  <c:v>234.6</c:v>
                </c:pt>
                <c:pt idx="52">
                  <c:v>233</c:v>
                </c:pt>
                <c:pt idx="53">
                  <c:v>237.39</c:v>
                </c:pt>
                <c:pt idx="54">
                  <c:v>238.21</c:v>
                </c:pt>
                <c:pt idx="55">
                  <c:v>242.19</c:v>
                </c:pt>
                <c:pt idx="56">
                  <c:v>238.91</c:v>
                </c:pt>
                <c:pt idx="57">
                  <c:v>241.7</c:v>
                </c:pt>
                <c:pt idx="58">
                  <c:v>244.35</c:v>
                </c:pt>
                <c:pt idx="59">
                  <c:v>246.13</c:v>
                </c:pt>
                <c:pt idx="60">
                  <c:v>250.46</c:v>
                </c:pt>
                <c:pt idx="61">
                  <c:v>254.17</c:v>
                </c:pt>
                <c:pt idx="62">
                  <c:v>252.86</c:v>
                </c:pt>
                <c:pt idx="63">
                  <c:v>289.83999999999997</c:v>
                </c:pt>
                <c:pt idx="64">
                  <c:v>290.23</c:v>
                </c:pt>
                <c:pt idx="65">
                  <c:v>289.73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989704"/>
        <c:axId val="491995192"/>
      </c:lineChart>
      <c:dateAx>
        <c:axId val="491989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95192"/>
        <c:crosses val="autoZero"/>
        <c:auto val="1"/>
        <c:lblOffset val="100"/>
        <c:baseTimeUnit val="days"/>
      </c:dateAx>
      <c:valAx>
        <c:axId val="491995192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89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42615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42608</c:v>
                </c:pt>
                <c:pt idx="6">
                  <c:v>42607</c:v>
                </c:pt>
                <c:pt idx="7">
                  <c:v>42606</c:v>
                </c:pt>
                <c:pt idx="8">
                  <c:v>42605</c:v>
                </c:pt>
                <c:pt idx="9">
                  <c:v>42604</c:v>
                </c:pt>
                <c:pt idx="10">
                  <c:v>42601</c:v>
                </c:pt>
                <c:pt idx="11">
                  <c:v>42600</c:v>
                </c:pt>
                <c:pt idx="12">
                  <c:v>42599</c:v>
                </c:pt>
                <c:pt idx="13">
                  <c:v>42598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42592</c:v>
                </c:pt>
                <c:pt idx="18">
                  <c:v>42591</c:v>
                </c:pt>
                <c:pt idx="19">
                  <c:v>42590</c:v>
                </c:pt>
                <c:pt idx="20">
                  <c:v>42587</c:v>
                </c:pt>
                <c:pt idx="21">
                  <c:v>42586</c:v>
                </c:pt>
                <c:pt idx="22">
                  <c:v>42585</c:v>
                </c:pt>
                <c:pt idx="23">
                  <c:v>42584</c:v>
                </c:pt>
                <c:pt idx="24">
                  <c:v>42583</c:v>
                </c:pt>
                <c:pt idx="25">
                  <c:v>42580</c:v>
                </c:pt>
                <c:pt idx="26">
                  <c:v>42579</c:v>
                </c:pt>
                <c:pt idx="27">
                  <c:v>42578</c:v>
                </c:pt>
                <c:pt idx="28">
                  <c:v>42577</c:v>
                </c:pt>
                <c:pt idx="29">
                  <c:v>42576</c:v>
                </c:pt>
                <c:pt idx="30">
                  <c:v>42573</c:v>
                </c:pt>
                <c:pt idx="31">
                  <c:v>42572</c:v>
                </c:pt>
                <c:pt idx="32">
                  <c:v>42571</c:v>
                </c:pt>
                <c:pt idx="33">
                  <c:v>42570</c:v>
                </c:pt>
                <c:pt idx="34">
                  <c:v>42569</c:v>
                </c:pt>
                <c:pt idx="35">
                  <c:v>42566</c:v>
                </c:pt>
                <c:pt idx="36">
                  <c:v>42565</c:v>
                </c:pt>
                <c:pt idx="37">
                  <c:v>42564</c:v>
                </c:pt>
                <c:pt idx="38">
                  <c:v>42563</c:v>
                </c:pt>
                <c:pt idx="39">
                  <c:v>42562</c:v>
                </c:pt>
                <c:pt idx="40">
                  <c:v>42559</c:v>
                </c:pt>
                <c:pt idx="41">
                  <c:v>42558</c:v>
                </c:pt>
                <c:pt idx="42">
                  <c:v>42557</c:v>
                </c:pt>
                <c:pt idx="43">
                  <c:v>42556</c:v>
                </c:pt>
                <c:pt idx="44">
                  <c:v>42552</c:v>
                </c:pt>
                <c:pt idx="45">
                  <c:v>42551</c:v>
                </c:pt>
                <c:pt idx="46">
                  <c:v>42550</c:v>
                </c:pt>
                <c:pt idx="47">
                  <c:v>42549</c:v>
                </c:pt>
                <c:pt idx="48">
                  <c:v>42548</c:v>
                </c:pt>
                <c:pt idx="49">
                  <c:v>42545</c:v>
                </c:pt>
                <c:pt idx="50">
                  <c:v>42544</c:v>
                </c:pt>
                <c:pt idx="51">
                  <c:v>42543</c:v>
                </c:pt>
                <c:pt idx="52">
                  <c:v>42542</c:v>
                </c:pt>
                <c:pt idx="53">
                  <c:v>42541</c:v>
                </c:pt>
                <c:pt idx="54">
                  <c:v>42538</c:v>
                </c:pt>
                <c:pt idx="55">
                  <c:v>42537</c:v>
                </c:pt>
                <c:pt idx="56">
                  <c:v>42536</c:v>
                </c:pt>
                <c:pt idx="57">
                  <c:v>42535</c:v>
                </c:pt>
                <c:pt idx="58">
                  <c:v>42534</c:v>
                </c:pt>
                <c:pt idx="59">
                  <c:v>42531</c:v>
                </c:pt>
                <c:pt idx="60">
                  <c:v>42530</c:v>
                </c:pt>
                <c:pt idx="61">
                  <c:v>42529</c:v>
                </c:pt>
                <c:pt idx="62">
                  <c:v>42528</c:v>
                </c:pt>
                <c:pt idx="63">
                  <c:v>42527</c:v>
                </c:pt>
                <c:pt idx="64">
                  <c:v>42524</c:v>
                </c:pt>
                <c:pt idx="65">
                  <c:v>42523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39.97</c:v>
                </c:pt>
                <c:pt idx="1">
                  <c:v>41.92</c:v>
                </c:pt>
                <c:pt idx="2">
                  <c:v>42.36</c:v>
                </c:pt>
                <c:pt idx="3">
                  <c:v>42.75</c:v>
                </c:pt>
                <c:pt idx="4">
                  <c:v>43.22</c:v>
                </c:pt>
                <c:pt idx="5">
                  <c:v>43.03</c:v>
                </c:pt>
                <c:pt idx="6">
                  <c:v>42.85</c:v>
                </c:pt>
                <c:pt idx="7">
                  <c:v>43.15</c:v>
                </c:pt>
                <c:pt idx="8">
                  <c:v>45.62</c:v>
                </c:pt>
                <c:pt idx="9">
                  <c:v>47.9</c:v>
                </c:pt>
                <c:pt idx="10">
                  <c:v>48.66</c:v>
                </c:pt>
                <c:pt idx="11">
                  <c:v>49.32</c:v>
                </c:pt>
                <c:pt idx="12">
                  <c:v>48.9</c:v>
                </c:pt>
                <c:pt idx="13">
                  <c:v>48.53</c:v>
                </c:pt>
                <c:pt idx="14">
                  <c:v>48.75</c:v>
                </c:pt>
                <c:pt idx="15">
                  <c:v>48.46</c:v>
                </c:pt>
                <c:pt idx="16">
                  <c:v>48.71</c:v>
                </c:pt>
                <c:pt idx="17">
                  <c:v>48.79</c:v>
                </c:pt>
                <c:pt idx="18">
                  <c:v>49.92</c:v>
                </c:pt>
                <c:pt idx="19">
                  <c:v>48.53</c:v>
                </c:pt>
                <c:pt idx="20">
                  <c:v>48.46</c:v>
                </c:pt>
                <c:pt idx="21">
                  <c:v>48.55</c:v>
                </c:pt>
                <c:pt idx="22">
                  <c:v>48.41</c:v>
                </c:pt>
                <c:pt idx="23">
                  <c:v>46.53</c:v>
                </c:pt>
                <c:pt idx="24">
                  <c:v>46.74</c:v>
                </c:pt>
                <c:pt idx="25">
                  <c:v>46.79</c:v>
                </c:pt>
                <c:pt idx="26">
                  <c:v>46.72</c:v>
                </c:pt>
                <c:pt idx="27">
                  <c:v>46.93</c:v>
                </c:pt>
                <c:pt idx="28">
                  <c:v>46.48</c:v>
                </c:pt>
                <c:pt idx="29">
                  <c:v>47.28</c:v>
                </c:pt>
                <c:pt idx="30">
                  <c:v>46.59</c:v>
                </c:pt>
                <c:pt idx="31">
                  <c:v>46.86</c:v>
                </c:pt>
                <c:pt idx="32">
                  <c:v>47.2</c:v>
                </c:pt>
                <c:pt idx="33">
                  <c:v>44.93</c:v>
                </c:pt>
                <c:pt idx="34">
                  <c:v>45.53</c:v>
                </c:pt>
                <c:pt idx="35">
                  <c:v>45.45</c:v>
                </c:pt>
                <c:pt idx="36">
                  <c:v>45.38</c:v>
                </c:pt>
                <c:pt idx="37">
                  <c:v>45.3</c:v>
                </c:pt>
                <c:pt idx="38">
                  <c:v>45.16</c:v>
                </c:pt>
                <c:pt idx="39">
                  <c:v>44.55</c:v>
                </c:pt>
                <c:pt idx="40">
                  <c:v>44.54</c:v>
                </c:pt>
                <c:pt idx="41">
                  <c:v>43.7</c:v>
                </c:pt>
                <c:pt idx="42">
                  <c:v>43.54</c:v>
                </c:pt>
                <c:pt idx="43">
                  <c:v>42.67</c:v>
                </c:pt>
                <c:pt idx="44">
                  <c:v>43.48</c:v>
                </c:pt>
                <c:pt idx="45">
                  <c:v>43.24</c:v>
                </c:pt>
                <c:pt idx="46">
                  <c:v>43.22</c:v>
                </c:pt>
                <c:pt idx="47">
                  <c:v>42.82</c:v>
                </c:pt>
                <c:pt idx="48">
                  <c:v>41.81</c:v>
                </c:pt>
                <c:pt idx="49">
                  <c:v>43.56</c:v>
                </c:pt>
                <c:pt idx="50">
                  <c:v>46.16</c:v>
                </c:pt>
                <c:pt idx="51">
                  <c:v>45</c:v>
                </c:pt>
                <c:pt idx="52">
                  <c:v>44.88</c:v>
                </c:pt>
                <c:pt idx="53">
                  <c:v>45.38</c:v>
                </c:pt>
                <c:pt idx="54">
                  <c:v>45.01</c:v>
                </c:pt>
                <c:pt idx="55">
                  <c:v>45.05</c:v>
                </c:pt>
                <c:pt idx="56">
                  <c:v>44.74</c:v>
                </c:pt>
                <c:pt idx="57">
                  <c:v>44.87</c:v>
                </c:pt>
                <c:pt idx="58">
                  <c:v>44.77</c:v>
                </c:pt>
                <c:pt idx="59">
                  <c:v>44.53</c:v>
                </c:pt>
                <c:pt idx="60">
                  <c:v>45.76</c:v>
                </c:pt>
                <c:pt idx="61">
                  <c:v>46.51</c:v>
                </c:pt>
                <c:pt idx="62">
                  <c:v>46.61</c:v>
                </c:pt>
                <c:pt idx="63">
                  <c:v>46.52</c:v>
                </c:pt>
                <c:pt idx="64">
                  <c:v>44.52</c:v>
                </c:pt>
                <c:pt idx="65">
                  <c:v>44.96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991664"/>
        <c:axId val="491987744"/>
      </c:lineChart>
      <c:dateAx>
        <c:axId val="491991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87744"/>
        <c:crosses val="autoZero"/>
        <c:auto val="1"/>
        <c:lblOffset val="100"/>
        <c:baseTimeUnit val="days"/>
      </c:dateAx>
      <c:valAx>
        <c:axId val="49198774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91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42615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42608</c:v>
                </c:pt>
                <c:pt idx="6">
                  <c:v>42607</c:v>
                </c:pt>
                <c:pt idx="7">
                  <c:v>42606</c:v>
                </c:pt>
                <c:pt idx="8">
                  <c:v>42605</c:v>
                </c:pt>
                <c:pt idx="9">
                  <c:v>42604</c:v>
                </c:pt>
                <c:pt idx="10">
                  <c:v>42601</c:v>
                </c:pt>
                <c:pt idx="11">
                  <c:v>42600</c:v>
                </c:pt>
                <c:pt idx="12">
                  <c:v>42599</c:v>
                </c:pt>
                <c:pt idx="13">
                  <c:v>42598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42592</c:v>
                </c:pt>
                <c:pt idx="18">
                  <c:v>42591</c:v>
                </c:pt>
                <c:pt idx="19">
                  <c:v>42590</c:v>
                </c:pt>
                <c:pt idx="20">
                  <c:v>42587</c:v>
                </c:pt>
                <c:pt idx="21">
                  <c:v>42586</c:v>
                </c:pt>
                <c:pt idx="22">
                  <c:v>42585</c:v>
                </c:pt>
                <c:pt idx="23">
                  <c:v>42584</c:v>
                </c:pt>
                <c:pt idx="24">
                  <c:v>42583</c:v>
                </c:pt>
                <c:pt idx="25">
                  <c:v>42580</c:v>
                </c:pt>
                <c:pt idx="26">
                  <c:v>42579</c:v>
                </c:pt>
                <c:pt idx="27">
                  <c:v>42578</c:v>
                </c:pt>
                <c:pt idx="28">
                  <c:v>42578</c:v>
                </c:pt>
                <c:pt idx="29">
                  <c:v>42577</c:v>
                </c:pt>
                <c:pt idx="30">
                  <c:v>42576</c:v>
                </c:pt>
                <c:pt idx="31">
                  <c:v>42573</c:v>
                </c:pt>
                <c:pt idx="32">
                  <c:v>42572</c:v>
                </c:pt>
                <c:pt idx="33">
                  <c:v>42571</c:v>
                </c:pt>
                <c:pt idx="34">
                  <c:v>42570</c:v>
                </c:pt>
                <c:pt idx="35">
                  <c:v>42569</c:v>
                </c:pt>
                <c:pt idx="36">
                  <c:v>42566</c:v>
                </c:pt>
                <c:pt idx="37">
                  <c:v>42565</c:v>
                </c:pt>
                <c:pt idx="38">
                  <c:v>42564</c:v>
                </c:pt>
                <c:pt idx="39">
                  <c:v>42563</c:v>
                </c:pt>
                <c:pt idx="40">
                  <c:v>42562</c:v>
                </c:pt>
                <c:pt idx="41">
                  <c:v>42559</c:v>
                </c:pt>
                <c:pt idx="42">
                  <c:v>42558</c:v>
                </c:pt>
                <c:pt idx="43">
                  <c:v>42557</c:v>
                </c:pt>
                <c:pt idx="44">
                  <c:v>42556</c:v>
                </c:pt>
                <c:pt idx="45">
                  <c:v>42552</c:v>
                </c:pt>
                <c:pt idx="46">
                  <c:v>42551</c:v>
                </c:pt>
                <c:pt idx="47">
                  <c:v>42550</c:v>
                </c:pt>
                <c:pt idx="48">
                  <c:v>42549</c:v>
                </c:pt>
                <c:pt idx="49">
                  <c:v>42548</c:v>
                </c:pt>
                <c:pt idx="50">
                  <c:v>42545</c:v>
                </c:pt>
                <c:pt idx="51">
                  <c:v>42544</c:v>
                </c:pt>
                <c:pt idx="52">
                  <c:v>42543</c:v>
                </c:pt>
                <c:pt idx="53">
                  <c:v>42542</c:v>
                </c:pt>
                <c:pt idx="54">
                  <c:v>42541</c:v>
                </c:pt>
                <c:pt idx="55">
                  <c:v>42538</c:v>
                </c:pt>
                <c:pt idx="56">
                  <c:v>42537</c:v>
                </c:pt>
                <c:pt idx="57">
                  <c:v>42536</c:v>
                </c:pt>
                <c:pt idx="58">
                  <c:v>42535</c:v>
                </c:pt>
                <c:pt idx="59">
                  <c:v>42534</c:v>
                </c:pt>
                <c:pt idx="60">
                  <c:v>42531</c:v>
                </c:pt>
                <c:pt idx="61">
                  <c:v>42530</c:v>
                </c:pt>
                <c:pt idx="62">
                  <c:v>42529</c:v>
                </c:pt>
                <c:pt idx="63">
                  <c:v>42528</c:v>
                </c:pt>
                <c:pt idx="64">
                  <c:v>42527</c:v>
                </c:pt>
                <c:pt idx="65">
                  <c:v>42524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82</c:v>
                </c:pt>
                <c:pt idx="1">
                  <c:v>80.63</c:v>
                </c:pt>
                <c:pt idx="2">
                  <c:v>81.98</c:v>
                </c:pt>
                <c:pt idx="3">
                  <c:v>79.930000000000007</c:v>
                </c:pt>
                <c:pt idx="4">
                  <c:v>80.180000000000007</c:v>
                </c:pt>
                <c:pt idx="5">
                  <c:v>80.650000000000006</c:v>
                </c:pt>
                <c:pt idx="6">
                  <c:v>83.44</c:v>
                </c:pt>
                <c:pt idx="7">
                  <c:v>95.5</c:v>
                </c:pt>
                <c:pt idx="8">
                  <c:v>94.99</c:v>
                </c:pt>
                <c:pt idx="9">
                  <c:v>92.41</c:v>
                </c:pt>
                <c:pt idx="10">
                  <c:v>93.05</c:v>
                </c:pt>
                <c:pt idx="11">
                  <c:v>92.94</c:v>
                </c:pt>
                <c:pt idx="12">
                  <c:v>90.96</c:v>
                </c:pt>
                <c:pt idx="13">
                  <c:v>92.43</c:v>
                </c:pt>
                <c:pt idx="14">
                  <c:v>92.67</c:v>
                </c:pt>
                <c:pt idx="15">
                  <c:v>91.22</c:v>
                </c:pt>
                <c:pt idx="16">
                  <c:v>90.62</c:v>
                </c:pt>
                <c:pt idx="17">
                  <c:v>87.07</c:v>
                </c:pt>
                <c:pt idx="18">
                  <c:v>87.67</c:v>
                </c:pt>
                <c:pt idx="19">
                  <c:v>87.9</c:v>
                </c:pt>
                <c:pt idx="20">
                  <c:v>87</c:v>
                </c:pt>
                <c:pt idx="21">
                  <c:v>86.21</c:v>
                </c:pt>
                <c:pt idx="22">
                  <c:v>84.39</c:v>
                </c:pt>
                <c:pt idx="23">
                  <c:v>83.59</c:v>
                </c:pt>
                <c:pt idx="24">
                  <c:v>86.69</c:v>
                </c:pt>
                <c:pt idx="25">
                  <c:v>87.91</c:v>
                </c:pt>
                <c:pt idx="26">
                  <c:v>86.92</c:v>
                </c:pt>
                <c:pt idx="27">
                  <c:v>87.22</c:v>
                </c:pt>
                <c:pt idx="29">
                  <c:v>89.46</c:v>
                </c:pt>
                <c:pt idx="30">
                  <c:v>88.86</c:v>
                </c:pt>
                <c:pt idx="31">
                  <c:v>89.53</c:v>
                </c:pt>
                <c:pt idx="32">
                  <c:v>87.46</c:v>
                </c:pt>
                <c:pt idx="33">
                  <c:v>89.55</c:v>
                </c:pt>
                <c:pt idx="34">
                  <c:v>90.39</c:v>
                </c:pt>
                <c:pt idx="35">
                  <c:v>92.26</c:v>
                </c:pt>
                <c:pt idx="36">
                  <c:v>90.34</c:v>
                </c:pt>
                <c:pt idx="37">
                  <c:v>91.59</c:v>
                </c:pt>
                <c:pt idx="38">
                  <c:v>88.77</c:v>
                </c:pt>
                <c:pt idx="39">
                  <c:v>89.07</c:v>
                </c:pt>
                <c:pt idx="40">
                  <c:v>87.78</c:v>
                </c:pt>
                <c:pt idx="41">
                  <c:v>84.23</c:v>
                </c:pt>
                <c:pt idx="42">
                  <c:v>82.47</c:v>
                </c:pt>
                <c:pt idx="43">
                  <c:v>82.08</c:v>
                </c:pt>
                <c:pt idx="44">
                  <c:v>81.290000000000006</c:v>
                </c:pt>
                <c:pt idx="45">
                  <c:v>84.15</c:v>
                </c:pt>
                <c:pt idx="46">
                  <c:v>82.41</c:v>
                </c:pt>
                <c:pt idx="47">
                  <c:v>82</c:v>
                </c:pt>
                <c:pt idx="48">
                  <c:v>80.72</c:v>
                </c:pt>
                <c:pt idx="49">
                  <c:v>79.260000000000005</c:v>
                </c:pt>
                <c:pt idx="50">
                  <c:v>82.02</c:v>
                </c:pt>
                <c:pt idx="51">
                  <c:v>86.56</c:v>
                </c:pt>
                <c:pt idx="52">
                  <c:v>85.47</c:v>
                </c:pt>
                <c:pt idx="53">
                  <c:v>85.23</c:v>
                </c:pt>
                <c:pt idx="54">
                  <c:v>86.01</c:v>
                </c:pt>
                <c:pt idx="55">
                  <c:v>84.9</c:v>
                </c:pt>
                <c:pt idx="56">
                  <c:v>82.02</c:v>
                </c:pt>
                <c:pt idx="57">
                  <c:v>82.99</c:v>
                </c:pt>
                <c:pt idx="58">
                  <c:v>83.87</c:v>
                </c:pt>
                <c:pt idx="59">
                  <c:v>85.51</c:v>
                </c:pt>
                <c:pt idx="60">
                  <c:v>89.13</c:v>
                </c:pt>
                <c:pt idx="61">
                  <c:v>89.6</c:v>
                </c:pt>
                <c:pt idx="62">
                  <c:v>89.31</c:v>
                </c:pt>
                <c:pt idx="63">
                  <c:v>85.9</c:v>
                </c:pt>
                <c:pt idx="64">
                  <c:v>86.39</c:v>
                </c:pt>
                <c:pt idx="65">
                  <c:v>88.19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988528"/>
        <c:axId val="491988136"/>
      </c:lineChart>
      <c:dateAx>
        <c:axId val="491988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88136"/>
        <c:crosses val="autoZero"/>
        <c:auto val="1"/>
        <c:lblOffset val="100"/>
        <c:baseTimeUnit val="days"/>
      </c:dateAx>
      <c:valAx>
        <c:axId val="49198813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88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42615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42608</c:v>
                </c:pt>
                <c:pt idx="6">
                  <c:v>42607</c:v>
                </c:pt>
                <c:pt idx="7">
                  <c:v>42606</c:v>
                </c:pt>
                <c:pt idx="8">
                  <c:v>42605</c:v>
                </c:pt>
                <c:pt idx="9">
                  <c:v>42604</c:v>
                </c:pt>
                <c:pt idx="10">
                  <c:v>42601</c:v>
                </c:pt>
                <c:pt idx="11">
                  <c:v>42600</c:v>
                </c:pt>
                <c:pt idx="12">
                  <c:v>42599</c:v>
                </c:pt>
                <c:pt idx="13">
                  <c:v>42598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42592</c:v>
                </c:pt>
                <c:pt idx="18">
                  <c:v>42591</c:v>
                </c:pt>
                <c:pt idx="19">
                  <c:v>42590</c:v>
                </c:pt>
                <c:pt idx="20">
                  <c:v>42587</c:v>
                </c:pt>
                <c:pt idx="21">
                  <c:v>42586</c:v>
                </c:pt>
                <c:pt idx="22">
                  <c:v>42586</c:v>
                </c:pt>
                <c:pt idx="23">
                  <c:v>42585</c:v>
                </c:pt>
                <c:pt idx="24">
                  <c:v>42584</c:v>
                </c:pt>
                <c:pt idx="25">
                  <c:v>42583</c:v>
                </c:pt>
                <c:pt idx="26">
                  <c:v>42580</c:v>
                </c:pt>
                <c:pt idx="27">
                  <c:v>42579</c:v>
                </c:pt>
                <c:pt idx="28">
                  <c:v>42578</c:v>
                </c:pt>
                <c:pt idx="29">
                  <c:v>42577</c:v>
                </c:pt>
                <c:pt idx="30">
                  <c:v>42576</c:v>
                </c:pt>
                <c:pt idx="31">
                  <c:v>42573</c:v>
                </c:pt>
                <c:pt idx="32">
                  <c:v>42572</c:v>
                </c:pt>
                <c:pt idx="33">
                  <c:v>42571</c:v>
                </c:pt>
                <c:pt idx="34">
                  <c:v>42570</c:v>
                </c:pt>
                <c:pt idx="35">
                  <c:v>42569</c:v>
                </c:pt>
                <c:pt idx="36">
                  <c:v>42566</c:v>
                </c:pt>
                <c:pt idx="37">
                  <c:v>42565</c:v>
                </c:pt>
                <c:pt idx="38">
                  <c:v>42564</c:v>
                </c:pt>
                <c:pt idx="39">
                  <c:v>42563</c:v>
                </c:pt>
                <c:pt idx="40">
                  <c:v>42562</c:v>
                </c:pt>
                <c:pt idx="41">
                  <c:v>42559</c:v>
                </c:pt>
                <c:pt idx="42">
                  <c:v>42558</c:v>
                </c:pt>
                <c:pt idx="43">
                  <c:v>42557</c:v>
                </c:pt>
                <c:pt idx="44">
                  <c:v>42556</c:v>
                </c:pt>
                <c:pt idx="45">
                  <c:v>42552</c:v>
                </c:pt>
                <c:pt idx="46">
                  <c:v>42551</c:v>
                </c:pt>
                <c:pt idx="47">
                  <c:v>42550</c:v>
                </c:pt>
                <c:pt idx="48">
                  <c:v>42549</c:v>
                </c:pt>
                <c:pt idx="49">
                  <c:v>42548</c:v>
                </c:pt>
                <c:pt idx="50">
                  <c:v>42545</c:v>
                </c:pt>
                <c:pt idx="51">
                  <c:v>42544</c:v>
                </c:pt>
                <c:pt idx="52">
                  <c:v>42543</c:v>
                </c:pt>
                <c:pt idx="53">
                  <c:v>42542</c:v>
                </c:pt>
                <c:pt idx="54">
                  <c:v>42541</c:v>
                </c:pt>
                <c:pt idx="55">
                  <c:v>42538</c:v>
                </c:pt>
                <c:pt idx="56">
                  <c:v>42537</c:v>
                </c:pt>
                <c:pt idx="57">
                  <c:v>42536</c:v>
                </c:pt>
                <c:pt idx="58">
                  <c:v>42535</c:v>
                </c:pt>
                <c:pt idx="59">
                  <c:v>42534</c:v>
                </c:pt>
                <c:pt idx="60">
                  <c:v>42531</c:v>
                </c:pt>
                <c:pt idx="61">
                  <c:v>42530</c:v>
                </c:pt>
                <c:pt idx="62">
                  <c:v>42529</c:v>
                </c:pt>
                <c:pt idx="63">
                  <c:v>42528</c:v>
                </c:pt>
                <c:pt idx="64">
                  <c:v>42527</c:v>
                </c:pt>
                <c:pt idx="65">
                  <c:v>42524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107.73</c:v>
                </c:pt>
                <c:pt idx="1">
                  <c:v>106.73</c:v>
                </c:pt>
                <c:pt idx="2">
                  <c:v>106.1</c:v>
                </c:pt>
                <c:pt idx="3">
                  <c:v>106</c:v>
                </c:pt>
                <c:pt idx="4">
                  <c:v>106.82</c:v>
                </c:pt>
                <c:pt idx="5">
                  <c:v>106.94</c:v>
                </c:pt>
                <c:pt idx="6">
                  <c:v>107.57</c:v>
                </c:pt>
                <c:pt idx="7">
                  <c:v>108.03</c:v>
                </c:pt>
                <c:pt idx="8">
                  <c:v>108.85</c:v>
                </c:pt>
                <c:pt idx="9">
                  <c:v>108.51</c:v>
                </c:pt>
                <c:pt idx="10">
                  <c:v>109.36</c:v>
                </c:pt>
                <c:pt idx="11">
                  <c:v>109.08</c:v>
                </c:pt>
                <c:pt idx="12">
                  <c:v>109.22</c:v>
                </c:pt>
                <c:pt idx="13">
                  <c:v>109.38</c:v>
                </c:pt>
                <c:pt idx="14">
                  <c:v>109.48</c:v>
                </c:pt>
                <c:pt idx="15">
                  <c:v>108.18</c:v>
                </c:pt>
                <c:pt idx="16">
                  <c:v>107.93</c:v>
                </c:pt>
                <c:pt idx="17">
                  <c:v>108</c:v>
                </c:pt>
                <c:pt idx="18">
                  <c:v>108.81</c:v>
                </c:pt>
                <c:pt idx="19">
                  <c:v>108.37</c:v>
                </c:pt>
                <c:pt idx="20">
                  <c:v>107.48</c:v>
                </c:pt>
                <c:pt idx="21">
                  <c:v>105.87</c:v>
                </c:pt>
                <c:pt idx="23">
                  <c:v>105.79</c:v>
                </c:pt>
                <c:pt idx="24">
                  <c:v>104.48</c:v>
                </c:pt>
                <c:pt idx="25">
                  <c:v>106.05</c:v>
                </c:pt>
                <c:pt idx="26">
                  <c:v>104.21</c:v>
                </c:pt>
                <c:pt idx="27">
                  <c:v>104.34</c:v>
                </c:pt>
                <c:pt idx="28">
                  <c:v>102.95</c:v>
                </c:pt>
                <c:pt idx="29">
                  <c:v>96.67</c:v>
                </c:pt>
                <c:pt idx="30">
                  <c:v>97.34</c:v>
                </c:pt>
                <c:pt idx="31">
                  <c:v>98.66</c:v>
                </c:pt>
                <c:pt idx="32">
                  <c:v>99.43</c:v>
                </c:pt>
                <c:pt idx="33">
                  <c:v>99.96</c:v>
                </c:pt>
                <c:pt idx="34">
                  <c:v>99.87</c:v>
                </c:pt>
                <c:pt idx="35">
                  <c:v>99.83</c:v>
                </c:pt>
                <c:pt idx="36">
                  <c:v>98.78</c:v>
                </c:pt>
                <c:pt idx="37">
                  <c:v>98.79</c:v>
                </c:pt>
                <c:pt idx="38">
                  <c:v>96.87</c:v>
                </c:pt>
                <c:pt idx="39">
                  <c:v>97.42</c:v>
                </c:pt>
                <c:pt idx="40">
                  <c:v>96.98</c:v>
                </c:pt>
                <c:pt idx="41">
                  <c:v>96.68</c:v>
                </c:pt>
                <c:pt idx="42">
                  <c:v>95.94</c:v>
                </c:pt>
                <c:pt idx="43">
                  <c:v>95.53</c:v>
                </c:pt>
                <c:pt idx="44">
                  <c:v>94.99</c:v>
                </c:pt>
                <c:pt idx="45">
                  <c:v>95.89</c:v>
                </c:pt>
                <c:pt idx="46">
                  <c:v>95.6</c:v>
                </c:pt>
                <c:pt idx="47">
                  <c:v>94.4</c:v>
                </c:pt>
                <c:pt idx="48">
                  <c:v>93.59</c:v>
                </c:pt>
                <c:pt idx="49">
                  <c:v>92.04</c:v>
                </c:pt>
                <c:pt idx="50">
                  <c:v>93.4</c:v>
                </c:pt>
                <c:pt idx="51">
                  <c:v>96.1</c:v>
                </c:pt>
                <c:pt idx="52">
                  <c:v>95.55</c:v>
                </c:pt>
                <c:pt idx="53">
                  <c:v>95.91</c:v>
                </c:pt>
                <c:pt idx="54">
                  <c:v>95.1</c:v>
                </c:pt>
                <c:pt idx="55">
                  <c:v>95.33</c:v>
                </c:pt>
                <c:pt idx="56">
                  <c:v>97.55</c:v>
                </c:pt>
                <c:pt idx="57">
                  <c:v>97.14</c:v>
                </c:pt>
                <c:pt idx="58">
                  <c:v>97.46</c:v>
                </c:pt>
                <c:pt idx="59">
                  <c:v>97.34</c:v>
                </c:pt>
                <c:pt idx="60">
                  <c:v>98.83</c:v>
                </c:pt>
                <c:pt idx="61">
                  <c:v>99.65</c:v>
                </c:pt>
                <c:pt idx="62">
                  <c:v>98.94</c:v>
                </c:pt>
                <c:pt idx="63">
                  <c:v>99.03</c:v>
                </c:pt>
                <c:pt idx="64">
                  <c:v>98.63</c:v>
                </c:pt>
                <c:pt idx="65">
                  <c:v>97.92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004600"/>
        <c:axId val="492001072"/>
      </c:lineChart>
      <c:dateAx>
        <c:axId val="492004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001072"/>
        <c:crosses val="autoZero"/>
        <c:auto val="1"/>
        <c:lblOffset val="100"/>
        <c:baseTimeUnit val="days"/>
      </c:dateAx>
      <c:valAx>
        <c:axId val="49200107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004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42615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42608</c:v>
                </c:pt>
                <c:pt idx="6">
                  <c:v>42607</c:v>
                </c:pt>
                <c:pt idx="7">
                  <c:v>42606</c:v>
                </c:pt>
                <c:pt idx="8">
                  <c:v>42605</c:v>
                </c:pt>
                <c:pt idx="9">
                  <c:v>42604</c:v>
                </c:pt>
                <c:pt idx="10">
                  <c:v>42601</c:v>
                </c:pt>
                <c:pt idx="11">
                  <c:v>42600</c:v>
                </c:pt>
                <c:pt idx="12">
                  <c:v>42599</c:v>
                </c:pt>
                <c:pt idx="13">
                  <c:v>42598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42592</c:v>
                </c:pt>
                <c:pt idx="18">
                  <c:v>42591</c:v>
                </c:pt>
                <c:pt idx="19">
                  <c:v>42590</c:v>
                </c:pt>
                <c:pt idx="20">
                  <c:v>42587</c:v>
                </c:pt>
                <c:pt idx="21">
                  <c:v>42586</c:v>
                </c:pt>
                <c:pt idx="22">
                  <c:v>42585</c:v>
                </c:pt>
                <c:pt idx="23">
                  <c:v>42584</c:v>
                </c:pt>
                <c:pt idx="24">
                  <c:v>42583</c:v>
                </c:pt>
                <c:pt idx="25">
                  <c:v>42580</c:v>
                </c:pt>
                <c:pt idx="26">
                  <c:v>42579</c:v>
                </c:pt>
                <c:pt idx="27">
                  <c:v>42578</c:v>
                </c:pt>
                <c:pt idx="28">
                  <c:v>42577</c:v>
                </c:pt>
                <c:pt idx="29">
                  <c:v>42576</c:v>
                </c:pt>
                <c:pt idx="30">
                  <c:v>42573</c:v>
                </c:pt>
                <c:pt idx="31">
                  <c:v>42572</c:v>
                </c:pt>
                <c:pt idx="32">
                  <c:v>42571</c:v>
                </c:pt>
                <c:pt idx="33">
                  <c:v>42570</c:v>
                </c:pt>
                <c:pt idx="34">
                  <c:v>42569</c:v>
                </c:pt>
                <c:pt idx="35">
                  <c:v>42566</c:v>
                </c:pt>
                <c:pt idx="36">
                  <c:v>42565</c:v>
                </c:pt>
                <c:pt idx="37">
                  <c:v>42564</c:v>
                </c:pt>
                <c:pt idx="38">
                  <c:v>42563</c:v>
                </c:pt>
                <c:pt idx="39">
                  <c:v>42562</c:v>
                </c:pt>
                <c:pt idx="40">
                  <c:v>42559</c:v>
                </c:pt>
                <c:pt idx="41">
                  <c:v>42558</c:v>
                </c:pt>
                <c:pt idx="42">
                  <c:v>42557</c:v>
                </c:pt>
                <c:pt idx="43">
                  <c:v>42556</c:v>
                </c:pt>
                <c:pt idx="44">
                  <c:v>42552</c:v>
                </c:pt>
                <c:pt idx="45">
                  <c:v>42551</c:v>
                </c:pt>
                <c:pt idx="46">
                  <c:v>42550</c:v>
                </c:pt>
                <c:pt idx="47">
                  <c:v>42550</c:v>
                </c:pt>
                <c:pt idx="48">
                  <c:v>42549</c:v>
                </c:pt>
                <c:pt idx="49">
                  <c:v>42548</c:v>
                </c:pt>
                <c:pt idx="50">
                  <c:v>42545</c:v>
                </c:pt>
                <c:pt idx="51">
                  <c:v>42544</c:v>
                </c:pt>
                <c:pt idx="52">
                  <c:v>42543</c:v>
                </c:pt>
                <c:pt idx="53">
                  <c:v>42542</c:v>
                </c:pt>
                <c:pt idx="54">
                  <c:v>42541</c:v>
                </c:pt>
                <c:pt idx="55">
                  <c:v>42538</c:v>
                </c:pt>
                <c:pt idx="56">
                  <c:v>42537</c:v>
                </c:pt>
                <c:pt idx="57">
                  <c:v>42536</c:v>
                </c:pt>
                <c:pt idx="58">
                  <c:v>42535</c:v>
                </c:pt>
                <c:pt idx="59">
                  <c:v>42534</c:v>
                </c:pt>
                <c:pt idx="60">
                  <c:v>42531</c:v>
                </c:pt>
                <c:pt idx="61">
                  <c:v>42530</c:v>
                </c:pt>
                <c:pt idx="62">
                  <c:v>42529</c:v>
                </c:pt>
                <c:pt idx="63">
                  <c:v>42528</c:v>
                </c:pt>
                <c:pt idx="64">
                  <c:v>42527</c:v>
                </c:pt>
                <c:pt idx="65">
                  <c:v>42524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65.19</c:v>
                </c:pt>
                <c:pt idx="1">
                  <c:v>64.86</c:v>
                </c:pt>
                <c:pt idx="2">
                  <c:v>65.58</c:v>
                </c:pt>
                <c:pt idx="3">
                  <c:v>65.45</c:v>
                </c:pt>
                <c:pt idx="4">
                  <c:v>65.52</c:v>
                </c:pt>
                <c:pt idx="5">
                  <c:v>64.790000000000006</c:v>
                </c:pt>
                <c:pt idx="6">
                  <c:v>65</c:v>
                </c:pt>
                <c:pt idx="7">
                  <c:v>65.16</c:v>
                </c:pt>
                <c:pt idx="8">
                  <c:v>65.680000000000007</c:v>
                </c:pt>
                <c:pt idx="9">
                  <c:v>65.36</c:v>
                </c:pt>
                <c:pt idx="10">
                  <c:v>65.53</c:v>
                </c:pt>
                <c:pt idx="11">
                  <c:v>65.63</c:v>
                </c:pt>
                <c:pt idx="12">
                  <c:v>65.680000000000007</c:v>
                </c:pt>
                <c:pt idx="13">
                  <c:v>65.3</c:v>
                </c:pt>
                <c:pt idx="14">
                  <c:v>65.63</c:v>
                </c:pt>
                <c:pt idx="15">
                  <c:v>65.38</c:v>
                </c:pt>
                <c:pt idx="16">
                  <c:v>65.48</c:v>
                </c:pt>
                <c:pt idx="17">
                  <c:v>64.739999999999995</c:v>
                </c:pt>
                <c:pt idx="18">
                  <c:v>65.39</c:v>
                </c:pt>
                <c:pt idx="19">
                  <c:v>65.83</c:v>
                </c:pt>
                <c:pt idx="20">
                  <c:v>65.52</c:v>
                </c:pt>
                <c:pt idx="21">
                  <c:v>63.94</c:v>
                </c:pt>
                <c:pt idx="22">
                  <c:v>63.83</c:v>
                </c:pt>
                <c:pt idx="23">
                  <c:v>63.47</c:v>
                </c:pt>
                <c:pt idx="24">
                  <c:v>64.13</c:v>
                </c:pt>
                <c:pt idx="25">
                  <c:v>64.459999999999994</c:v>
                </c:pt>
                <c:pt idx="26">
                  <c:v>64.790000000000006</c:v>
                </c:pt>
                <c:pt idx="27">
                  <c:v>64.59</c:v>
                </c:pt>
                <c:pt idx="28">
                  <c:v>64.37</c:v>
                </c:pt>
                <c:pt idx="29">
                  <c:v>64.33</c:v>
                </c:pt>
                <c:pt idx="30">
                  <c:v>64.28</c:v>
                </c:pt>
                <c:pt idx="31">
                  <c:v>63.43</c:v>
                </c:pt>
                <c:pt idx="32">
                  <c:v>64.48</c:v>
                </c:pt>
                <c:pt idx="33">
                  <c:v>64.16</c:v>
                </c:pt>
                <c:pt idx="34">
                  <c:v>63.99</c:v>
                </c:pt>
                <c:pt idx="35">
                  <c:v>63.78</c:v>
                </c:pt>
                <c:pt idx="36">
                  <c:v>63.61</c:v>
                </c:pt>
                <c:pt idx="37">
                  <c:v>63.1</c:v>
                </c:pt>
                <c:pt idx="38">
                  <c:v>63</c:v>
                </c:pt>
                <c:pt idx="39">
                  <c:v>62.16</c:v>
                </c:pt>
                <c:pt idx="40">
                  <c:v>61.49</c:v>
                </c:pt>
                <c:pt idx="41">
                  <c:v>59.81</c:v>
                </c:pt>
                <c:pt idx="42">
                  <c:v>59.48</c:v>
                </c:pt>
                <c:pt idx="43">
                  <c:v>59.15</c:v>
                </c:pt>
                <c:pt idx="44">
                  <c:v>60.69</c:v>
                </c:pt>
                <c:pt idx="45">
                  <c:v>60.76</c:v>
                </c:pt>
                <c:pt idx="46">
                  <c:v>59.63</c:v>
                </c:pt>
                <c:pt idx="48">
                  <c:v>57.9</c:v>
                </c:pt>
                <c:pt idx="49">
                  <c:v>57.67</c:v>
                </c:pt>
                <c:pt idx="50">
                  <c:v>60.06</c:v>
                </c:pt>
                <c:pt idx="51">
                  <c:v>63.25</c:v>
                </c:pt>
                <c:pt idx="52">
                  <c:v>61.95</c:v>
                </c:pt>
                <c:pt idx="53">
                  <c:v>62.29</c:v>
                </c:pt>
                <c:pt idx="54">
                  <c:v>62.3</c:v>
                </c:pt>
                <c:pt idx="55">
                  <c:v>61.86</c:v>
                </c:pt>
                <c:pt idx="56">
                  <c:v>61.93</c:v>
                </c:pt>
                <c:pt idx="57">
                  <c:v>61.42</c:v>
                </c:pt>
                <c:pt idx="58">
                  <c:v>61.07</c:v>
                </c:pt>
                <c:pt idx="59">
                  <c:v>63.67</c:v>
                </c:pt>
                <c:pt idx="60">
                  <c:v>64.97</c:v>
                </c:pt>
                <c:pt idx="61">
                  <c:v>65.709999999999994</c:v>
                </c:pt>
                <c:pt idx="62">
                  <c:v>66.260000000000005</c:v>
                </c:pt>
                <c:pt idx="63">
                  <c:v>65.89</c:v>
                </c:pt>
                <c:pt idx="64">
                  <c:v>65.94</c:v>
                </c:pt>
                <c:pt idx="65">
                  <c:v>65.489999999999995</c:v>
                </c:pt>
                <c:pt idx="66">
                  <c:v>66.41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999504"/>
        <c:axId val="492003816"/>
      </c:lineChart>
      <c:dateAx>
        <c:axId val="491999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003816"/>
        <c:crosses val="autoZero"/>
        <c:auto val="1"/>
        <c:lblOffset val="100"/>
        <c:baseTimeUnit val="days"/>
      </c:dateAx>
      <c:valAx>
        <c:axId val="49200381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99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42619</c:v>
                </c:pt>
                <c:pt idx="1">
                  <c:v>42615</c:v>
                </c:pt>
                <c:pt idx="2">
                  <c:v>42614</c:v>
                </c:pt>
                <c:pt idx="3">
                  <c:v>42613</c:v>
                </c:pt>
                <c:pt idx="4">
                  <c:v>42612</c:v>
                </c:pt>
                <c:pt idx="5">
                  <c:v>42611</c:v>
                </c:pt>
                <c:pt idx="6">
                  <c:v>42608</c:v>
                </c:pt>
                <c:pt idx="7">
                  <c:v>42607</c:v>
                </c:pt>
                <c:pt idx="8">
                  <c:v>42606</c:v>
                </c:pt>
                <c:pt idx="9">
                  <c:v>42605</c:v>
                </c:pt>
                <c:pt idx="10">
                  <c:v>42604</c:v>
                </c:pt>
                <c:pt idx="11">
                  <c:v>42601</c:v>
                </c:pt>
                <c:pt idx="12">
                  <c:v>42600</c:v>
                </c:pt>
                <c:pt idx="13">
                  <c:v>42599</c:v>
                </c:pt>
                <c:pt idx="14">
                  <c:v>42598</c:v>
                </c:pt>
                <c:pt idx="15">
                  <c:v>42597</c:v>
                </c:pt>
                <c:pt idx="16">
                  <c:v>42594</c:v>
                </c:pt>
                <c:pt idx="17">
                  <c:v>42593</c:v>
                </c:pt>
                <c:pt idx="18">
                  <c:v>42592</c:v>
                </c:pt>
                <c:pt idx="19">
                  <c:v>42591</c:v>
                </c:pt>
                <c:pt idx="20">
                  <c:v>42590</c:v>
                </c:pt>
                <c:pt idx="21">
                  <c:v>42587</c:v>
                </c:pt>
                <c:pt idx="22">
                  <c:v>42586</c:v>
                </c:pt>
                <c:pt idx="23">
                  <c:v>42585</c:v>
                </c:pt>
                <c:pt idx="24">
                  <c:v>42584</c:v>
                </c:pt>
                <c:pt idx="25">
                  <c:v>42583</c:v>
                </c:pt>
                <c:pt idx="26">
                  <c:v>42580</c:v>
                </c:pt>
                <c:pt idx="27">
                  <c:v>42579</c:v>
                </c:pt>
                <c:pt idx="28">
                  <c:v>42578</c:v>
                </c:pt>
                <c:pt idx="29">
                  <c:v>42577</c:v>
                </c:pt>
                <c:pt idx="30">
                  <c:v>42576</c:v>
                </c:pt>
                <c:pt idx="31">
                  <c:v>42573</c:v>
                </c:pt>
                <c:pt idx="32">
                  <c:v>42572</c:v>
                </c:pt>
                <c:pt idx="33">
                  <c:v>42571</c:v>
                </c:pt>
                <c:pt idx="34">
                  <c:v>42570</c:v>
                </c:pt>
                <c:pt idx="35">
                  <c:v>42569</c:v>
                </c:pt>
                <c:pt idx="36">
                  <c:v>42566</c:v>
                </c:pt>
                <c:pt idx="37">
                  <c:v>42565</c:v>
                </c:pt>
                <c:pt idx="38">
                  <c:v>42564</c:v>
                </c:pt>
                <c:pt idx="39">
                  <c:v>42563</c:v>
                </c:pt>
                <c:pt idx="40">
                  <c:v>42562</c:v>
                </c:pt>
                <c:pt idx="41">
                  <c:v>42559</c:v>
                </c:pt>
                <c:pt idx="42">
                  <c:v>42558</c:v>
                </c:pt>
                <c:pt idx="43">
                  <c:v>42557</c:v>
                </c:pt>
                <c:pt idx="44">
                  <c:v>42556</c:v>
                </c:pt>
                <c:pt idx="45">
                  <c:v>42552</c:v>
                </c:pt>
                <c:pt idx="46">
                  <c:v>42551</c:v>
                </c:pt>
                <c:pt idx="47">
                  <c:v>42550</c:v>
                </c:pt>
                <c:pt idx="48">
                  <c:v>42549</c:v>
                </c:pt>
                <c:pt idx="49">
                  <c:v>42548</c:v>
                </c:pt>
                <c:pt idx="50">
                  <c:v>42545</c:v>
                </c:pt>
                <c:pt idx="51">
                  <c:v>42544</c:v>
                </c:pt>
                <c:pt idx="52">
                  <c:v>42543</c:v>
                </c:pt>
                <c:pt idx="53">
                  <c:v>42542</c:v>
                </c:pt>
                <c:pt idx="54">
                  <c:v>42541</c:v>
                </c:pt>
                <c:pt idx="55">
                  <c:v>42538</c:v>
                </c:pt>
                <c:pt idx="56">
                  <c:v>42537</c:v>
                </c:pt>
                <c:pt idx="57">
                  <c:v>42536</c:v>
                </c:pt>
                <c:pt idx="58">
                  <c:v>42535</c:v>
                </c:pt>
                <c:pt idx="59">
                  <c:v>42534</c:v>
                </c:pt>
                <c:pt idx="60">
                  <c:v>42534</c:v>
                </c:pt>
                <c:pt idx="61">
                  <c:v>42531</c:v>
                </c:pt>
                <c:pt idx="62">
                  <c:v>42530</c:v>
                </c:pt>
                <c:pt idx="63">
                  <c:v>42529</c:v>
                </c:pt>
                <c:pt idx="64">
                  <c:v>42528</c:v>
                </c:pt>
                <c:pt idx="65">
                  <c:v>42527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72</c:v>
                </c:pt>
                <c:pt idx="1">
                  <c:v>73.319999999999993</c:v>
                </c:pt>
                <c:pt idx="2">
                  <c:v>73.78</c:v>
                </c:pt>
                <c:pt idx="3">
                  <c:v>73.41</c:v>
                </c:pt>
                <c:pt idx="4">
                  <c:v>75.650000000000006</c:v>
                </c:pt>
                <c:pt idx="5">
                  <c:v>77.489999999999995</c:v>
                </c:pt>
                <c:pt idx="6">
                  <c:v>75.5</c:v>
                </c:pt>
                <c:pt idx="7">
                  <c:v>75.61</c:v>
                </c:pt>
                <c:pt idx="8">
                  <c:v>91.79</c:v>
                </c:pt>
                <c:pt idx="9">
                  <c:v>91.49</c:v>
                </c:pt>
                <c:pt idx="10">
                  <c:v>90.8</c:v>
                </c:pt>
                <c:pt idx="11">
                  <c:v>90.85</c:v>
                </c:pt>
                <c:pt idx="12">
                  <c:v>91.69</c:v>
                </c:pt>
                <c:pt idx="13">
                  <c:v>90.92</c:v>
                </c:pt>
                <c:pt idx="14">
                  <c:v>89.49</c:v>
                </c:pt>
                <c:pt idx="15">
                  <c:v>92.13</c:v>
                </c:pt>
                <c:pt idx="16">
                  <c:v>92.91</c:v>
                </c:pt>
                <c:pt idx="17">
                  <c:v>92.72</c:v>
                </c:pt>
                <c:pt idx="18">
                  <c:v>93.02</c:v>
                </c:pt>
                <c:pt idx="19">
                  <c:v>92.04</c:v>
                </c:pt>
                <c:pt idx="20">
                  <c:v>92.99</c:v>
                </c:pt>
                <c:pt idx="21">
                  <c:v>94.37</c:v>
                </c:pt>
                <c:pt idx="22">
                  <c:v>93.12</c:v>
                </c:pt>
                <c:pt idx="23">
                  <c:v>93.77</c:v>
                </c:pt>
                <c:pt idx="24">
                  <c:v>93.16</c:v>
                </c:pt>
                <c:pt idx="25">
                  <c:v>94.06</c:v>
                </c:pt>
                <c:pt idx="26">
                  <c:v>94.74</c:v>
                </c:pt>
                <c:pt idx="27">
                  <c:v>95.07</c:v>
                </c:pt>
                <c:pt idx="28">
                  <c:v>95.07</c:v>
                </c:pt>
                <c:pt idx="29">
                  <c:v>96.71</c:v>
                </c:pt>
                <c:pt idx="30">
                  <c:v>95.98</c:v>
                </c:pt>
                <c:pt idx="31">
                  <c:v>95.15</c:v>
                </c:pt>
                <c:pt idx="32">
                  <c:v>94.04</c:v>
                </c:pt>
                <c:pt idx="33">
                  <c:v>93.82</c:v>
                </c:pt>
                <c:pt idx="34">
                  <c:v>93.15</c:v>
                </c:pt>
                <c:pt idx="35">
                  <c:v>92.82</c:v>
                </c:pt>
                <c:pt idx="36">
                  <c:v>91.71</c:v>
                </c:pt>
                <c:pt idx="37">
                  <c:v>92.63</c:v>
                </c:pt>
                <c:pt idx="38">
                  <c:v>92.43</c:v>
                </c:pt>
                <c:pt idx="39">
                  <c:v>93.04</c:v>
                </c:pt>
                <c:pt idx="40">
                  <c:v>94.24</c:v>
                </c:pt>
                <c:pt idx="41">
                  <c:v>94.32</c:v>
                </c:pt>
                <c:pt idx="42">
                  <c:v>93.78</c:v>
                </c:pt>
                <c:pt idx="43">
                  <c:v>94.51</c:v>
                </c:pt>
                <c:pt idx="44">
                  <c:v>93.6</c:v>
                </c:pt>
                <c:pt idx="45">
                  <c:v>93.48</c:v>
                </c:pt>
                <c:pt idx="46">
                  <c:v>94</c:v>
                </c:pt>
                <c:pt idx="47">
                  <c:v>93.8</c:v>
                </c:pt>
                <c:pt idx="48">
                  <c:v>92.9</c:v>
                </c:pt>
                <c:pt idx="49">
                  <c:v>93.51</c:v>
                </c:pt>
                <c:pt idx="50">
                  <c:v>92.13</c:v>
                </c:pt>
                <c:pt idx="51">
                  <c:v>91.68</c:v>
                </c:pt>
                <c:pt idx="52">
                  <c:v>91.94</c:v>
                </c:pt>
                <c:pt idx="53">
                  <c:v>91.46</c:v>
                </c:pt>
                <c:pt idx="54">
                  <c:v>90.98</c:v>
                </c:pt>
                <c:pt idx="55">
                  <c:v>90.05</c:v>
                </c:pt>
                <c:pt idx="56">
                  <c:v>90.81</c:v>
                </c:pt>
                <c:pt idx="57">
                  <c:v>90.48</c:v>
                </c:pt>
                <c:pt idx="58">
                  <c:v>90.58</c:v>
                </c:pt>
                <c:pt idx="59">
                  <c:v>90.74</c:v>
                </c:pt>
                <c:pt idx="61">
                  <c:v>91.44</c:v>
                </c:pt>
                <c:pt idx="62">
                  <c:v>91.69</c:v>
                </c:pt>
                <c:pt idx="63">
                  <c:v>90.88</c:v>
                </c:pt>
                <c:pt idx="64">
                  <c:v>90.56</c:v>
                </c:pt>
                <c:pt idx="65">
                  <c:v>90.87</c:v>
                </c:pt>
                <c:pt idx="66">
                  <c:v>91.8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710864"/>
        <c:axId val="682715176"/>
      </c:lineChart>
      <c:dateAx>
        <c:axId val="682710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715176"/>
        <c:crosses val="autoZero"/>
        <c:auto val="1"/>
        <c:lblOffset val="100"/>
        <c:baseTimeUnit val="days"/>
      </c:dateAx>
      <c:valAx>
        <c:axId val="68271517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710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PINC!$W$2:$W$68</c:f>
              <c:numCache>
                <c:formatCode>d\-mmm\-yy</c:formatCode>
                <c:ptCount val="67"/>
                <c:pt idx="0">
                  <c:v>42614</c:v>
                </c:pt>
                <c:pt idx="1">
                  <c:v>42613</c:v>
                </c:pt>
                <c:pt idx="2">
                  <c:v>42612</c:v>
                </c:pt>
                <c:pt idx="3">
                  <c:v>42611</c:v>
                </c:pt>
                <c:pt idx="4">
                  <c:v>42608</c:v>
                </c:pt>
                <c:pt idx="5">
                  <c:v>42607</c:v>
                </c:pt>
                <c:pt idx="6">
                  <c:v>42606</c:v>
                </c:pt>
                <c:pt idx="7">
                  <c:v>42605</c:v>
                </c:pt>
                <c:pt idx="8">
                  <c:v>42604</c:v>
                </c:pt>
                <c:pt idx="9">
                  <c:v>42601</c:v>
                </c:pt>
                <c:pt idx="10">
                  <c:v>42600</c:v>
                </c:pt>
                <c:pt idx="11">
                  <c:v>42599</c:v>
                </c:pt>
                <c:pt idx="12">
                  <c:v>42598</c:v>
                </c:pt>
                <c:pt idx="13">
                  <c:v>42597</c:v>
                </c:pt>
                <c:pt idx="14">
                  <c:v>42594</c:v>
                </c:pt>
                <c:pt idx="15">
                  <c:v>42593</c:v>
                </c:pt>
                <c:pt idx="16">
                  <c:v>42592</c:v>
                </c:pt>
                <c:pt idx="17">
                  <c:v>42591</c:v>
                </c:pt>
                <c:pt idx="18">
                  <c:v>42590</c:v>
                </c:pt>
                <c:pt idx="19">
                  <c:v>42587</c:v>
                </c:pt>
                <c:pt idx="20">
                  <c:v>42586</c:v>
                </c:pt>
                <c:pt idx="21">
                  <c:v>42585</c:v>
                </c:pt>
                <c:pt idx="22">
                  <c:v>42584</c:v>
                </c:pt>
                <c:pt idx="23">
                  <c:v>42583</c:v>
                </c:pt>
                <c:pt idx="24">
                  <c:v>42580</c:v>
                </c:pt>
                <c:pt idx="25">
                  <c:v>42579</c:v>
                </c:pt>
                <c:pt idx="26">
                  <c:v>42578</c:v>
                </c:pt>
                <c:pt idx="27">
                  <c:v>42577</c:v>
                </c:pt>
                <c:pt idx="28">
                  <c:v>42576</c:v>
                </c:pt>
                <c:pt idx="29">
                  <c:v>42573</c:v>
                </c:pt>
                <c:pt idx="30">
                  <c:v>42572</c:v>
                </c:pt>
                <c:pt idx="31">
                  <c:v>42571</c:v>
                </c:pt>
                <c:pt idx="32">
                  <c:v>42570</c:v>
                </c:pt>
                <c:pt idx="33">
                  <c:v>42569</c:v>
                </c:pt>
                <c:pt idx="34">
                  <c:v>42566</c:v>
                </c:pt>
                <c:pt idx="35">
                  <c:v>42565</c:v>
                </c:pt>
                <c:pt idx="36">
                  <c:v>42564</c:v>
                </c:pt>
                <c:pt idx="37">
                  <c:v>42563</c:v>
                </c:pt>
                <c:pt idx="38">
                  <c:v>42562</c:v>
                </c:pt>
                <c:pt idx="39">
                  <c:v>42559</c:v>
                </c:pt>
                <c:pt idx="40">
                  <c:v>42558</c:v>
                </c:pt>
                <c:pt idx="41">
                  <c:v>42557</c:v>
                </c:pt>
                <c:pt idx="42">
                  <c:v>42556</c:v>
                </c:pt>
                <c:pt idx="43">
                  <c:v>42552</c:v>
                </c:pt>
                <c:pt idx="44">
                  <c:v>42551</c:v>
                </c:pt>
                <c:pt idx="45">
                  <c:v>42550</c:v>
                </c:pt>
                <c:pt idx="46">
                  <c:v>42549</c:v>
                </c:pt>
                <c:pt idx="47">
                  <c:v>42548</c:v>
                </c:pt>
                <c:pt idx="48">
                  <c:v>42545</c:v>
                </c:pt>
                <c:pt idx="49">
                  <c:v>42544</c:v>
                </c:pt>
                <c:pt idx="50">
                  <c:v>42543</c:v>
                </c:pt>
                <c:pt idx="51">
                  <c:v>42542</c:v>
                </c:pt>
                <c:pt idx="52">
                  <c:v>42541</c:v>
                </c:pt>
                <c:pt idx="53">
                  <c:v>42538</c:v>
                </c:pt>
                <c:pt idx="54">
                  <c:v>42538</c:v>
                </c:pt>
                <c:pt idx="55">
                  <c:v>42537</c:v>
                </c:pt>
                <c:pt idx="56">
                  <c:v>42536</c:v>
                </c:pt>
                <c:pt idx="57">
                  <c:v>42535</c:v>
                </c:pt>
                <c:pt idx="58">
                  <c:v>42534</c:v>
                </c:pt>
                <c:pt idx="59">
                  <c:v>42531</c:v>
                </c:pt>
                <c:pt idx="60">
                  <c:v>42530</c:v>
                </c:pt>
                <c:pt idx="61">
                  <c:v>42529</c:v>
                </c:pt>
                <c:pt idx="62">
                  <c:v>42528</c:v>
                </c:pt>
                <c:pt idx="63">
                  <c:v>42527</c:v>
                </c:pt>
                <c:pt idx="64">
                  <c:v>42524</c:v>
                </c:pt>
                <c:pt idx="65">
                  <c:v>42523</c:v>
                </c:pt>
                <c:pt idx="66">
                  <c:v>42522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217.39</c:v>
                </c:pt>
                <c:pt idx="1">
                  <c:v>217.38</c:v>
                </c:pt>
                <c:pt idx="2">
                  <c:v>218</c:v>
                </c:pt>
                <c:pt idx="3">
                  <c:v>218.36</c:v>
                </c:pt>
                <c:pt idx="4">
                  <c:v>217.29</c:v>
                </c:pt>
                <c:pt idx="5">
                  <c:v>217.7</c:v>
                </c:pt>
                <c:pt idx="6">
                  <c:v>217.85</c:v>
                </c:pt>
                <c:pt idx="7">
                  <c:v>218.97</c:v>
                </c:pt>
                <c:pt idx="8">
                  <c:v>218.53</c:v>
                </c:pt>
                <c:pt idx="9">
                  <c:v>218.54</c:v>
                </c:pt>
                <c:pt idx="10">
                  <c:v>218.86</c:v>
                </c:pt>
                <c:pt idx="11">
                  <c:v>218.37</c:v>
                </c:pt>
                <c:pt idx="12">
                  <c:v>217.96</c:v>
                </c:pt>
                <c:pt idx="13">
                  <c:v>219.09</c:v>
                </c:pt>
                <c:pt idx="14">
                  <c:v>218.46</c:v>
                </c:pt>
                <c:pt idx="15">
                  <c:v>218.65</c:v>
                </c:pt>
                <c:pt idx="16">
                  <c:v>217.64</c:v>
                </c:pt>
                <c:pt idx="17">
                  <c:v>218.18</c:v>
                </c:pt>
                <c:pt idx="18">
                  <c:v>218.05</c:v>
                </c:pt>
                <c:pt idx="19">
                  <c:v>218.18</c:v>
                </c:pt>
                <c:pt idx="20">
                  <c:v>216.41</c:v>
                </c:pt>
                <c:pt idx="21">
                  <c:v>216.18</c:v>
                </c:pt>
                <c:pt idx="22">
                  <c:v>215.55</c:v>
                </c:pt>
                <c:pt idx="23">
                  <c:v>216.94</c:v>
                </c:pt>
                <c:pt idx="24">
                  <c:v>217.12</c:v>
                </c:pt>
                <c:pt idx="25">
                  <c:v>216.77</c:v>
                </c:pt>
                <c:pt idx="26">
                  <c:v>216.52</c:v>
                </c:pt>
                <c:pt idx="27">
                  <c:v>216.75</c:v>
                </c:pt>
                <c:pt idx="28">
                  <c:v>216.65</c:v>
                </c:pt>
                <c:pt idx="29">
                  <c:v>217.24</c:v>
                </c:pt>
                <c:pt idx="30">
                  <c:v>216.27</c:v>
                </c:pt>
                <c:pt idx="31">
                  <c:v>217.09</c:v>
                </c:pt>
                <c:pt idx="32">
                  <c:v>216.19</c:v>
                </c:pt>
                <c:pt idx="33">
                  <c:v>216.41</c:v>
                </c:pt>
                <c:pt idx="34">
                  <c:v>215.83</c:v>
                </c:pt>
                <c:pt idx="35">
                  <c:v>216.12</c:v>
                </c:pt>
                <c:pt idx="36">
                  <c:v>214.92</c:v>
                </c:pt>
                <c:pt idx="37">
                  <c:v>214.95</c:v>
                </c:pt>
                <c:pt idx="38">
                  <c:v>213.4</c:v>
                </c:pt>
                <c:pt idx="39">
                  <c:v>212.65</c:v>
                </c:pt>
                <c:pt idx="40">
                  <c:v>209.53</c:v>
                </c:pt>
                <c:pt idx="41">
                  <c:v>209.66</c:v>
                </c:pt>
                <c:pt idx="42">
                  <c:v>208.41</c:v>
                </c:pt>
                <c:pt idx="43">
                  <c:v>209.92</c:v>
                </c:pt>
                <c:pt idx="44">
                  <c:v>209.48</c:v>
                </c:pt>
                <c:pt idx="45">
                  <c:v>206.66</c:v>
                </c:pt>
                <c:pt idx="46">
                  <c:v>203.2</c:v>
                </c:pt>
                <c:pt idx="47">
                  <c:v>199.6</c:v>
                </c:pt>
                <c:pt idx="48">
                  <c:v>203.24</c:v>
                </c:pt>
                <c:pt idx="49">
                  <c:v>210.81</c:v>
                </c:pt>
                <c:pt idx="50">
                  <c:v>208.1</c:v>
                </c:pt>
                <c:pt idx="51">
                  <c:v>208.44</c:v>
                </c:pt>
                <c:pt idx="52">
                  <c:v>207.85</c:v>
                </c:pt>
                <c:pt idx="53">
                  <c:v>206.52</c:v>
                </c:pt>
                <c:pt idx="55">
                  <c:v>208.37</c:v>
                </c:pt>
                <c:pt idx="56">
                  <c:v>207.75</c:v>
                </c:pt>
                <c:pt idx="57">
                  <c:v>208.04</c:v>
                </c:pt>
                <c:pt idx="58">
                  <c:v>208.45</c:v>
                </c:pt>
                <c:pt idx="59">
                  <c:v>210.07</c:v>
                </c:pt>
                <c:pt idx="60">
                  <c:v>212.08</c:v>
                </c:pt>
                <c:pt idx="61">
                  <c:v>212.37</c:v>
                </c:pt>
                <c:pt idx="62">
                  <c:v>211.68</c:v>
                </c:pt>
                <c:pt idx="63">
                  <c:v>211.35</c:v>
                </c:pt>
                <c:pt idx="64">
                  <c:v>210.28</c:v>
                </c:pt>
                <c:pt idx="65">
                  <c:v>210.91</c:v>
                </c:pt>
                <c:pt idx="66" formatCode="General">
                  <c:v>210.27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709296"/>
        <c:axId val="682715960"/>
      </c:lineChart>
      <c:dateAx>
        <c:axId val="682709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715960"/>
        <c:crosses val="autoZero"/>
        <c:auto val="1"/>
        <c:lblOffset val="100"/>
        <c:baseTimeUnit val="days"/>
      </c:dateAx>
      <c:valAx>
        <c:axId val="682715960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70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42619</c:v>
                </c:pt>
                <c:pt idx="1">
                  <c:v>42615</c:v>
                </c:pt>
                <c:pt idx="2">
                  <c:v>42614</c:v>
                </c:pt>
                <c:pt idx="3">
                  <c:v>42613</c:v>
                </c:pt>
                <c:pt idx="4">
                  <c:v>42612</c:v>
                </c:pt>
                <c:pt idx="5">
                  <c:v>42611</c:v>
                </c:pt>
                <c:pt idx="6">
                  <c:v>42608</c:v>
                </c:pt>
                <c:pt idx="7">
                  <c:v>42607</c:v>
                </c:pt>
                <c:pt idx="8">
                  <c:v>42606</c:v>
                </c:pt>
                <c:pt idx="9">
                  <c:v>42605</c:v>
                </c:pt>
                <c:pt idx="10">
                  <c:v>42604</c:v>
                </c:pt>
                <c:pt idx="11">
                  <c:v>42601</c:v>
                </c:pt>
                <c:pt idx="12">
                  <c:v>42600</c:v>
                </c:pt>
                <c:pt idx="13">
                  <c:v>42599</c:v>
                </c:pt>
                <c:pt idx="14">
                  <c:v>42598</c:v>
                </c:pt>
                <c:pt idx="15">
                  <c:v>42597</c:v>
                </c:pt>
                <c:pt idx="16">
                  <c:v>42594</c:v>
                </c:pt>
                <c:pt idx="17">
                  <c:v>42593</c:v>
                </c:pt>
                <c:pt idx="18">
                  <c:v>42592</c:v>
                </c:pt>
                <c:pt idx="19">
                  <c:v>42591</c:v>
                </c:pt>
                <c:pt idx="20">
                  <c:v>42590</c:v>
                </c:pt>
                <c:pt idx="21">
                  <c:v>42587</c:v>
                </c:pt>
                <c:pt idx="22">
                  <c:v>42586</c:v>
                </c:pt>
                <c:pt idx="23">
                  <c:v>42585</c:v>
                </c:pt>
                <c:pt idx="24">
                  <c:v>42584</c:v>
                </c:pt>
                <c:pt idx="25">
                  <c:v>42583</c:v>
                </c:pt>
                <c:pt idx="26">
                  <c:v>42580</c:v>
                </c:pt>
                <c:pt idx="27">
                  <c:v>42579</c:v>
                </c:pt>
                <c:pt idx="28">
                  <c:v>42578</c:v>
                </c:pt>
                <c:pt idx="29">
                  <c:v>42577</c:v>
                </c:pt>
                <c:pt idx="30">
                  <c:v>42576</c:v>
                </c:pt>
                <c:pt idx="31">
                  <c:v>42573</c:v>
                </c:pt>
                <c:pt idx="32">
                  <c:v>42572</c:v>
                </c:pt>
                <c:pt idx="33">
                  <c:v>42571</c:v>
                </c:pt>
                <c:pt idx="34">
                  <c:v>42570</c:v>
                </c:pt>
                <c:pt idx="35">
                  <c:v>42569</c:v>
                </c:pt>
                <c:pt idx="36">
                  <c:v>42566</c:v>
                </c:pt>
                <c:pt idx="37">
                  <c:v>42565</c:v>
                </c:pt>
                <c:pt idx="38">
                  <c:v>42564</c:v>
                </c:pt>
                <c:pt idx="39">
                  <c:v>42563</c:v>
                </c:pt>
                <c:pt idx="40">
                  <c:v>42562</c:v>
                </c:pt>
                <c:pt idx="41">
                  <c:v>42559</c:v>
                </c:pt>
                <c:pt idx="42">
                  <c:v>42558</c:v>
                </c:pt>
                <c:pt idx="43">
                  <c:v>42557</c:v>
                </c:pt>
                <c:pt idx="44">
                  <c:v>42556</c:v>
                </c:pt>
                <c:pt idx="45">
                  <c:v>42552</c:v>
                </c:pt>
                <c:pt idx="46">
                  <c:v>42551</c:v>
                </c:pt>
                <c:pt idx="47">
                  <c:v>42550</c:v>
                </c:pt>
                <c:pt idx="48">
                  <c:v>42549</c:v>
                </c:pt>
                <c:pt idx="49">
                  <c:v>42548</c:v>
                </c:pt>
                <c:pt idx="50">
                  <c:v>42545</c:v>
                </c:pt>
                <c:pt idx="51">
                  <c:v>42544</c:v>
                </c:pt>
                <c:pt idx="52">
                  <c:v>42543</c:v>
                </c:pt>
                <c:pt idx="53">
                  <c:v>42542</c:v>
                </c:pt>
                <c:pt idx="54">
                  <c:v>42541</c:v>
                </c:pt>
                <c:pt idx="55">
                  <c:v>42538</c:v>
                </c:pt>
                <c:pt idx="56">
                  <c:v>42537</c:v>
                </c:pt>
                <c:pt idx="57">
                  <c:v>42536</c:v>
                </c:pt>
                <c:pt idx="58">
                  <c:v>42535</c:v>
                </c:pt>
                <c:pt idx="59">
                  <c:v>42534</c:v>
                </c:pt>
                <c:pt idx="60">
                  <c:v>42531</c:v>
                </c:pt>
                <c:pt idx="61">
                  <c:v>42530</c:v>
                </c:pt>
                <c:pt idx="62">
                  <c:v>42529</c:v>
                </c:pt>
                <c:pt idx="63">
                  <c:v>42528</c:v>
                </c:pt>
                <c:pt idx="64">
                  <c:v>42527</c:v>
                </c:pt>
                <c:pt idx="65">
                  <c:v>42524</c:v>
                </c:pt>
              </c:numCache>
            </c:numRef>
          </c:cat>
          <c:val>
            <c:numRef>
              <c:f>FOXA!$AA$2:$AA$69</c:f>
              <c:numCache>
                <c:formatCode>General</c:formatCode>
                <c:ptCount val="68"/>
                <c:pt idx="0">
                  <c:v>24.42</c:v>
                </c:pt>
                <c:pt idx="1">
                  <c:v>24.55</c:v>
                </c:pt>
                <c:pt idx="2">
                  <c:v>24.54</c:v>
                </c:pt>
                <c:pt idx="3">
                  <c:v>24.54</c:v>
                </c:pt>
                <c:pt idx="4">
                  <c:v>24.55</c:v>
                </c:pt>
                <c:pt idx="5">
                  <c:v>24.74</c:v>
                </c:pt>
                <c:pt idx="6">
                  <c:v>24.54</c:v>
                </c:pt>
                <c:pt idx="7">
                  <c:v>24.57</c:v>
                </c:pt>
                <c:pt idx="8">
                  <c:v>24.8</c:v>
                </c:pt>
                <c:pt idx="9">
                  <c:v>24.89</c:v>
                </c:pt>
                <c:pt idx="10">
                  <c:v>25.12</c:v>
                </c:pt>
                <c:pt idx="11">
                  <c:v>25.15</c:v>
                </c:pt>
                <c:pt idx="12">
                  <c:v>25.08</c:v>
                </c:pt>
                <c:pt idx="13">
                  <c:v>25.48</c:v>
                </c:pt>
                <c:pt idx="14">
                  <c:v>25.46</c:v>
                </c:pt>
                <c:pt idx="15">
                  <c:v>25.85</c:v>
                </c:pt>
                <c:pt idx="16">
                  <c:v>26.02</c:v>
                </c:pt>
                <c:pt idx="17">
                  <c:v>26.16</c:v>
                </c:pt>
                <c:pt idx="18">
                  <c:v>25.58</c:v>
                </c:pt>
                <c:pt idx="19">
                  <c:v>25.48</c:v>
                </c:pt>
                <c:pt idx="20">
                  <c:v>25.41</c:v>
                </c:pt>
                <c:pt idx="21">
                  <c:v>25.64</c:v>
                </c:pt>
                <c:pt idx="22">
                  <c:v>25.59</c:v>
                </c:pt>
                <c:pt idx="23">
                  <c:v>27.04</c:v>
                </c:pt>
                <c:pt idx="24">
                  <c:v>26.7</c:v>
                </c:pt>
                <c:pt idx="25">
                  <c:v>26.62</c:v>
                </c:pt>
                <c:pt idx="26">
                  <c:v>26.64</c:v>
                </c:pt>
                <c:pt idx="27">
                  <c:v>26.76</c:v>
                </c:pt>
                <c:pt idx="28">
                  <c:v>26.74</c:v>
                </c:pt>
                <c:pt idx="29">
                  <c:v>26.74</c:v>
                </c:pt>
                <c:pt idx="30">
                  <c:v>26.85</c:v>
                </c:pt>
                <c:pt idx="31">
                  <c:v>27.11</c:v>
                </c:pt>
                <c:pt idx="32">
                  <c:v>27.18</c:v>
                </c:pt>
                <c:pt idx="33">
                  <c:v>27</c:v>
                </c:pt>
                <c:pt idx="34">
                  <c:v>27.75</c:v>
                </c:pt>
                <c:pt idx="35">
                  <c:v>28.02</c:v>
                </c:pt>
                <c:pt idx="36">
                  <c:v>28.03</c:v>
                </c:pt>
                <c:pt idx="37">
                  <c:v>28.12</c:v>
                </c:pt>
                <c:pt idx="38">
                  <c:v>27.92</c:v>
                </c:pt>
                <c:pt idx="39">
                  <c:v>27.83</c:v>
                </c:pt>
                <c:pt idx="40">
                  <c:v>27.77</c:v>
                </c:pt>
                <c:pt idx="41">
                  <c:v>27.7</c:v>
                </c:pt>
                <c:pt idx="42">
                  <c:v>26.93</c:v>
                </c:pt>
                <c:pt idx="43">
                  <c:v>26.74</c:v>
                </c:pt>
                <c:pt idx="44">
                  <c:v>26.65</c:v>
                </c:pt>
                <c:pt idx="45">
                  <c:v>27.27</c:v>
                </c:pt>
                <c:pt idx="46">
                  <c:v>27.05</c:v>
                </c:pt>
                <c:pt idx="47">
                  <c:v>27</c:v>
                </c:pt>
                <c:pt idx="48">
                  <c:v>26.65</c:v>
                </c:pt>
                <c:pt idx="49">
                  <c:v>26.37</c:v>
                </c:pt>
                <c:pt idx="50">
                  <c:v>26.94</c:v>
                </c:pt>
                <c:pt idx="51">
                  <c:v>29.2</c:v>
                </c:pt>
                <c:pt idx="52">
                  <c:v>28.92</c:v>
                </c:pt>
                <c:pt idx="53">
                  <c:v>28.8</c:v>
                </c:pt>
                <c:pt idx="54">
                  <c:v>29.19</c:v>
                </c:pt>
                <c:pt idx="55">
                  <c:v>28.8</c:v>
                </c:pt>
                <c:pt idx="56">
                  <c:v>29.13</c:v>
                </c:pt>
                <c:pt idx="57">
                  <c:v>28.96</c:v>
                </c:pt>
                <c:pt idx="58">
                  <c:v>28.87</c:v>
                </c:pt>
                <c:pt idx="59">
                  <c:v>28.91</c:v>
                </c:pt>
                <c:pt idx="60">
                  <c:v>28.93</c:v>
                </c:pt>
                <c:pt idx="61">
                  <c:v>29.32</c:v>
                </c:pt>
                <c:pt idx="62">
                  <c:v>29.44</c:v>
                </c:pt>
                <c:pt idx="63">
                  <c:v>29.3</c:v>
                </c:pt>
                <c:pt idx="64">
                  <c:v>29.44</c:v>
                </c:pt>
                <c:pt idx="65">
                  <c:v>29.38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723016"/>
        <c:axId val="682724192"/>
      </c:lineChart>
      <c:dateAx>
        <c:axId val="682723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724192"/>
        <c:crosses val="autoZero"/>
        <c:auto val="1"/>
        <c:lblOffset val="100"/>
        <c:baseTimeUnit val="days"/>
      </c:dateAx>
      <c:valAx>
        <c:axId val="68272419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723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42615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42608</c:v>
                </c:pt>
                <c:pt idx="6">
                  <c:v>42607</c:v>
                </c:pt>
                <c:pt idx="7">
                  <c:v>42606</c:v>
                </c:pt>
                <c:pt idx="8">
                  <c:v>42605</c:v>
                </c:pt>
                <c:pt idx="9">
                  <c:v>42604</c:v>
                </c:pt>
                <c:pt idx="10">
                  <c:v>42601</c:v>
                </c:pt>
                <c:pt idx="11">
                  <c:v>42600</c:v>
                </c:pt>
                <c:pt idx="12">
                  <c:v>42599</c:v>
                </c:pt>
                <c:pt idx="13">
                  <c:v>42598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42593</c:v>
                </c:pt>
                <c:pt idx="18">
                  <c:v>42592</c:v>
                </c:pt>
                <c:pt idx="19">
                  <c:v>42591</c:v>
                </c:pt>
                <c:pt idx="20">
                  <c:v>42590</c:v>
                </c:pt>
                <c:pt idx="21">
                  <c:v>42587</c:v>
                </c:pt>
                <c:pt idx="22">
                  <c:v>42586</c:v>
                </c:pt>
                <c:pt idx="23">
                  <c:v>42585</c:v>
                </c:pt>
                <c:pt idx="24">
                  <c:v>42584</c:v>
                </c:pt>
                <c:pt idx="25">
                  <c:v>42583</c:v>
                </c:pt>
                <c:pt idx="26">
                  <c:v>42580</c:v>
                </c:pt>
                <c:pt idx="27">
                  <c:v>42579</c:v>
                </c:pt>
                <c:pt idx="28">
                  <c:v>42578</c:v>
                </c:pt>
                <c:pt idx="29">
                  <c:v>42577</c:v>
                </c:pt>
                <c:pt idx="30">
                  <c:v>42576</c:v>
                </c:pt>
                <c:pt idx="31">
                  <c:v>42573</c:v>
                </c:pt>
                <c:pt idx="32">
                  <c:v>42572</c:v>
                </c:pt>
                <c:pt idx="33">
                  <c:v>42571</c:v>
                </c:pt>
                <c:pt idx="34">
                  <c:v>42570</c:v>
                </c:pt>
                <c:pt idx="35">
                  <c:v>42569</c:v>
                </c:pt>
                <c:pt idx="36">
                  <c:v>42566</c:v>
                </c:pt>
                <c:pt idx="37">
                  <c:v>42565</c:v>
                </c:pt>
                <c:pt idx="38">
                  <c:v>42564</c:v>
                </c:pt>
                <c:pt idx="39">
                  <c:v>42563</c:v>
                </c:pt>
                <c:pt idx="40">
                  <c:v>42562</c:v>
                </c:pt>
                <c:pt idx="41">
                  <c:v>42559</c:v>
                </c:pt>
                <c:pt idx="42">
                  <c:v>42558</c:v>
                </c:pt>
                <c:pt idx="43">
                  <c:v>42557</c:v>
                </c:pt>
                <c:pt idx="44">
                  <c:v>42556</c:v>
                </c:pt>
                <c:pt idx="45">
                  <c:v>42552</c:v>
                </c:pt>
                <c:pt idx="46">
                  <c:v>42551</c:v>
                </c:pt>
                <c:pt idx="47">
                  <c:v>42550</c:v>
                </c:pt>
                <c:pt idx="48">
                  <c:v>42549</c:v>
                </c:pt>
                <c:pt idx="49">
                  <c:v>42548</c:v>
                </c:pt>
                <c:pt idx="50">
                  <c:v>42545</c:v>
                </c:pt>
                <c:pt idx="51">
                  <c:v>42544</c:v>
                </c:pt>
                <c:pt idx="52">
                  <c:v>42543</c:v>
                </c:pt>
                <c:pt idx="53">
                  <c:v>42542</c:v>
                </c:pt>
                <c:pt idx="54">
                  <c:v>42541</c:v>
                </c:pt>
                <c:pt idx="55">
                  <c:v>42538</c:v>
                </c:pt>
                <c:pt idx="56">
                  <c:v>42537</c:v>
                </c:pt>
                <c:pt idx="57">
                  <c:v>42536</c:v>
                </c:pt>
                <c:pt idx="58">
                  <c:v>42535</c:v>
                </c:pt>
                <c:pt idx="59">
                  <c:v>42534</c:v>
                </c:pt>
                <c:pt idx="60">
                  <c:v>42531</c:v>
                </c:pt>
                <c:pt idx="61">
                  <c:v>42530</c:v>
                </c:pt>
                <c:pt idx="62">
                  <c:v>42529</c:v>
                </c:pt>
                <c:pt idx="63">
                  <c:v>42528</c:v>
                </c:pt>
                <c:pt idx="64">
                  <c:v>42527</c:v>
                </c:pt>
                <c:pt idx="65">
                  <c:v>42524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25.94</c:v>
                </c:pt>
                <c:pt idx="1">
                  <c:v>25.6</c:v>
                </c:pt>
                <c:pt idx="2">
                  <c:v>26</c:v>
                </c:pt>
                <c:pt idx="3">
                  <c:v>26.17</c:v>
                </c:pt>
                <c:pt idx="4">
                  <c:v>24.98</c:v>
                </c:pt>
                <c:pt idx="5">
                  <c:v>23.98</c:v>
                </c:pt>
                <c:pt idx="6">
                  <c:v>24.23</c:v>
                </c:pt>
                <c:pt idx="7">
                  <c:v>24.04</c:v>
                </c:pt>
                <c:pt idx="8">
                  <c:v>24.83</c:v>
                </c:pt>
                <c:pt idx="9">
                  <c:v>23.69</c:v>
                </c:pt>
                <c:pt idx="10">
                  <c:v>23.02</c:v>
                </c:pt>
                <c:pt idx="11">
                  <c:v>22.74</c:v>
                </c:pt>
                <c:pt idx="12">
                  <c:v>23.31</c:v>
                </c:pt>
                <c:pt idx="13">
                  <c:v>23.2</c:v>
                </c:pt>
                <c:pt idx="14">
                  <c:v>23.2</c:v>
                </c:pt>
                <c:pt idx="15">
                  <c:v>22.35</c:v>
                </c:pt>
                <c:pt idx="16">
                  <c:v>22.26</c:v>
                </c:pt>
                <c:pt idx="18">
                  <c:v>21.57</c:v>
                </c:pt>
                <c:pt idx="19">
                  <c:v>22.12</c:v>
                </c:pt>
                <c:pt idx="20">
                  <c:v>23.19</c:v>
                </c:pt>
                <c:pt idx="21">
                  <c:v>22.09</c:v>
                </c:pt>
                <c:pt idx="22">
                  <c:v>21.43</c:v>
                </c:pt>
                <c:pt idx="23">
                  <c:v>24.52</c:v>
                </c:pt>
                <c:pt idx="24">
                  <c:v>24.49</c:v>
                </c:pt>
                <c:pt idx="25">
                  <c:v>24.42</c:v>
                </c:pt>
                <c:pt idx="26">
                  <c:v>24.68</c:v>
                </c:pt>
                <c:pt idx="27">
                  <c:v>24.66</c:v>
                </c:pt>
                <c:pt idx="28">
                  <c:v>25.41</c:v>
                </c:pt>
                <c:pt idx="29">
                  <c:v>25.8</c:v>
                </c:pt>
                <c:pt idx="30">
                  <c:v>25.33</c:v>
                </c:pt>
                <c:pt idx="31">
                  <c:v>25.18</c:v>
                </c:pt>
                <c:pt idx="32">
                  <c:v>26.29</c:v>
                </c:pt>
                <c:pt idx="33">
                  <c:v>26.61</c:v>
                </c:pt>
                <c:pt idx="34">
                  <c:v>26.55</c:v>
                </c:pt>
                <c:pt idx="35">
                  <c:v>27.69</c:v>
                </c:pt>
                <c:pt idx="36">
                  <c:v>27.44</c:v>
                </c:pt>
                <c:pt idx="37">
                  <c:v>27.87</c:v>
                </c:pt>
                <c:pt idx="38">
                  <c:v>26.92</c:v>
                </c:pt>
                <c:pt idx="39">
                  <c:v>26.03</c:v>
                </c:pt>
                <c:pt idx="40">
                  <c:v>24.67</c:v>
                </c:pt>
                <c:pt idx="41">
                  <c:v>24.86</c:v>
                </c:pt>
                <c:pt idx="42">
                  <c:v>23.5</c:v>
                </c:pt>
                <c:pt idx="43">
                  <c:v>23.75</c:v>
                </c:pt>
                <c:pt idx="44">
                  <c:v>23.54</c:v>
                </c:pt>
                <c:pt idx="45">
                  <c:v>24.22</c:v>
                </c:pt>
                <c:pt idx="46">
                  <c:v>24.1</c:v>
                </c:pt>
                <c:pt idx="47">
                  <c:v>24.34</c:v>
                </c:pt>
                <c:pt idx="48">
                  <c:v>24.06</c:v>
                </c:pt>
                <c:pt idx="49">
                  <c:v>23.48</c:v>
                </c:pt>
                <c:pt idx="50">
                  <c:v>25.43</c:v>
                </c:pt>
                <c:pt idx="51">
                  <c:v>27.64</c:v>
                </c:pt>
                <c:pt idx="52">
                  <c:v>27.02</c:v>
                </c:pt>
                <c:pt idx="53">
                  <c:v>27.31</c:v>
                </c:pt>
                <c:pt idx="54">
                  <c:v>27.96</c:v>
                </c:pt>
                <c:pt idx="55">
                  <c:v>28.35</c:v>
                </c:pt>
                <c:pt idx="56">
                  <c:v>27.59</c:v>
                </c:pt>
                <c:pt idx="57">
                  <c:v>27.68</c:v>
                </c:pt>
                <c:pt idx="58">
                  <c:v>27.73</c:v>
                </c:pt>
                <c:pt idx="59">
                  <c:v>28.62</c:v>
                </c:pt>
                <c:pt idx="60">
                  <c:v>29.23</c:v>
                </c:pt>
                <c:pt idx="61">
                  <c:v>29.79</c:v>
                </c:pt>
                <c:pt idx="62">
                  <c:v>31.08</c:v>
                </c:pt>
                <c:pt idx="63">
                  <c:v>31.96</c:v>
                </c:pt>
                <c:pt idx="64">
                  <c:v>31.15</c:v>
                </c:pt>
                <c:pt idx="65">
                  <c:v>28.61</c:v>
                </c:pt>
                <c:pt idx="66">
                  <c:v>27.98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005384"/>
        <c:axId val="492011264"/>
      </c:lineChart>
      <c:dateAx>
        <c:axId val="492005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011264"/>
        <c:crosses val="autoZero"/>
        <c:auto val="1"/>
        <c:lblOffset val="100"/>
        <c:baseTimeUnit val="days"/>
      </c:dateAx>
      <c:valAx>
        <c:axId val="49201126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005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42615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42608</c:v>
                </c:pt>
                <c:pt idx="6">
                  <c:v>42607</c:v>
                </c:pt>
                <c:pt idx="7">
                  <c:v>42606</c:v>
                </c:pt>
                <c:pt idx="8">
                  <c:v>42605</c:v>
                </c:pt>
                <c:pt idx="9">
                  <c:v>42604</c:v>
                </c:pt>
                <c:pt idx="10">
                  <c:v>42601</c:v>
                </c:pt>
                <c:pt idx="11">
                  <c:v>42600</c:v>
                </c:pt>
                <c:pt idx="12">
                  <c:v>42599</c:v>
                </c:pt>
                <c:pt idx="13">
                  <c:v>42598</c:v>
                </c:pt>
                <c:pt idx="14">
                  <c:v>42598</c:v>
                </c:pt>
                <c:pt idx="15">
                  <c:v>42597</c:v>
                </c:pt>
                <c:pt idx="16">
                  <c:v>42594</c:v>
                </c:pt>
                <c:pt idx="17">
                  <c:v>42593</c:v>
                </c:pt>
                <c:pt idx="18">
                  <c:v>42592</c:v>
                </c:pt>
                <c:pt idx="19">
                  <c:v>42591</c:v>
                </c:pt>
                <c:pt idx="20">
                  <c:v>42590</c:v>
                </c:pt>
                <c:pt idx="21">
                  <c:v>42587</c:v>
                </c:pt>
                <c:pt idx="22">
                  <c:v>42586</c:v>
                </c:pt>
                <c:pt idx="23">
                  <c:v>42585</c:v>
                </c:pt>
                <c:pt idx="24">
                  <c:v>42584</c:v>
                </c:pt>
                <c:pt idx="25">
                  <c:v>42583</c:v>
                </c:pt>
                <c:pt idx="26">
                  <c:v>42580</c:v>
                </c:pt>
                <c:pt idx="27">
                  <c:v>42579</c:v>
                </c:pt>
                <c:pt idx="28">
                  <c:v>42578</c:v>
                </c:pt>
                <c:pt idx="29">
                  <c:v>42577</c:v>
                </c:pt>
                <c:pt idx="30">
                  <c:v>42576</c:v>
                </c:pt>
                <c:pt idx="31">
                  <c:v>42573</c:v>
                </c:pt>
                <c:pt idx="32">
                  <c:v>42572</c:v>
                </c:pt>
                <c:pt idx="33">
                  <c:v>42571</c:v>
                </c:pt>
                <c:pt idx="34">
                  <c:v>42570</c:v>
                </c:pt>
                <c:pt idx="35">
                  <c:v>42569</c:v>
                </c:pt>
                <c:pt idx="36">
                  <c:v>42566</c:v>
                </c:pt>
                <c:pt idx="37">
                  <c:v>42565</c:v>
                </c:pt>
                <c:pt idx="38">
                  <c:v>42564</c:v>
                </c:pt>
                <c:pt idx="39">
                  <c:v>42563</c:v>
                </c:pt>
                <c:pt idx="40">
                  <c:v>42562</c:v>
                </c:pt>
                <c:pt idx="41">
                  <c:v>42559</c:v>
                </c:pt>
                <c:pt idx="42">
                  <c:v>42558</c:v>
                </c:pt>
                <c:pt idx="43">
                  <c:v>42557</c:v>
                </c:pt>
                <c:pt idx="44">
                  <c:v>42556</c:v>
                </c:pt>
                <c:pt idx="45">
                  <c:v>42552</c:v>
                </c:pt>
                <c:pt idx="46">
                  <c:v>42551</c:v>
                </c:pt>
                <c:pt idx="47">
                  <c:v>42550</c:v>
                </c:pt>
                <c:pt idx="48">
                  <c:v>42549</c:v>
                </c:pt>
                <c:pt idx="49">
                  <c:v>42548</c:v>
                </c:pt>
                <c:pt idx="50">
                  <c:v>42545</c:v>
                </c:pt>
                <c:pt idx="51">
                  <c:v>42544</c:v>
                </c:pt>
                <c:pt idx="52">
                  <c:v>42543</c:v>
                </c:pt>
                <c:pt idx="53">
                  <c:v>42542</c:v>
                </c:pt>
                <c:pt idx="54">
                  <c:v>42541</c:v>
                </c:pt>
                <c:pt idx="55">
                  <c:v>42538</c:v>
                </c:pt>
                <c:pt idx="56">
                  <c:v>42537</c:v>
                </c:pt>
                <c:pt idx="57">
                  <c:v>42536</c:v>
                </c:pt>
                <c:pt idx="58">
                  <c:v>42535</c:v>
                </c:pt>
                <c:pt idx="59">
                  <c:v>42534</c:v>
                </c:pt>
                <c:pt idx="60">
                  <c:v>42531</c:v>
                </c:pt>
                <c:pt idx="61">
                  <c:v>42530</c:v>
                </c:pt>
                <c:pt idx="62">
                  <c:v>42529</c:v>
                </c:pt>
                <c:pt idx="63">
                  <c:v>42528</c:v>
                </c:pt>
                <c:pt idx="64">
                  <c:v>42527</c:v>
                </c:pt>
                <c:pt idx="65">
                  <c:v>42527</c:v>
                </c:pt>
              </c:numCache>
            </c:numRef>
          </c:cat>
          <c:val>
            <c:numRef>
              <c:f>LUV!$AA$2:$AA$70</c:f>
              <c:numCache>
                <c:formatCode>General</c:formatCode>
                <c:ptCount val="69"/>
                <c:pt idx="0">
                  <c:v>36.89</c:v>
                </c:pt>
                <c:pt idx="1">
                  <c:v>36.590000000000003</c:v>
                </c:pt>
                <c:pt idx="2">
                  <c:v>36.880000000000003</c:v>
                </c:pt>
                <c:pt idx="3">
                  <c:v>37.18</c:v>
                </c:pt>
                <c:pt idx="4">
                  <c:v>36.450000000000003</c:v>
                </c:pt>
                <c:pt idx="5">
                  <c:v>36.270000000000003</c:v>
                </c:pt>
                <c:pt idx="6">
                  <c:v>36.69</c:v>
                </c:pt>
                <c:pt idx="7">
                  <c:v>36.659999999999997</c:v>
                </c:pt>
                <c:pt idx="8">
                  <c:v>36.69</c:v>
                </c:pt>
                <c:pt idx="9">
                  <c:v>36.28</c:v>
                </c:pt>
                <c:pt idx="10">
                  <c:v>36.35</c:v>
                </c:pt>
                <c:pt idx="11">
                  <c:v>36.840000000000003</c:v>
                </c:pt>
                <c:pt idx="12">
                  <c:v>36.85</c:v>
                </c:pt>
                <c:pt idx="13">
                  <c:v>36.520000000000003</c:v>
                </c:pt>
                <c:pt idx="15">
                  <c:v>36.880000000000003</c:v>
                </c:pt>
                <c:pt idx="16">
                  <c:v>36.520000000000003</c:v>
                </c:pt>
                <c:pt idx="17">
                  <c:v>37.24</c:v>
                </c:pt>
                <c:pt idx="18">
                  <c:v>36.99</c:v>
                </c:pt>
                <c:pt idx="19">
                  <c:v>37.46</c:v>
                </c:pt>
                <c:pt idx="20">
                  <c:v>37.450000000000003</c:v>
                </c:pt>
                <c:pt idx="21">
                  <c:v>37.85</c:v>
                </c:pt>
                <c:pt idx="22">
                  <c:v>36.42</c:v>
                </c:pt>
                <c:pt idx="23">
                  <c:v>35.880000000000003</c:v>
                </c:pt>
                <c:pt idx="24">
                  <c:v>35.54</c:v>
                </c:pt>
                <c:pt idx="25">
                  <c:v>37.04</c:v>
                </c:pt>
                <c:pt idx="26">
                  <c:v>37.01</c:v>
                </c:pt>
                <c:pt idx="27">
                  <c:v>37.47</c:v>
                </c:pt>
                <c:pt idx="28">
                  <c:v>37.479999999999997</c:v>
                </c:pt>
                <c:pt idx="29">
                  <c:v>38.28</c:v>
                </c:pt>
                <c:pt idx="30">
                  <c:v>37.36</c:v>
                </c:pt>
                <c:pt idx="31">
                  <c:v>37.83</c:v>
                </c:pt>
                <c:pt idx="32">
                  <c:v>37.32</c:v>
                </c:pt>
                <c:pt idx="33">
                  <c:v>42.03</c:v>
                </c:pt>
                <c:pt idx="34">
                  <c:v>42.72</c:v>
                </c:pt>
                <c:pt idx="35">
                  <c:v>43.18</c:v>
                </c:pt>
                <c:pt idx="36">
                  <c:v>43.16</c:v>
                </c:pt>
                <c:pt idx="37">
                  <c:v>43.17</c:v>
                </c:pt>
                <c:pt idx="38">
                  <c:v>42.4</c:v>
                </c:pt>
                <c:pt idx="39">
                  <c:v>42.84</c:v>
                </c:pt>
                <c:pt idx="40">
                  <c:v>41.04</c:v>
                </c:pt>
                <c:pt idx="41">
                  <c:v>40.54</c:v>
                </c:pt>
                <c:pt idx="42">
                  <c:v>39.85</c:v>
                </c:pt>
                <c:pt idx="43">
                  <c:v>39.130000000000003</c:v>
                </c:pt>
                <c:pt idx="44">
                  <c:v>39.21</c:v>
                </c:pt>
                <c:pt idx="45">
                  <c:v>39.6</c:v>
                </c:pt>
                <c:pt idx="46">
                  <c:v>39.21</c:v>
                </c:pt>
                <c:pt idx="47">
                  <c:v>38.89</c:v>
                </c:pt>
                <c:pt idx="48">
                  <c:v>37.43</c:v>
                </c:pt>
                <c:pt idx="49">
                  <c:v>36.76</c:v>
                </c:pt>
                <c:pt idx="50">
                  <c:v>38.31</c:v>
                </c:pt>
                <c:pt idx="51">
                  <c:v>39.590000000000003</c:v>
                </c:pt>
                <c:pt idx="52">
                  <c:v>40.26</c:v>
                </c:pt>
                <c:pt idx="53">
                  <c:v>40.520000000000003</c:v>
                </c:pt>
                <c:pt idx="54">
                  <c:v>40.020000000000003</c:v>
                </c:pt>
                <c:pt idx="55">
                  <c:v>39.74</c:v>
                </c:pt>
                <c:pt idx="56">
                  <c:v>39.78</c:v>
                </c:pt>
                <c:pt idx="57">
                  <c:v>39.94</c:v>
                </c:pt>
                <c:pt idx="58">
                  <c:v>39.880000000000003</c:v>
                </c:pt>
                <c:pt idx="59">
                  <c:v>42.16</c:v>
                </c:pt>
                <c:pt idx="60">
                  <c:v>43.63</c:v>
                </c:pt>
                <c:pt idx="61">
                  <c:v>44.19</c:v>
                </c:pt>
                <c:pt idx="62">
                  <c:v>43.5</c:v>
                </c:pt>
                <c:pt idx="63">
                  <c:v>43.07</c:v>
                </c:pt>
                <c:pt idx="64">
                  <c:v>41.77</c:v>
                </c:pt>
                <c:pt idx="66">
                  <c:v>41.69</c:v>
                </c:pt>
                <c:pt idx="67">
                  <c:v>42.17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000680"/>
        <c:axId val="492006168"/>
      </c:lineChart>
      <c:dateAx>
        <c:axId val="492000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006168"/>
        <c:crosses val="autoZero"/>
        <c:auto val="1"/>
        <c:lblOffset val="100"/>
        <c:baseTimeUnit val="days"/>
      </c:dateAx>
      <c:valAx>
        <c:axId val="492006168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000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42615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42608</c:v>
                </c:pt>
                <c:pt idx="6">
                  <c:v>42607</c:v>
                </c:pt>
                <c:pt idx="7">
                  <c:v>42606</c:v>
                </c:pt>
                <c:pt idx="8">
                  <c:v>42605</c:v>
                </c:pt>
                <c:pt idx="9">
                  <c:v>42604</c:v>
                </c:pt>
                <c:pt idx="10">
                  <c:v>42601</c:v>
                </c:pt>
                <c:pt idx="11">
                  <c:v>42600</c:v>
                </c:pt>
                <c:pt idx="12">
                  <c:v>42599</c:v>
                </c:pt>
                <c:pt idx="13">
                  <c:v>42598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42592</c:v>
                </c:pt>
                <c:pt idx="18">
                  <c:v>42591</c:v>
                </c:pt>
                <c:pt idx="19">
                  <c:v>42590</c:v>
                </c:pt>
                <c:pt idx="20">
                  <c:v>42587</c:v>
                </c:pt>
                <c:pt idx="21">
                  <c:v>42586</c:v>
                </c:pt>
                <c:pt idx="22">
                  <c:v>42585</c:v>
                </c:pt>
                <c:pt idx="23">
                  <c:v>42584</c:v>
                </c:pt>
                <c:pt idx="24">
                  <c:v>42583</c:v>
                </c:pt>
                <c:pt idx="25">
                  <c:v>42580</c:v>
                </c:pt>
                <c:pt idx="26">
                  <c:v>42579</c:v>
                </c:pt>
                <c:pt idx="27">
                  <c:v>42578</c:v>
                </c:pt>
                <c:pt idx="28">
                  <c:v>42577</c:v>
                </c:pt>
                <c:pt idx="29">
                  <c:v>42576</c:v>
                </c:pt>
                <c:pt idx="30">
                  <c:v>42573</c:v>
                </c:pt>
                <c:pt idx="31">
                  <c:v>42572</c:v>
                </c:pt>
                <c:pt idx="32">
                  <c:v>42571</c:v>
                </c:pt>
                <c:pt idx="33">
                  <c:v>42570</c:v>
                </c:pt>
                <c:pt idx="34">
                  <c:v>42569</c:v>
                </c:pt>
                <c:pt idx="35">
                  <c:v>42566</c:v>
                </c:pt>
                <c:pt idx="36">
                  <c:v>42565</c:v>
                </c:pt>
                <c:pt idx="37">
                  <c:v>42564</c:v>
                </c:pt>
                <c:pt idx="38">
                  <c:v>42563</c:v>
                </c:pt>
                <c:pt idx="39">
                  <c:v>42562</c:v>
                </c:pt>
                <c:pt idx="40">
                  <c:v>42559</c:v>
                </c:pt>
                <c:pt idx="41">
                  <c:v>42558</c:v>
                </c:pt>
                <c:pt idx="42">
                  <c:v>42557</c:v>
                </c:pt>
                <c:pt idx="43">
                  <c:v>42556</c:v>
                </c:pt>
                <c:pt idx="44">
                  <c:v>42552</c:v>
                </c:pt>
                <c:pt idx="45">
                  <c:v>42551</c:v>
                </c:pt>
                <c:pt idx="46">
                  <c:v>42550</c:v>
                </c:pt>
                <c:pt idx="47">
                  <c:v>42549</c:v>
                </c:pt>
                <c:pt idx="48">
                  <c:v>42548</c:v>
                </c:pt>
                <c:pt idx="49">
                  <c:v>42545</c:v>
                </c:pt>
                <c:pt idx="50">
                  <c:v>42544</c:v>
                </c:pt>
                <c:pt idx="51">
                  <c:v>42543</c:v>
                </c:pt>
                <c:pt idx="52">
                  <c:v>42542</c:v>
                </c:pt>
                <c:pt idx="53">
                  <c:v>42541</c:v>
                </c:pt>
                <c:pt idx="54">
                  <c:v>42538</c:v>
                </c:pt>
                <c:pt idx="55">
                  <c:v>42537</c:v>
                </c:pt>
                <c:pt idx="56">
                  <c:v>42536</c:v>
                </c:pt>
                <c:pt idx="57">
                  <c:v>42535</c:v>
                </c:pt>
                <c:pt idx="58">
                  <c:v>42534</c:v>
                </c:pt>
                <c:pt idx="59">
                  <c:v>42531</c:v>
                </c:pt>
                <c:pt idx="60">
                  <c:v>42530</c:v>
                </c:pt>
                <c:pt idx="61">
                  <c:v>42529</c:v>
                </c:pt>
                <c:pt idx="62">
                  <c:v>42528</c:v>
                </c:pt>
                <c:pt idx="63">
                  <c:v>42527</c:v>
                </c:pt>
                <c:pt idx="64">
                  <c:v>42524</c:v>
                </c:pt>
                <c:pt idx="65">
                  <c:v>42523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55.33</c:v>
                </c:pt>
                <c:pt idx="1">
                  <c:v>55.07</c:v>
                </c:pt>
                <c:pt idx="2">
                  <c:v>54.9</c:v>
                </c:pt>
                <c:pt idx="3">
                  <c:v>54.89</c:v>
                </c:pt>
                <c:pt idx="4">
                  <c:v>55.04</c:v>
                </c:pt>
                <c:pt idx="5">
                  <c:v>55.31</c:v>
                </c:pt>
                <c:pt idx="6">
                  <c:v>54.56</c:v>
                </c:pt>
                <c:pt idx="7">
                  <c:v>53.98</c:v>
                </c:pt>
                <c:pt idx="8">
                  <c:v>53.6</c:v>
                </c:pt>
                <c:pt idx="9">
                  <c:v>52.98</c:v>
                </c:pt>
                <c:pt idx="10">
                  <c:v>52.95</c:v>
                </c:pt>
                <c:pt idx="11">
                  <c:v>52.35</c:v>
                </c:pt>
                <c:pt idx="12">
                  <c:v>52.34</c:v>
                </c:pt>
                <c:pt idx="13">
                  <c:v>52</c:v>
                </c:pt>
                <c:pt idx="14">
                  <c:v>52.05</c:v>
                </c:pt>
                <c:pt idx="15">
                  <c:v>51.97</c:v>
                </c:pt>
                <c:pt idx="16">
                  <c:v>51.41</c:v>
                </c:pt>
                <c:pt idx="17">
                  <c:v>52.02</c:v>
                </c:pt>
                <c:pt idx="18">
                  <c:v>50.22</c:v>
                </c:pt>
                <c:pt idx="19">
                  <c:v>50.21</c:v>
                </c:pt>
                <c:pt idx="20">
                  <c:v>50.66</c:v>
                </c:pt>
                <c:pt idx="21">
                  <c:v>49.43</c:v>
                </c:pt>
                <c:pt idx="22">
                  <c:v>49.44</c:v>
                </c:pt>
                <c:pt idx="23">
                  <c:v>49.96</c:v>
                </c:pt>
                <c:pt idx="24">
                  <c:v>50.6</c:v>
                </c:pt>
                <c:pt idx="25">
                  <c:v>50.53</c:v>
                </c:pt>
                <c:pt idx="26">
                  <c:v>50.69</c:v>
                </c:pt>
                <c:pt idx="27">
                  <c:v>50.51</c:v>
                </c:pt>
                <c:pt idx="28">
                  <c:v>58.09</c:v>
                </c:pt>
                <c:pt idx="29">
                  <c:v>57.9</c:v>
                </c:pt>
                <c:pt idx="30">
                  <c:v>57.89</c:v>
                </c:pt>
                <c:pt idx="31">
                  <c:v>57.2</c:v>
                </c:pt>
                <c:pt idx="32">
                  <c:v>57.83</c:v>
                </c:pt>
                <c:pt idx="33">
                  <c:v>57.45</c:v>
                </c:pt>
                <c:pt idx="34">
                  <c:v>57.47</c:v>
                </c:pt>
                <c:pt idx="35">
                  <c:v>57.25</c:v>
                </c:pt>
                <c:pt idx="36">
                  <c:v>57.43</c:v>
                </c:pt>
                <c:pt idx="37">
                  <c:v>56.86</c:v>
                </c:pt>
                <c:pt idx="38">
                  <c:v>56.16</c:v>
                </c:pt>
                <c:pt idx="39">
                  <c:v>56.24</c:v>
                </c:pt>
                <c:pt idx="40">
                  <c:v>56.38</c:v>
                </c:pt>
                <c:pt idx="41">
                  <c:v>54.94</c:v>
                </c:pt>
                <c:pt idx="42">
                  <c:v>54.96</c:v>
                </c:pt>
                <c:pt idx="43">
                  <c:v>54.25</c:v>
                </c:pt>
                <c:pt idx="44">
                  <c:v>55.5</c:v>
                </c:pt>
                <c:pt idx="45">
                  <c:v>55.93</c:v>
                </c:pt>
                <c:pt idx="46">
                  <c:v>54.56</c:v>
                </c:pt>
                <c:pt idx="47">
                  <c:v>53.05</c:v>
                </c:pt>
                <c:pt idx="48">
                  <c:v>51.16</c:v>
                </c:pt>
                <c:pt idx="49">
                  <c:v>53.35</c:v>
                </c:pt>
                <c:pt idx="50">
                  <c:v>57.17</c:v>
                </c:pt>
                <c:pt idx="51">
                  <c:v>54.7</c:v>
                </c:pt>
                <c:pt idx="52">
                  <c:v>54.7</c:v>
                </c:pt>
                <c:pt idx="53">
                  <c:v>54.14</c:v>
                </c:pt>
                <c:pt idx="54">
                  <c:v>53.19</c:v>
                </c:pt>
                <c:pt idx="55">
                  <c:v>53.71</c:v>
                </c:pt>
                <c:pt idx="56">
                  <c:v>53.27</c:v>
                </c:pt>
                <c:pt idx="57">
                  <c:v>52.66</c:v>
                </c:pt>
                <c:pt idx="58">
                  <c:v>52.21</c:v>
                </c:pt>
                <c:pt idx="59">
                  <c:v>52.73</c:v>
                </c:pt>
                <c:pt idx="60">
                  <c:v>55.44</c:v>
                </c:pt>
                <c:pt idx="61">
                  <c:v>54.92</c:v>
                </c:pt>
                <c:pt idx="62">
                  <c:v>54.85</c:v>
                </c:pt>
                <c:pt idx="63">
                  <c:v>54.53</c:v>
                </c:pt>
                <c:pt idx="64">
                  <c:v>53.55</c:v>
                </c:pt>
                <c:pt idx="65">
                  <c:v>54.9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001856"/>
        <c:axId val="492002248"/>
      </c:lineChart>
      <c:dateAx>
        <c:axId val="4920018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002248"/>
        <c:crosses val="autoZero"/>
        <c:auto val="1"/>
        <c:lblOffset val="100"/>
        <c:baseTimeUnit val="days"/>
      </c:dateAx>
      <c:valAx>
        <c:axId val="49200224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001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42614</c:v>
                </c:pt>
                <c:pt idx="1">
                  <c:v>42613</c:v>
                </c:pt>
                <c:pt idx="2">
                  <c:v>42612</c:v>
                </c:pt>
                <c:pt idx="3">
                  <c:v>42611</c:v>
                </c:pt>
                <c:pt idx="4">
                  <c:v>42608</c:v>
                </c:pt>
                <c:pt idx="5">
                  <c:v>42607</c:v>
                </c:pt>
                <c:pt idx="6">
                  <c:v>42606</c:v>
                </c:pt>
                <c:pt idx="7">
                  <c:v>42605</c:v>
                </c:pt>
                <c:pt idx="8">
                  <c:v>42604</c:v>
                </c:pt>
                <c:pt idx="9">
                  <c:v>42601</c:v>
                </c:pt>
                <c:pt idx="10">
                  <c:v>42600</c:v>
                </c:pt>
                <c:pt idx="11">
                  <c:v>42599</c:v>
                </c:pt>
                <c:pt idx="12">
                  <c:v>42598</c:v>
                </c:pt>
                <c:pt idx="13">
                  <c:v>42597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42592</c:v>
                </c:pt>
                <c:pt idx="18">
                  <c:v>42591</c:v>
                </c:pt>
                <c:pt idx="19">
                  <c:v>42590</c:v>
                </c:pt>
                <c:pt idx="20">
                  <c:v>42587</c:v>
                </c:pt>
                <c:pt idx="21">
                  <c:v>42586</c:v>
                </c:pt>
                <c:pt idx="22">
                  <c:v>42585</c:v>
                </c:pt>
                <c:pt idx="23">
                  <c:v>42584</c:v>
                </c:pt>
                <c:pt idx="24">
                  <c:v>42583</c:v>
                </c:pt>
                <c:pt idx="25">
                  <c:v>42580</c:v>
                </c:pt>
                <c:pt idx="26">
                  <c:v>42579</c:v>
                </c:pt>
                <c:pt idx="27">
                  <c:v>42578</c:v>
                </c:pt>
                <c:pt idx="28">
                  <c:v>42577</c:v>
                </c:pt>
                <c:pt idx="29">
                  <c:v>42576</c:v>
                </c:pt>
                <c:pt idx="30">
                  <c:v>42573</c:v>
                </c:pt>
                <c:pt idx="31">
                  <c:v>42572</c:v>
                </c:pt>
                <c:pt idx="32">
                  <c:v>42571</c:v>
                </c:pt>
                <c:pt idx="33">
                  <c:v>42570</c:v>
                </c:pt>
                <c:pt idx="34">
                  <c:v>42569</c:v>
                </c:pt>
                <c:pt idx="35">
                  <c:v>42566</c:v>
                </c:pt>
                <c:pt idx="36">
                  <c:v>42565</c:v>
                </c:pt>
                <c:pt idx="37">
                  <c:v>42564</c:v>
                </c:pt>
                <c:pt idx="38">
                  <c:v>42563</c:v>
                </c:pt>
                <c:pt idx="39">
                  <c:v>42562</c:v>
                </c:pt>
                <c:pt idx="40">
                  <c:v>42559</c:v>
                </c:pt>
                <c:pt idx="41">
                  <c:v>42558</c:v>
                </c:pt>
                <c:pt idx="42">
                  <c:v>42557</c:v>
                </c:pt>
                <c:pt idx="43">
                  <c:v>42556</c:v>
                </c:pt>
                <c:pt idx="44">
                  <c:v>42552</c:v>
                </c:pt>
                <c:pt idx="45">
                  <c:v>42551</c:v>
                </c:pt>
                <c:pt idx="46">
                  <c:v>42550</c:v>
                </c:pt>
                <c:pt idx="47">
                  <c:v>42549</c:v>
                </c:pt>
                <c:pt idx="48">
                  <c:v>42548</c:v>
                </c:pt>
                <c:pt idx="49">
                  <c:v>42545</c:v>
                </c:pt>
                <c:pt idx="50">
                  <c:v>42544</c:v>
                </c:pt>
                <c:pt idx="51">
                  <c:v>42543</c:v>
                </c:pt>
                <c:pt idx="52">
                  <c:v>42542</c:v>
                </c:pt>
                <c:pt idx="53">
                  <c:v>42541</c:v>
                </c:pt>
                <c:pt idx="54">
                  <c:v>42538</c:v>
                </c:pt>
                <c:pt idx="55">
                  <c:v>42537</c:v>
                </c:pt>
                <c:pt idx="56">
                  <c:v>42536</c:v>
                </c:pt>
                <c:pt idx="57">
                  <c:v>42535</c:v>
                </c:pt>
                <c:pt idx="58">
                  <c:v>42534</c:v>
                </c:pt>
                <c:pt idx="59">
                  <c:v>42531</c:v>
                </c:pt>
                <c:pt idx="60">
                  <c:v>42530</c:v>
                </c:pt>
                <c:pt idx="61">
                  <c:v>42529</c:v>
                </c:pt>
                <c:pt idx="62">
                  <c:v>42528</c:v>
                </c:pt>
                <c:pt idx="63">
                  <c:v>42527</c:v>
                </c:pt>
                <c:pt idx="64">
                  <c:v>42524</c:v>
                </c:pt>
                <c:pt idx="65">
                  <c:v>42523</c:v>
                </c:pt>
                <c:pt idx="66">
                  <c:v>42522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15.11</c:v>
                </c:pt>
                <c:pt idx="1">
                  <c:v>15.02</c:v>
                </c:pt>
                <c:pt idx="2">
                  <c:v>15.55</c:v>
                </c:pt>
                <c:pt idx="3">
                  <c:v>15.99</c:v>
                </c:pt>
                <c:pt idx="4">
                  <c:v>15.95</c:v>
                </c:pt>
                <c:pt idx="5">
                  <c:v>16.010000000000002</c:v>
                </c:pt>
                <c:pt idx="6">
                  <c:v>16.059999999999999</c:v>
                </c:pt>
                <c:pt idx="7">
                  <c:v>16.43</c:v>
                </c:pt>
                <c:pt idx="8">
                  <c:v>15.64</c:v>
                </c:pt>
                <c:pt idx="9">
                  <c:v>16.8</c:v>
                </c:pt>
                <c:pt idx="10">
                  <c:v>16.68</c:v>
                </c:pt>
                <c:pt idx="11">
                  <c:v>15.7</c:v>
                </c:pt>
                <c:pt idx="12">
                  <c:v>15.17</c:v>
                </c:pt>
                <c:pt idx="13">
                  <c:v>14.9</c:v>
                </c:pt>
                <c:pt idx="15">
                  <c:v>14.72</c:v>
                </c:pt>
                <c:pt idx="16">
                  <c:v>14.45</c:v>
                </c:pt>
                <c:pt idx="17">
                  <c:v>13.98</c:v>
                </c:pt>
                <c:pt idx="18">
                  <c:v>14.42</c:v>
                </c:pt>
                <c:pt idx="19">
                  <c:v>14.25</c:v>
                </c:pt>
                <c:pt idx="20">
                  <c:v>13.87</c:v>
                </c:pt>
                <c:pt idx="21">
                  <c:v>13.41</c:v>
                </c:pt>
                <c:pt idx="22">
                  <c:v>13.42</c:v>
                </c:pt>
                <c:pt idx="23">
                  <c:v>12.9</c:v>
                </c:pt>
                <c:pt idx="24">
                  <c:v>12.92</c:v>
                </c:pt>
                <c:pt idx="25">
                  <c:v>13.64</c:v>
                </c:pt>
                <c:pt idx="26">
                  <c:v>13.35</c:v>
                </c:pt>
                <c:pt idx="27">
                  <c:v>13.13</c:v>
                </c:pt>
                <c:pt idx="28">
                  <c:v>13.78</c:v>
                </c:pt>
                <c:pt idx="29">
                  <c:v>13.58</c:v>
                </c:pt>
                <c:pt idx="30">
                  <c:v>14.11</c:v>
                </c:pt>
                <c:pt idx="31">
                  <c:v>14.42</c:v>
                </c:pt>
                <c:pt idx="32">
                  <c:v>14.84</c:v>
                </c:pt>
                <c:pt idx="33">
                  <c:v>14.75</c:v>
                </c:pt>
                <c:pt idx="34">
                  <c:v>15.18</c:v>
                </c:pt>
                <c:pt idx="35">
                  <c:v>15.21</c:v>
                </c:pt>
                <c:pt idx="36">
                  <c:v>15.27</c:v>
                </c:pt>
                <c:pt idx="37">
                  <c:v>15.29</c:v>
                </c:pt>
                <c:pt idx="38">
                  <c:v>15.6</c:v>
                </c:pt>
                <c:pt idx="39">
                  <c:v>14.69</c:v>
                </c:pt>
                <c:pt idx="40">
                  <c:v>14.92</c:v>
                </c:pt>
                <c:pt idx="41">
                  <c:v>14.74</c:v>
                </c:pt>
                <c:pt idx="42">
                  <c:v>14.84</c:v>
                </c:pt>
                <c:pt idx="43">
                  <c:v>14.72</c:v>
                </c:pt>
                <c:pt idx="44">
                  <c:v>15.68</c:v>
                </c:pt>
                <c:pt idx="45">
                  <c:v>15.01</c:v>
                </c:pt>
                <c:pt idx="46">
                  <c:v>15.14</c:v>
                </c:pt>
                <c:pt idx="47">
                  <c:v>14.78</c:v>
                </c:pt>
                <c:pt idx="48">
                  <c:v>13.66</c:v>
                </c:pt>
                <c:pt idx="49">
                  <c:v>14.59</c:v>
                </c:pt>
                <c:pt idx="50">
                  <c:v>15.27</c:v>
                </c:pt>
                <c:pt idx="51">
                  <c:v>14.75</c:v>
                </c:pt>
                <c:pt idx="52">
                  <c:v>15.09</c:v>
                </c:pt>
                <c:pt idx="53">
                  <c:v>14.48</c:v>
                </c:pt>
                <c:pt idx="54">
                  <c:v>13.16</c:v>
                </c:pt>
                <c:pt idx="55">
                  <c:v>12.67</c:v>
                </c:pt>
                <c:pt idx="56">
                  <c:v>13.06</c:v>
                </c:pt>
                <c:pt idx="57">
                  <c:v>13.23</c:v>
                </c:pt>
                <c:pt idx="58">
                  <c:v>13.28</c:v>
                </c:pt>
                <c:pt idx="59">
                  <c:v>13.42</c:v>
                </c:pt>
                <c:pt idx="60">
                  <c:v>14.26</c:v>
                </c:pt>
                <c:pt idx="61">
                  <c:v>14.53</c:v>
                </c:pt>
                <c:pt idx="62">
                  <c:v>14.62</c:v>
                </c:pt>
                <c:pt idx="63">
                  <c:v>13.96</c:v>
                </c:pt>
                <c:pt idx="64">
                  <c:v>13.32</c:v>
                </c:pt>
                <c:pt idx="65">
                  <c:v>13.38</c:v>
                </c:pt>
                <c:pt idx="66">
                  <c:v>13.23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004208"/>
        <c:axId val="492009696"/>
      </c:lineChart>
      <c:dateAx>
        <c:axId val="49200420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009696"/>
        <c:crosses val="autoZero"/>
        <c:auto val="1"/>
        <c:lblOffset val="100"/>
        <c:baseTimeUnit val="days"/>
      </c:dateAx>
      <c:valAx>
        <c:axId val="492009696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004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42615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42608</c:v>
                </c:pt>
                <c:pt idx="6">
                  <c:v>42607</c:v>
                </c:pt>
                <c:pt idx="7">
                  <c:v>42606</c:v>
                </c:pt>
                <c:pt idx="8">
                  <c:v>42605</c:v>
                </c:pt>
                <c:pt idx="9">
                  <c:v>42604</c:v>
                </c:pt>
                <c:pt idx="10">
                  <c:v>42601</c:v>
                </c:pt>
                <c:pt idx="11">
                  <c:v>42600</c:v>
                </c:pt>
                <c:pt idx="12">
                  <c:v>42599</c:v>
                </c:pt>
                <c:pt idx="13">
                  <c:v>42598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42593</c:v>
                </c:pt>
                <c:pt idx="18">
                  <c:v>42592</c:v>
                </c:pt>
                <c:pt idx="19">
                  <c:v>42591</c:v>
                </c:pt>
                <c:pt idx="20">
                  <c:v>42590</c:v>
                </c:pt>
                <c:pt idx="21">
                  <c:v>42587</c:v>
                </c:pt>
                <c:pt idx="22">
                  <c:v>42586</c:v>
                </c:pt>
                <c:pt idx="23">
                  <c:v>42585</c:v>
                </c:pt>
                <c:pt idx="24">
                  <c:v>42584</c:v>
                </c:pt>
                <c:pt idx="25">
                  <c:v>42583</c:v>
                </c:pt>
                <c:pt idx="26">
                  <c:v>42580</c:v>
                </c:pt>
                <c:pt idx="27">
                  <c:v>42579</c:v>
                </c:pt>
                <c:pt idx="28">
                  <c:v>42578</c:v>
                </c:pt>
                <c:pt idx="29">
                  <c:v>42577</c:v>
                </c:pt>
                <c:pt idx="30">
                  <c:v>42576</c:v>
                </c:pt>
                <c:pt idx="31">
                  <c:v>42573</c:v>
                </c:pt>
                <c:pt idx="32">
                  <c:v>42572</c:v>
                </c:pt>
                <c:pt idx="33">
                  <c:v>42571</c:v>
                </c:pt>
                <c:pt idx="34">
                  <c:v>42570</c:v>
                </c:pt>
                <c:pt idx="35">
                  <c:v>42569</c:v>
                </c:pt>
                <c:pt idx="36">
                  <c:v>42566</c:v>
                </c:pt>
                <c:pt idx="37">
                  <c:v>42565</c:v>
                </c:pt>
                <c:pt idx="38">
                  <c:v>42564</c:v>
                </c:pt>
                <c:pt idx="39">
                  <c:v>42563</c:v>
                </c:pt>
                <c:pt idx="40">
                  <c:v>42562</c:v>
                </c:pt>
                <c:pt idx="41">
                  <c:v>42559</c:v>
                </c:pt>
                <c:pt idx="42">
                  <c:v>42558</c:v>
                </c:pt>
                <c:pt idx="43">
                  <c:v>42557</c:v>
                </c:pt>
                <c:pt idx="44">
                  <c:v>42556</c:v>
                </c:pt>
                <c:pt idx="45">
                  <c:v>42552</c:v>
                </c:pt>
                <c:pt idx="46">
                  <c:v>42551</c:v>
                </c:pt>
                <c:pt idx="47">
                  <c:v>42550</c:v>
                </c:pt>
                <c:pt idx="48">
                  <c:v>42549</c:v>
                </c:pt>
                <c:pt idx="49">
                  <c:v>42548</c:v>
                </c:pt>
                <c:pt idx="50">
                  <c:v>42545</c:v>
                </c:pt>
                <c:pt idx="51">
                  <c:v>42544</c:v>
                </c:pt>
                <c:pt idx="52">
                  <c:v>42543</c:v>
                </c:pt>
                <c:pt idx="53">
                  <c:v>42542</c:v>
                </c:pt>
                <c:pt idx="54">
                  <c:v>42541</c:v>
                </c:pt>
                <c:pt idx="55">
                  <c:v>42538</c:v>
                </c:pt>
                <c:pt idx="56">
                  <c:v>42537</c:v>
                </c:pt>
                <c:pt idx="57">
                  <c:v>42536</c:v>
                </c:pt>
                <c:pt idx="58">
                  <c:v>42535</c:v>
                </c:pt>
                <c:pt idx="59">
                  <c:v>42534</c:v>
                </c:pt>
                <c:pt idx="60">
                  <c:v>42531</c:v>
                </c:pt>
                <c:pt idx="61">
                  <c:v>42530</c:v>
                </c:pt>
                <c:pt idx="62">
                  <c:v>42529</c:v>
                </c:pt>
                <c:pt idx="63">
                  <c:v>42528</c:v>
                </c:pt>
                <c:pt idx="64">
                  <c:v>42527</c:v>
                </c:pt>
                <c:pt idx="65">
                  <c:v>42524</c:v>
                </c:pt>
                <c:pt idx="66">
                  <c:v>42523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32.5</c:v>
                </c:pt>
                <c:pt idx="1">
                  <c:v>31.96</c:v>
                </c:pt>
                <c:pt idx="2">
                  <c:v>31.99</c:v>
                </c:pt>
                <c:pt idx="3">
                  <c:v>32.159999999999997</c:v>
                </c:pt>
                <c:pt idx="4">
                  <c:v>32.33</c:v>
                </c:pt>
                <c:pt idx="5">
                  <c:v>32.68</c:v>
                </c:pt>
                <c:pt idx="6">
                  <c:v>32.76</c:v>
                </c:pt>
                <c:pt idx="7">
                  <c:v>32.99</c:v>
                </c:pt>
                <c:pt idx="8">
                  <c:v>32.25</c:v>
                </c:pt>
                <c:pt idx="9">
                  <c:v>32.86</c:v>
                </c:pt>
                <c:pt idx="10">
                  <c:v>32.61</c:v>
                </c:pt>
                <c:pt idx="11">
                  <c:v>32.46</c:v>
                </c:pt>
                <c:pt idx="12">
                  <c:v>31.88</c:v>
                </c:pt>
                <c:pt idx="13">
                  <c:v>32.1</c:v>
                </c:pt>
                <c:pt idx="14">
                  <c:v>32.729999999999997</c:v>
                </c:pt>
                <c:pt idx="15">
                  <c:v>32.58</c:v>
                </c:pt>
                <c:pt idx="16">
                  <c:v>32.299999999999997</c:v>
                </c:pt>
                <c:pt idx="18">
                  <c:v>32.5</c:v>
                </c:pt>
                <c:pt idx="19">
                  <c:v>32.29</c:v>
                </c:pt>
                <c:pt idx="20">
                  <c:v>32.31</c:v>
                </c:pt>
                <c:pt idx="21">
                  <c:v>32.619999999999997</c:v>
                </c:pt>
                <c:pt idx="22">
                  <c:v>32.549999999999997</c:v>
                </c:pt>
                <c:pt idx="23">
                  <c:v>33.200000000000003</c:v>
                </c:pt>
                <c:pt idx="24">
                  <c:v>32.61</c:v>
                </c:pt>
                <c:pt idx="25">
                  <c:v>34.01</c:v>
                </c:pt>
                <c:pt idx="26">
                  <c:v>34.19</c:v>
                </c:pt>
                <c:pt idx="27">
                  <c:v>34.4</c:v>
                </c:pt>
                <c:pt idx="28">
                  <c:v>35.57</c:v>
                </c:pt>
                <c:pt idx="29">
                  <c:v>36.42</c:v>
                </c:pt>
                <c:pt idx="30">
                  <c:v>35.79</c:v>
                </c:pt>
                <c:pt idx="31">
                  <c:v>35.979999999999997</c:v>
                </c:pt>
                <c:pt idx="32">
                  <c:v>35.96</c:v>
                </c:pt>
                <c:pt idx="33">
                  <c:v>36.4</c:v>
                </c:pt>
                <c:pt idx="34">
                  <c:v>36.21</c:v>
                </c:pt>
                <c:pt idx="35">
                  <c:v>36.340000000000003</c:v>
                </c:pt>
                <c:pt idx="36">
                  <c:v>36.71</c:v>
                </c:pt>
                <c:pt idx="37">
                  <c:v>37.299999999999997</c:v>
                </c:pt>
                <c:pt idx="38">
                  <c:v>37.479999999999997</c:v>
                </c:pt>
                <c:pt idx="39">
                  <c:v>37.39</c:v>
                </c:pt>
                <c:pt idx="40">
                  <c:v>37.54</c:v>
                </c:pt>
                <c:pt idx="41">
                  <c:v>37.86</c:v>
                </c:pt>
                <c:pt idx="42">
                  <c:v>37.32</c:v>
                </c:pt>
                <c:pt idx="43">
                  <c:v>37.58</c:v>
                </c:pt>
                <c:pt idx="44">
                  <c:v>37.33</c:v>
                </c:pt>
                <c:pt idx="45">
                  <c:v>36.549999999999997</c:v>
                </c:pt>
                <c:pt idx="46">
                  <c:v>36.79</c:v>
                </c:pt>
                <c:pt idx="47">
                  <c:v>36.450000000000003</c:v>
                </c:pt>
                <c:pt idx="48">
                  <c:v>36.049999999999997</c:v>
                </c:pt>
                <c:pt idx="49">
                  <c:v>36.619999999999997</c:v>
                </c:pt>
                <c:pt idx="50">
                  <c:v>35.14</c:v>
                </c:pt>
                <c:pt idx="51">
                  <c:v>34.67</c:v>
                </c:pt>
                <c:pt idx="52">
                  <c:v>34.22</c:v>
                </c:pt>
                <c:pt idx="53">
                  <c:v>34.47</c:v>
                </c:pt>
                <c:pt idx="54">
                  <c:v>34.71</c:v>
                </c:pt>
                <c:pt idx="55">
                  <c:v>35.18</c:v>
                </c:pt>
                <c:pt idx="56">
                  <c:v>35.47</c:v>
                </c:pt>
                <c:pt idx="57">
                  <c:v>35.71</c:v>
                </c:pt>
                <c:pt idx="58">
                  <c:v>35.76</c:v>
                </c:pt>
                <c:pt idx="59">
                  <c:v>36.14</c:v>
                </c:pt>
                <c:pt idx="60">
                  <c:v>36.81</c:v>
                </c:pt>
                <c:pt idx="61">
                  <c:v>36.58</c:v>
                </c:pt>
                <c:pt idx="62">
                  <c:v>36.520000000000003</c:v>
                </c:pt>
                <c:pt idx="63">
                  <c:v>36.29</c:v>
                </c:pt>
                <c:pt idx="64">
                  <c:v>36.020000000000003</c:v>
                </c:pt>
                <c:pt idx="65">
                  <c:v>36.25</c:v>
                </c:pt>
                <c:pt idx="66">
                  <c:v>36.44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774624"/>
        <c:axId val="514775016"/>
      </c:lineChart>
      <c:dateAx>
        <c:axId val="514774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75016"/>
        <c:crosses val="autoZero"/>
        <c:auto val="1"/>
        <c:lblOffset val="100"/>
        <c:baseTimeUnit val="days"/>
      </c:dateAx>
      <c:valAx>
        <c:axId val="514775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74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42615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42608</c:v>
                </c:pt>
                <c:pt idx="6">
                  <c:v>42607</c:v>
                </c:pt>
                <c:pt idx="7">
                  <c:v>42606</c:v>
                </c:pt>
                <c:pt idx="8">
                  <c:v>42605</c:v>
                </c:pt>
                <c:pt idx="9">
                  <c:v>42604</c:v>
                </c:pt>
                <c:pt idx="10">
                  <c:v>42601</c:v>
                </c:pt>
                <c:pt idx="11">
                  <c:v>42600</c:v>
                </c:pt>
                <c:pt idx="12">
                  <c:v>42599</c:v>
                </c:pt>
                <c:pt idx="13">
                  <c:v>42598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42592</c:v>
                </c:pt>
                <c:pt idx="18">
                  <c:v>42591</c:v>
                </c:pt>
                <c:pt idx="19">
                  <c:v>42590</c:v>
                </c:pt>
                <c:pt idx="20">
                  <c:v>42587</c:v>
                </c:pt>
                <c:pt idx="21">
                  <c:v>42586</c:v>
                </c:pt>
                <c:pt idx="22">
                  <c:v>42585</c:v>
                </c:pt>
                <c:pt idx="23">
                  <c:v>42584</c:v>
                </c:pt>
                <c:pt idx="24">
                  <c:v>42583</c:v>
                </c:pt>
                <c:pt idx="25">
                  <c:v>42580</c:v>
                </c:pt>
                <c:pt idx="26">
                  <c:v>42579</c:v>
                </c:pt>
                <c:pt idx="27">
                  <c:v>42578</c:v>
                </c:pt>
                <c:pt idx="28">
                  <c:v>42577</c:v>
                </c:pt>
                <c:pt idx="29">
                  <c:v>42577</c:v>
                </c:pt>
                <c:pt idx="30">
                  <c:v>42576</c:v>
                </c:pt>
                <c:pt idx="31">
                  <c:v>42573</c:v>
                </c:pt>
                <c:pt idx="32">
                  <c:v>42572</c:v>
                </c:pt>
                <c:pt idx="33">
                  <c:v>42571</c:v>
                </c:pt>
                <c:pt idx="34">
                  <c:v>42570</c:v>
                </c:pt>
                <c:pt idx="35">
                  <c:v>42569</c:v>
                </c:pt>
                <c:pt idx="36">
                  <c:v>42566</c:v>
                </c:pt>
                <c:pt idx="37">
                  <c:v>42565</c:v>
                </c:pt>
                <c:pt idx="38">
                  <c:v>42564</c:v>
                </c:pt>
                <c:pt idx="39">
                  <c:v>42563</c:v>
                </c:pt>
                <c:pt idx="40">
                  <c:v>42562</c:v>
                </c:pt>
                <c:pt idx="41">
                  <c:v>42559</c:v>
                </c:pt>
                <c:pt idx="42">
                  <c:v>42558</c:v>
                </c:pt>
                <c:pt idx="43">
                  <c:v>42557</c:v>
                </c:pt>
                <c:pt idx="44">
                  <c:v>42556</c:v>
                </c:pt>
                <c:pt idx="45">
                  <c:v>42552</c:v>
                </c:pt>
                <c:pt idx="46">
                  <c:v>42551</c:v>
                </c:pt>
                <c:pt idx="47">
                  <c:v>42550</c:v>
                </c:pt>
                <c:pt idx="48">
                  <c:v>42549</c:v>
                </c:pt>
                <c:pt idx="49">
                  <c:v>42548</c:v>
                </c:pt>
                <c:pt idx="50">
                  <c:v>42545</c:v>
                </c:pt>
                <c:pt idx="51">
                  <c:v>42544</c:v>
                </c:pt>
                <c:pt idx="52">
                  <c:v>42543</c:v>
                </c:pt>
                <c:pt idx="53">
                  <c:v>42542</c:v>
                </c:pt>
                <c:pt idx="54">
                  <c:v>42541</c:v>
                </c:pt>
                <c:pt idx="55">
                  <c:v>42538</c:v>
                </c:pt>
                <c:pt idx="56">
                  <c:v>42537</c:v>
                </c:pt>
                <c:pt idx="57">
                  <c:v>42536</c:v>
                </c:pt>
                <c:pt idx="58">
                  <c:v>42535</c:v>
                </c:pt>
                <c:pt idx="59">
                  <c:v>42534</c:v>
                </c:pt>
                <c:pt idx="60">
                  <c:v>42531</c:v>
                </c:pt>
                <c:pt idx="61">
                  <c:v>42530</c:v>
                </c:pt>
                <c:pt idx="62">
                  <c:v>42529</c:v>
                </c:pt>
                <c:pt idx="63">
                  <c:v>42528</c:v>
                </c:pt>
                <c:pt idx="64">
                  <c:v>42527</c:v>
                </c:pt>
                <c:pt idx="65">
                  <c:v>42524</c:v>
                </c:pt>
                <c:pt idx="66">
                  <c:v>42523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12.5</c:v>
                </c:pt>
                <c:pt idx="1">
                  <c:v>12.44</c:v>
                </c:pt>
                <c:pt idx="2">
                  <c:v>12.6</c:v>
                </c:pt>
                <c:pt idx="3">
                  <c:v>12.55</c:v>
                </c:pt>
                <c:pt idx="4">
                  <c:v>12.47</c:v>
                </c:pt>
                <c:pt idx="5">
                  <c:v>12.38</c:v>
                </c:pt>
                <c:pt idx="6">
                  <c:v>12.47</c:v>
                </c:pt>
                <c:pt idx="7">
                  <c:v>12.3</c:v>
                </c:pt>
                <c:pt idx="8">
                  <c:v>12.42</c:v>
                </c:pt>
                <c:pt idx="9">
                  <c:v>12.36</c:v>
                </c:pt>
                <c:pt idx="10">
                  <c:v>12.39</c:v>
                </c:pt>
                <c:pt idx="11">
                  <c:v>12.33</c:v>
                </c:pt>
                <c:pt idx="12">
                  <c:v>12.39</c:v>
                </c:pt>
                <c:pt idx="13">
                  <c:v>12.34</c:v>
                </c:pt>
                <c:pt idx="14">
                  <c:v>12.43</c:v>
                </c:pt>
                <c:pt idx="15">
                  <c:v>12.33</c:v>
                </c:pt>
                <c:pt idx="16">
                  <c:v>12.31</c:v>
                </c:pt>
                <c:pt idx="17">
                  <c:v>12.25</c:v>
                </c:pt>
                <c:pt idx="18">
                  <c:v>12.31</c:v>
                </c:pt>
                <c:pt idx="19">
                  <c:v>12.18</c:v>
                </c:pt>
                <c:pt idx="20">
                  <c:v>12.19</c:v>
                </c:pt>
                <c:pt idx="21">
                  <c:v>12.08</c:v>
                </c:pt>
                <c:pt idx="22">
                  <c:v>12.13</c:v>
                </c:pt>
                <c:pt idx="23">
                  <c:v>11.94</c:v>
                </c:pt>
                <c:pt idx="24">
                  <c:v>12.48</c:v>
                </c:pt>
                <c:pt idx="25">
                  <c:v>12.66</c:v>
                </c:pt>
                <c:pt idx="26">
                  <c:v>12.71</c:v>
                </c:pt>
                <c:pt idx="27">
                  <c:v>13.84</c:v>
                </c:pt>
                <c:pt idx="28">
                  <c:v>13.86</c:v>
                </c:pt>
                <c:pt idx="30">
                  <c:v>13.83</c:v>
                </c:pt>
                <c:pt idx="31">
                  <c:v>13.84</c:v>
                </c:pt>
                <c:pt idx="32">
                  <c:v>13.92</c:v>
                </c:pt>
                <c:pt idx="33">
                  <c:v>13.74</c:v>
                </c:pt>
                <c:pt idx="34">
                  <c:v>13.65</c:v>
                </c:pt>
                <c:pt idx="35">
                  <c:v>13.65</c:v>
                </c:pt>
                <c:pt idx="36">
                  <c:v>13.57</c:v>
                </c:pt>
                <c:pt idx="37">
                  <c:v>13.59</c:v>
                </c:pt>
                <c:pt idx="38">
                  <c:v>13.48</c:v>
                </c:pt>
                <c:pt idx="39">
                  <c:v>13.45</c:v>
                </c:pt>
                <c:pt idx="40">
                  <c:v>13.27</c:v>
                </c:pt>
                <c:pt idx="41">
                  <c:v>13.09</c:v>
                </c:pt>
                <c:pt idx="42">
                  <c:v>12.75</c:v>
                </c:pt>
                <c:pt idx="43">
                  <c:v>12.57</c:v>
                </c:pt>
                <c:pt idx="44">
                  <c:v>12.4</c:v>
                </c:pt>
                <c:pt idx="45">
                  <c:v>12.72</c:v>
                </c:pt>
                <c:pt idx="46">
                  <c:v>12.57</c:v>
                </c:pt>
                <c:pt idx="47">
                  <c:v>12.55</c:v>
                </c:pt>
                <c:pt idx="48">
                  <c:v>12.39</c:v>
                </c:pt>
                <c:pt idx="49">
                  <c:v>12.16</c:v>
                </c:pt>
                <c:pt idx="50">
                  <c:v>12.52</c:v>
                </c:pt>
                <c:pt idx="51">
                  <c:v>13.4</c:v>
                </c:pt>
                <c:pt idx="52">
                  <c:v>13.18</c:v>
                </c:pt>
                <c:pt idx="53">
                  <c:v>13.22</c:v>
                </c:pt>
                <c:pt idx="54">
                  <c:v>13.42</c:v>
                </c:pt>
                <c:pt idx="55">
                  <c:v>13.26</c:v>
                </c:pt>
                <c:pt idx="56">
                  <c:v>13.12</c:v>
                </c:pt>
                <c:pt idx="57">
                  <c:v>13.01</c:v>
                </c:pt>
                <c:pt idx="58">
                  <c:v>12.84</c:v>
                </c:pt>
                <c:pt idx="59">
                  <c:v>12.98</c:v>
                </c:pt>
                <c:pt idx="60">
                  <c:v>13.1</c:v>
                </c:pt>
                <c:pt idx="61">
                  <c:v>13.26</c:v>
                </c:pt>
                <c:pt idx="62">
                  <c:v>13.36</c:v>
                </c:pt>
                <c:pt idx="63">
                  <c:v>13.38</c:v>
                </c:pt>
                <c:pt idx="64">
                  <c:v>13.18</c:v>
                </c:pt>
                <c:pt idx="65">
                  <c:v>13.04</c:v>
                </c:pt>
                <c:pt idx="66">
                  <c:v>13.21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778152"/>
        <c:axId val="514776584"/>
      </c:lineChart>
      <c:dateAx>
        <c:axId val="514778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76584"/>
        <c:crosses val="autoZero"/>
        <c:auto val="1"/>
        <c:lblOffset val="100"/>
        <c:baseTimeUnit val="days"/>
      </c:dateAx>
      <c:valAx>
        <c:axId val="514776584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78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42615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42608</c:v>
                </c:pt>
                <c:pt idx="6">
                  <c:v>42607</c:v>
                </c:pt>
                <c:pt idx="7">
                  <c:v>42606</c:v>
                </c:pt>
                <c:pt idx="8">
                  <c:v>42605</c:v>
                </c:pt>
                <c:pt idx="9">
                  <c:v>42604</c:v>
                </c:pt>
                <c:pt idx="10">
                  <c:v>42601</c:v>
                </c:pt>
                <c:pt idx="11">
                  <c:v>42600</c:v>
                </c:pt>
                <c:pt idx="12">
                  <c:v>42599</c:v>
                </c:pt>
                <c:pt idx="13">
                  <c:v>42598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42592</c:v>
                </c:pt>
                <c:pt idx="18">
                  <c:v>42591</c:v>
                </c:pt>
                <c:pt idx="19">
                  <c:v>42590</c:v>
                </c:pt>
                <c:pt idx="20">
                  <c:v>42587</c:v>
                </c:pt>
                <c:pt idx="21">
                  <c:v>42586</c:v>
                </c:pt>
                <c:pt idx="22">
                  <c:v>42585</c:v>
                </c:pt>
                <c:pt idx="23">
                  <c:v>42584</c:v>
                </c:pt>
                <c:pt idx="24">
                  <c:v>42583</c:v>
                </c:pt>
                <c:pt idx="25">
                  <c:v>42580</c:v>
                </c:pt>
                <c:pt idx="26">
                  <c:v>42579</c:v>
                </c:pt>
                <c:pt idx="27">
                  <c:v>42578</c:v>
                </c:pt>
                <c:pt idx="28">
                  <c:v>42577</c:v>
                </c:pt>
                <c:pt idx="29">
                  <c:v>42576</c:v>
                </c:pt>
                <c:pt idx="30">
                  <c:v>42573</c:v>
                </c:pt>
                <c:pt idx="31">
                  <c:v>42572</c:v>
                </c:pt>
                <c:pt idx="32">
                  <c:v>42571</c:v>
                </c:pt>
                <c:pt idx="33">
                  <c:v>42570</c:v>
                </c:pt>
                <c:pt idx="34">
                  <c:v>42569</c:v>
                </c:pt>
                <c:pt idx="35">
                  <c:v>42566</c:v>
                </c:pt>
                <c:pt idx="36">
                  <c:v>42565</c:v>
                </c:pt>
                <c:pt idx="37">
                  <c:v>42564</c:v>
                </c:pt>
                <c:pt idx="38">
                  <c:v>42563</c:v>
                </c:pt>
                <c:pt idx="39">
                  <c:v>42562</c:v>
                </c:pt>
                <c:pt idx="40">
                  <c:v>42559</c:v>
                </c:pt>
                <c:pt idx="41">
                  <c:v>42558</c:v>
                </c:pt>
                <c:pt idx="42">
                  <c:v>42557</c:v>
                </c:pt>
                <c:pt idx="43">
                  <c:v>42556</c:v>
                </c:pt>
                <c:pt idx="44">
                  <c:v>42552</c:v>
                </c:pt>
                <c:pt idx="45">
                  <c:v>42551</c:v>
                </c:pt>
                <c:pt idx="46">
                  <c:v>42550</c:v>
                </c:pt>
                <c:pt idx="47">
                  <c:v>42549</c:v>
                </c:pt>
                <c:pt idx="48">
                  <c:v>42548</c:v>
                </c:pt>
                <c:pt idx="49">
                  <c:v>42545</c:v>
                </c:pt>
                <c:pt idx="50">
                  <c:v>42544</c:v>
                </c:pt>
                <c:pt idx="51">
                  <c:v>42543</c:v>
                </c:pt>
                <c:pt idx="52">
                  <c:v>42542</c:v>
                </c:pt>
                <c:pt idx="53">
                  <c:v>42541</c:v>
                </c:pt>
                <c:pt idx="54">
                  <c:v>42538</c:v>
                </c:pt>
                <c:pt idx="55">
                  <c:v>42537</c:v>
                </c:pt>
                <c:pt idx="56">
                  <c:v>42536</c:v>
                </c:pt>
                <c:pt idx="57">
                  <c:v>42535</c:v>
                </c:pt>
                <c:pt idx="58">
                  <c:v>42534</c:v>
                </c:pt>
                <c:pt idx="59">
                  <c:v>42531</c:v>
                </c:pt>
                <c:pt idx="60">
                  <c:v>42530</c:v>
                </c:pt>
                <c:pt idx="61">
                  <c:v>42529</c:v>
                </c:pt>
                <c:pt idx="62">
                  <c:v>42528</c:v>
                </c:pt>
                <c:pt idx="63">
                  <c:v>42527</c:v>
                </c:pt>
                <c:pt idx="64">
                  <c:v>42524</c:v>
                </c:pt>
                <c:pt idx="65">
                  <c:v>42523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12.48</c:v>
                </c:pt>
                <c:pt idx="1">
                  <c:v>12.13</c:v>
                </c:pt>
                <c:pt idx="2">
                  <c:v>12.48</c:v>
                </c:pt>
                <c:pt idx="3">
                  <c:v>12.41</c:v>
                </c:pt>
                <c:pt idx="4">
                  <c:v>12.59</c:v>
                </c:pt>
                <c:pt idx="5">
                  <c:v>12.46</c:v>
                </c:pt>
                <c:pt idx="6">
                  <c:v>12.42</c:v>
                </c:pt>
                <c:pt idx="7">
                  <c:v>12.46</c:v>
                </c:pt>
                <c:pt idx="8">
                  <c:v>12.57</c:v>
                </c:pt>
                <c:pt idx="9">
                  <c:v>12.24</c:v>
                </c:pt>
                <c:pt idx="10">
                  <c:v>12.26</c:v>
                </c:pt>
                <c:pt idx="11">
                  <c:v>12.57</c:v>
                </c:pt>
                <c:pt idx="12">
                  <c:v>12.61</c:v>
                </c:pt>
                <c:pt idx="13">
                  <c:v>12.77</c:v>
                </c:pt>
                <c:pt idx="14">
                  <c:v>12.66</c:v>
                </c:pt>
                <c:pt idx="15">
                  <c:v>12.73</c:v>
                </c:pt>
                <c:pt idx="16">
                  <c:v>12.63</c:v>
                </c:pt>
                <c:pt idx="17">
                  <c:v>12.51</c:v>
                </c:pt>
                <c:pt idx="18">
                  <c:v>12.67</c:v>
                </c:pt>
                <c:pt idx="19">
                  <c:v>13.09</c:v>
                </c:pt>
                <c:pt idx="20">
                  <c:v>13.01</c:v>
                </c:pt>
                <c:pt idx="21">
                  <c:v>12.97</c:v>
                </c:pt>
                <c:pt idx="22">
                  <c:v>13.52</c:v>
                </c:pt>
                <c:pt idx="23">
                  <c:v>13.45</c:v>
                </c:pt>
                <c:pt idx="24">
                  <c:v>13.43</c:v>
                </c:pt>
                <c:pt idx="25">
                  <c:v>13.74</c:v>
                </c:pt>
                <c:pt idx="26">
                  <c:v>14.23</c:v>
                </c:pt>
                <c:pt idx="27">
                  <c:v>14.06</c:v>
                </c:pt>
                <c:pt idx="28">
                  <c:v>14.75</c:v>
                </c:pt>
                <c:pt idx="29">
                  <c:v>14.69</c:v>
                </c:pt>
                <c:pt idx="30">
                  <c:v>14.76</c:v>
                </c:pt>
                <c:pt idx="31">
                  <c:v>14.63</c:v>
                </c:pt>
                <c:pt idx="32">
                  <c:v>14.43</c:v>
                </c:pt>
                <c:pt idx="33">
                  <c:v>14.49</c:v>
                </c:pt>
                <c:pt idx="34">
                  <c:v>14.95</c:v>
                </c:pt>
                <c:pt idx="35">
                  <c:v>14.92</c:v>
                </c:pt>
                <c:pt idx="36">
                  <c:v>15</c:v>
                </c:pt>
                <c:pt idx="37">
                  <c:v>15.02</c:v>
                </c:pt>
                <c:pt idx="38">
                  <c:v>14.98</c:v>
                </c:pt>
                <c:pt idx="39">
                  <c:v>14.73</c:v>
                </c:pt>
                <c:pt idx="40">
                  <c:v>14.51</c:v>
                </c:pt>
                <c:pt idx="41">
                  <c:v>14.23</c:v>
                </c:pt>
                <c:pt idx="42">
                  <c:v>14.33</c:v>
                </c:pt>
                <c:pt idx="43">
                  <c:v>14.31</c:v>
                </c:pt>
                <c:pt idx="44">
                  <c:v>14.71</c:v>
                </c:pt>
                <c:pt idx="45">
                  <c:v>14.75</c:v>
                </c:pt>
                <c:pt idx="46">
                  <c:v>14.58</c:v>
                </c:pt>
                <c:pt idx="47">
                  <c:v>14.22</c:v>
                </c:pt>
                <c:pt idx="48">
                  <c:v>13.41</c:v>
                </c:pt>
                <c:pt idx="49">
                  <c:v>13.7</c:v>
                </c:pt>
                <c:pt idx="50">
                  <c:v>14.18</c:v>
                </c:pt>
                <c:pt idx="51">
                  <c:v>13.79</c:v>
                </c:pt>
                <c:pt idx="52">
                  <c:v>14.11</c:v>
                </c:pt>
                <c:pt idx="53">
                  <c:v>14.14</c:v>
                </c:pt>
                <c:pt idx="54">
                  <c:v>14.24</c:v>
                </c:pt>
                <c:pt idx="55">
                  <c:v>13.75</c:v>
                </c:pt>
                <c:pt idx="56">
                  <c:v>13.56</c:v>
                </c:pt>
                <c:pt idx="57">
                  <c:v>13.88</c:v>
                </c:pt>
                <c:pt idx="58">
                  <c:v>14.25</c:v>
                </c:pt>
                <c:pt idx="59">
                  <c:v>14.51</c:v>
                </c:pt>
                <c:pt idx="60">
                  <c:v>15.6</c:v>
                </c:pt>
                <c:pt idx="61">
                  <c:v>15.85</c:v>
                </c:pt>
                <c:pt idx="62">
                  <c:v>15.86</c:v>
                </c:pt>
                <c:pt idx="63">
                  <c:v>16</c:v>
                </c:pt>
                <c:pt idx="64">
                  <c:v>15.3</c:v>
                </c:pt>
                <c:pt idx="65">
                  <c:v>15.19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773056"/>
        <c:axId val="514779328"/>
      </c:lineChart>
      <c:dateAx>
        <c:axId val="5147730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79328"/>
        <c:crosses val="autoZero"/>
        <c:auto val="1"/>
        <c:lblOffset val="100"/>
        <c:baseTimeUnit val="days"/>
      </c:dateAx>
      <c:valAx>
        <c:axId val="514779328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73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42614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42608</c:v>
                </c:pt>
                <c:pt idx="6">
                  <c:v>42607</c:v>
                </c:pt>
                <c:pt idx="7">
                  <c:v>42606</c:v>
                </c:pt>
                <c:pt idx="8">
                  <c:v>42605</c:v>
                </c:pt>
                <c:pt idx="9">
                  <c:v>42604</c:v>
                </c:pt>
                <c:pt idx="10">
                  <c:v>42601</c:v>
                </c:pt>
                <c:pt idx="11">
                  <c:v>42600</c:v>
                </c:pt>
                <c:pt idx="12">
                  <c:v>42599</c:v>
                </c:pt>
                <c:pt idx="13">
                  <c:v>42598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42592</c:v>
                </c:pt>
                <c:pt idx="18">
                  <c:v>42591</c:v>
                </c:pt>
                <c:pt idx="19">
                  <c:v>42590</c:v>
                </c:pt>
                <c:pt idx="20">
                  <c:v>42587</c:v>
                </c:pt>
                <c:pt idx="21">
                  <c:v>42586</c:v>
                </c:pt>
                <c:pt idx="22">
                  <c:v>42585</c:v>
                </c:pt>
                <c:pt idx="23">
                  <c:v>42584</c:v>
                </c:pt>
                <c:pt idx="24">
                  <c:v>42583</c:v>
                </c:pt>
                <c:pt idx="25">
                  <c:v>42580</c:v>
                </c:pt>
                <c:pt idx="26">
                  <c:v>42579</c:v>
                </c:pt>
                <c:pt idx="27">
                  <c:v>42578</c:v>
                </c:pt>
                <c:pt idx="28">
                  <c:v>42577</c:v>
                </c:pt>
                <c:pt idx="29">
                  <c:v>42576</c:v>
                </c:pt>
                <c:pt idx="30">
                  <c:v>42573</c:v>
                </c:pt>
                <c:pt idx="31">
                  <c:v>42572</c:v>
                </c:pt>
                <c:pt idx="32">
                  <c:v>42571</c:v>
                </c:pt>
                <c:pt idx="33">
                  <c:v>42570</c:v>
                </c:pt>
                <c:pt idx="34">
                  <c:v>42569</c:v>
                </c:pt>
                <c:pt idx="35">
                  <c:v>42566</c:v>
                </c:pt>
                <c:pt idx="36">
                  <c:v>42565</c:v>
                </c:pt>
                <c:pt idx="37">
                  <c:v>42564</c:v>
                </c:pt>
                <c:pt idx="38">
                  <c:v>42563</c:v>
                </c:pt>
                <c:pt idx="39">
                  <c:v>42562</c:v>
                </c:pt>
                <c:pt idx="40">
                  <c:v>42559</c:v>
                </c:pt>
                <c:pt idx="41">
                  <c:v>42558</c:v>
                </c:pt>
                <c:pt idx="42">
                  <c:v>42557</c:v>
                </c:pt>
                <c:pt idx="43">
                  <c:v>42556</c:v>
                </c:pt>
                <c:pt idx="44">
                  <c:v>42552</c:v>
                </c:pt>
                <c:pt idx="45">
                  <c:v>42551</c:v>
                </c:pt>
                <c:pt idx="46">
                  <c:v>42550</c:v>
                </c:pt>
                <c:pt idx="47">
                  <c:v>42549</c:v>
                </c:pt>
                <c:pt idx="48">
                  <c:v>42548</c:v>
                </c:pt>
                <c:pt idx="49">
                  <c:v>42545</c:v>
                </c:pt>
                <c:pt idx="50">
                  <c:v>42544</c:v>
                </c:pt>
                <c:pt idx="51">
                  <c:v>42543</c:v>
                </c:pt>
                <c:pt idx="52">
                  <c:v>42542</c:v>
                </c:pt>
                <c:pt idx="53">
                  <c:v>42541</c:v>
                </c:pt>
                <c:pt idx="54">
                  <c:v>42538</c:v>
                </c:pt>
                <c:pt idx="55">
                  <c:v>42537</c:v>
                </c:pt>
                <c:pt idx="56">
                  <c:v>42536</c:v>
                </c:pt>
                <c:pt idx="57">
                  <c:v>42535</c:v>
                </c:pt>
                <c:pt idx="58">
                  <c:v>42534</c:v>
                </c:pt>
                <c:pt idx="59">
                  <c:v>42531</c:v>
                </c:pt>
                <c:pt idx="60">
                  <c:v>42530</c:v>
                </c:pt>
                <c:pt idx="61">
                  <c:v>42529</c:v>
                </c:pt>
                <c:pt idx="62">
                  <c:v>42528</c:v>
                </c:pt>
                <c:pt idx="63">
                  <c:v>42527</c:v>
                </c:pt>
                <c:pt idx="64">
                  <c:v>42524</c:v>
                </c:pt>
                <c:pt idx="65">
                  <c:v>42523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58.54</c:v>
                </c:pt>
                <c:pt idx="2">
                  <c:v>57.64</c:v>
                </c:pt>
                <c:pt idx="3">
                  <c:v>58</c:v>
                </c:pt>
                <c:pt idx="4">
                  <c:v>58.63</c:v>
                </c:pt>
                <c:pt idx="5">
                  <c:v>59</c:v>
                </c:pt>
                <c:pt idx="6">
                  <c:v>59.24</c:v>
                </c:pt>
                <c:pt idx="7">
                  <c:v>60.22</c:v>
                </c:pt>
                <c:pt idx="8">
                  <c:v>59.62</c:v>
                </c:pt>
                <c:pt idx="9">
                  <c:v>58.66</c:v>
                </c:pt>
                <c:pt idx="10">
                  <c:v>58.9</c:v>
                </c:pt>
                <c:pt idx="11">
                  <c:v>57.21</c:v>
                </c:pt>
                <c:pt idx="12">
                  <c:v>56.86</c:v>
                </c:pt>
                <c:pt idx="13">
                  <c:v>56.88</c:v>
                </c:pt>
                <c:pt idx="14">
                  <c:v>56.77</c:v>
                </c:pt>
                <c:pt idx="15">
                  <c:v>56.45</c:v>
                </c:pt>
                <c:pt idx="16">
                  <c:v>56.73</c:v>
                </c:pt>
                <c:pt idx="17">
                  <c:v>55.13</c:v>
                </c:pt>
                <c:pt idx="18">
                  <c:v>55.77</c:v>
                </c:pt>
                <c:pt idx="19">
                  <c:v>55.98</c:v>
                </c:pt>
                <c:pt idx="20">
                  <c:v>55.85</c:v>
                </c:pt>
                <c:pt idx="21">
                  <c:v>54.79</c:v>
                </c:pt>
                <c:pt idx="22">
                  <c:v>54.75</c:v>
                </c:pt>
                <c:pt idx="23">
                  <c:v>54.92</c:v>
                </c:pt>
                <c:pt idx="24">
                  <c:v>55.41</c:v>
                </c:pt>
                <c:pt idx="25">
                  <c:v>55.5</c:v>
                </c:pt>
                <c:pt idx="26">
                  <c:v>55.45</c:v>
                </c:pt>
                <c:pt idx="27">
                  <c:v>55.79</c:v>
                </c:pt>
                <c:pt idx="28">
                  <c:v>56.37</c:v>
                </c:pt>
                <c:pt idx="29">
                  <c:v>57.14</c:v>
                </c:pt>
                <c:pt idx="30">
                  <c:v>56.73</c:v>
                </c:pt>
                <c:pt idx="31">
                  <c:v>56.99</c:v>
                </c:pt>
                <c:pt idx="32">
                  <c:v>57.76</c:v>
                </c:pt>
                <c:pt idx="33">
                  <c:v>57.76</c:v>
                </c:pt>
                <c:pt idx="34">
                  <c:v>57.74</c:v>
                </c:pt>
                <c:pt idx="35">
                  <c:v>57.87</c:v>
                </c:pt>
                <c:pt idx="36">
                  <c:v>58.49</c:v>
                </c:pt>
                <c:pt idx="37">
                  <c:v>57.99</c:v>
                </c:pt>
                <c:pt idx="38">
                  <c:v>58.06</c:v>
                </c:pt>
                <c:pt idx="39">
                  <c:v>56.83</c:v>
                </c:pt>
                <c:pt idx="40">
                  <c:v>56.72</c:v>
                </c:pt>
                <c:pt idx="41">
                  <c:v>55.92</c:v>
                </c:pt>
                <c:pt idx="42">
                  <c:v>55.8</c:v>
                </c:pt>
                <c:pt idx="43">
                  <c:v>55.2</c:v>
                </c:pt>
                <c:pt idx="44">
                  <c:v>55.61</c:v>
                </c:pt>
                <c:pt idx="45">
                  <c:v>55.2</c:v>
                </c:pt>
                <c:pt idx="46">
                  <c:v>55.13</c:v>
                </c:pt>
                <c:pt idx="47">
                  <c:v>53.09</c:v>
                </c:pt>
                <c:pt idx="48">
                  <c:v>51.89</c:v>
                </c:pt>
                <c:pt idx="49">
                  <c:v>52.59</c:v>
                </c:pt>
                <c:pt idx="50">
                  <c:v>54.12</c:v>
                </c:pt>
                <c:pt idx="51">
                  <c:v>54.57</c:v>
                </c:pt>
                <c:pt idx="52">
                  <c:v>54.77</c:v>
                </c:pt>
                <c:pt idx="53">
                  <c:v>54.36</c:v>
                </c:pt>
                <c:pt idx="54">
                  <c:v>53.71</c:v>
                </c:pt>
                <c:pt idx="55">
                  <c:v>53.47</c:v>
                </c:pt>
                <c:pt idx="56">
                  <c:v>54.31</c:v>
                </c:pt>
                <c:pt idx="57">
                  <c:v>54.12</c:v>
                </c:pt>
                <c:pt idx="58">
                  <c:v>54.91</c:v>
                </c:pt>
                <c:pt idx="59">
                  <c:v>55.11</c:v>
                </c:pt>
                <c:pt idx="60">
                  <c:v>54.94</c:v>
                </c:pt>
                <c:pt idx="61">
                  <c:v>54.12</c:v>
                </c:pt>
                <c:pt idx="62">
                  <c:v>53.55</c:v>
                </c:pt>
                <c:pt idx="63">
                  <c:v>54.3</c:v>
                </c:pt>
                <c:pt idx="64">
                  <c:v>53.45</c:v>
                </c:pt>
                <c:pt idx="65">
                  <c:v>54.53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777760"/>
        <c:axId val="514778544"/>
      </c:lineChart>
      <c:dateAx>
        <c:axId val="514777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78544"/>
        <c:crosses val="autoZero"/>
        <c:auto val="1"/>
        <c:lblOffset val="100"/>
        <c:baseTimeUnit val="days"/>
      </c:dateAx>
      <c:valAx>
        <c:axId val="514778544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77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42615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42608</c:v>
                </c:pt>
                <c:pt idx="6">
                  <c:v>42607</c:v>
                </c:pt>
                <c:pt idx="7">
                  <c:v>42606</c:v>
                </c:pt>
                <c:pt idx="8">
                  <c:v>42605</c:v>
                </c:pt>
                <c:pt idx="9">
                  <c:v>42604</c:v>
                </c:pt>
                <c:pt idx="10">
                  <c:v>42601</c:v>
                </c:pt>
                <c:pt idx="11">
                  <c:v>42600</c:v>
                </c:pt>
                <c:pt idx="12">
                  <c:v>42599</c:v>
                </c:pt>
                <c:pt idx="13">
                  <c:v>42598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42592</c:v>
                </c:pt>
                <c:pt idx="18">
                  <c:v>42591</c:v>
                </c:pt>
                <c:pt idx="19">
                  <c:v>42590</c:v>
                </c:pt>
                <c:pt idx="20">
                  <c:v>42587</c:v>
                </c:pt>
                <c:pt idx="21">
                  <c:v>42586</c:v>
                </c:pt>
                <c:pt idx="22">
                  <c:v>42585</c:v>
                </c:pt>
                <c:pt idx="23">
                  <c:v>42584</c:v>
                </c:pt>
                <c:pt idx="24">
                  <c:v>42583</c:v>
                </c:pt>
                <c:pt idx="25">
                  <c:v>42580</c:v>
                </c:pt>
                <c:pt idx="26">
                  <c:v>42579</c:v>
                </c:pt>
                <c:pt idx="27">
                  <c:v>42578</c:v>
                </c:pt>
                <c:pt idx="28">
                  <c:v>42577</c:v>
                </c:pt>
                <c:pt idx="29">
                  <c:v>42576</c:v>
                </c:pt>
                <c:pt idx="30">
                  <c:v>42573</c:v>
                </c:pt>
                <c:pt idx="31">
                  <c:v>42572</c:v>
                </c:pt>
                <c:pt idx="32">
                  <c:v>42571</c:v>
                </c:pt>
                <c:pt idx="33">
                  <c:v>42570</c:v>
                </c:pt>
                <c:pt idx="34">
                  <c:v>42569</c:v>
                </c:pt>
                <c:pt idx="35">
                  <c:v>42566</c:v>
                </c:pt>
                <c:pt idx="36">
                  <c:v>42565</c:v>
                </c:pt>
                <c:pt idx="37">
                  <c:v>42564</c:v>
                </c:pt>
                <c:pt idx="38">
                  <c:v>42563</c:v>
                </c:pt>
                <c:pt idx="39">
                  <c:v>42562</c:v>
                </c:pt>
                <c:pt idx="40">
                  <c:v>42559</c:v>
                </c:pt>
                <c:pt idx="41">
                  <c:v>42558</c:v>
                </c:pt>
                <c:pt idx="42">
                  <c:v>42557</c:v>
                </c:pt>
                <c:pt idx="43">
                  <c:v>42556</c:v>
                </c:pt>
                <c:pt idx="44">
                  <c:v>42552</c:v>
                </c:pt>
                <c:pt idx="45">
                  <c:v>42551</c:v>
                </c:pt>
                <c:pt idx="46">
                  <c:v>42550</c:v>
                </c:pt>
                <c:pt idx="47">
                  <c:v>42549</c:v>
                </c:pt>
                <c:pt idx="48">
                  <c:v>42548</c:v>
                </c:pt>
                <c:pt idx="49">
                  <c:v>42545</c:v>
                </c:pt>
                <c:pt idx="50">
                  <c:v>42544</c:v>
                </c:pt>
                <c:pt idx="51">
                  <c:v>42543</c:v>
                </c:pt>
                <c:pt idx="52">
                  <c:v>42542</c:v>
                </c:pt>
                <c:pt idx="53">
                  <c:v>42541</c:v>
                </c:pt>
                <c:pt idx="54">
                  <c:v>42538</c:v>
                </c:pt>
                <c:pt idx="55">
                  <c:v>42537</c:v>
                </c:pt>
                <c:pt idx="56">
                  <c:v>42536</c:v>
                </c:pt>
                <c:pt idx="57">
                  <c:v>42535</c:v>
                </c:pt>
                <c:pt idx="58">
                  <c:v>42534</c:v>
                </c:pt>
                <c:pt idx="59">
                  <c:v>42531</c:v>
                </c:pt>
                <c:pt idx="60">
                  <c:v>42530</c:v>
                </c:pt>
                <c:pt idx="61">
                  <c:v>42529</c:v>
                </c:pt>
                <c:pt idx="62">
                  <c:v>42528</c:v>
                </c:pt>
                <c:pt idx="63">
                  <c:v>42527</c:v>
                </c:pt>
                <c:pt idx="64">
                  <c:v>42524</c:v>
                </c:pt>
                <c:pt idx="65">
                  <c:v>42523</c:v>
                </c:pt>
              </c:numCache>
            </c:numRef>
          </c:cat>
          <c:val>
            <c:numRef>
              <c:f>MOS!$AA$2:$AA$68</c:f>
              <c:numCache>
                <c:formatCode>General</c:formatCode>
                <c:ptCount val="67"/>
                <c:pt idx="0">
                  <c:v>29.49</c:v>
                </c:pt>
                <c:pt idx="1">
                  <c:v>29.17</c:v>
                </c:pt>
                <c:pt idx="2">
                  <c:v>30.07</c:v>
                </c:pt>
                <c:pt idx="3">
                  <c:v>30.45</c:v>
                </c:pt>
                <c:pt idx="4">
                  <c:v>27.95</c:v>
                </c:pt>
                <c:pt idx="5">
                  <c:v>27.6</c:v>
                </c:pt>
                <c:pt idx="6">
                  <c:v>28.5</c:v>
                </c:pt>
                <c:pt idx="7">
                  <c:v>28.44</c:v>
                </c:pt>
                <c:pt idx="8">
                  <c:v>29.27</c:v>
                </c:pt>
                <c:pt idx="9">
                  <c:v>28.39</c:v>
                </c:pt>
                <c:pt idx="10">
                  <c:v>28.07</c:v>
                </c:pt>
                <c:pt idx="11">
                  <c:v>27.96</c:v>
                </c:pt>
                <c:pt idx="12">
                  <c:v>27.8</c:v>
                </c:pt>
                <c:pt idx="13">
                  <c:v>28.07</c:v>
                </c:pt>
                <c:pt idx="14">
                  <c:v>28.43</c:v>
                </c:pt>
                <c:pt idx="15">
                  <c:v>27.18</c:v>
                </c:pt>
                <c:pt idx="16">
                  <c:v>28.11</c:v>
                </c:pt>
                <c:pt idx="17">
                  <c:v>27.88</c:v>
                </c:pt>
                <c:pt idx="18">
                  <c:v>28.21</c:v>
                </c:pt>
                <c:pt idx="19">
                  <c:v>28.32</c:v>
                </c:pt>
                <c:pt idx="20">
                  <c:v>27.27</c:v>
                </c:pt>
                <c:pt idx="21">
                  <c:v>26.44</c:v>
                </c:pt>
                <c:pt idx="22">
                  <c:v>27.3</c:v>
                </c:pt>
                <c:pt idx="23">
                  <c:v>27.26</c:v>
                </c:pt>
                <c:pt idx="24">
                  <c:v>26.63</c:v>
                </c:pt>
                <c:pt idx="25">
                  <c:v>27</c:v>
                </c:pt>
                <c:pt idx="26">
                  <c:v>27.65</c:v>
                </c:pt>
                <c:pt idx="27">
                  <c:v>28.88</c:v>
                </c:pt>
                <c:pt idx="28">
                  <c:v>29.34</c:v>
                </c:pt>
                <c:pt idx="29">
                  <c:v>28.63</c:v>
                </c:pt>
                <c:pt idx="30">
                  <c:v>28.28</c:v>
                </c:pt>
                <c:pt idx="31">
                  <c:v>28.89</c:v>
                </c:pt>
                <c:pt idx="32">
                  <c:v>29.01</c:v>
                </c:pt>
                <c:pt idx="33">
                  <c:v>28.68</c:v>
                </c:pt>
                <c:pt idx="34">
                  <c:v>29.28</c:v>
                </c:pt>
                <c:pt idx="35">
                  <c:v>28.69</c:v>
                </c:pt>
                <c:pt idx="36">
                  <c:v>28.18</c:v>
                </c:pt>
                <c:pt idx="37">
                  <c:v>27.41</c:v>
                </c:pt>
                <c:pt idx="38">
                  <c:v>26.48</c:v>
                </c:pt>
                <c:pt idx="39">
                  <c:v>25.69</c:v>
                </c:pt>
                <c:pt idx="40">
                  <c:v>25.48</c:v>
                </c:pt>
                <c:pt idx="41">
                  <c:v>24.99</c:v>
                </c:pt>
                <c:pt idx="42">
                  <c:v>25.23</c:v>
                </c:pt>
                <c:pt idx="43">
                  <c:v>25.47</c:v>
                </c:pt>
                <c:pt idx="44">
                  <c:v>26.57</c:v>
                </c:pt>
                <c:pt idx="45">
                  <c:v>26.18</c:v>
                </c:pt>
                <c:pt idx="46">
                  <c:v>25.62</c:v>
                </c:pt>
                <c:pt idx="47">
                  <c:v>25.26</c:v>
                </c:pt>
                <c:pt idx="48">
                  <c:v>24.69</c:v>
                </c:pt>
                <c:pt idx="49">
                  <c:v>26.91</c:v>
                </c:pt>
                <c:pt idx="50">
                  <c:v>28</c:v>
                </c:pt>
                <c:pt idx="51">
                  <c:v>26.74</c:v>
                </c:pt>
                <c:pt idx="52">
                  <c:v>26.97</c:v>
                </c:pt>
                <c:pt idx="53">
                  <c:v>26.88</c:v>
                </c:pt>
                <c:pt idx="54">
                  <c:v>26.74</c:v>
                </c:pt>
                <c:pt idx="55">
                  <c:v>25.9</c:v>
                </c:pt>
                <c:pt idx="56">
                  <c:v>26.3</c:v>
                </c:pt>
                <c:pt idx="57">
                  <c:v>26.29</c:v>
                </c:pt>
                <c:pt idx="58">
                  <c:v>26.91</c:v>
                </c:pt>
                <c:pt idx="59">
                  <c:v>26.97</c:v>
                </c:pt>
                <c:pt idx="60">
                  <c:v>27.53</c:v>
                </c:pt>
                <c:pt idx="61">
                  <c:v>28.02</c:v>
                </c:pt>
                <c:pt idx="62">
                  <c:v>29.03</c:v>
                </c:pt>
                <c:pt idx="63">
                  <c:v>28.36</c:v>
                </c:pt>
                <c:pt idx="64">
                  <c:v>26.7</c:v>
                </c:pt>
                <c:pt idx="65">
                  <c:v>25.65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778936"/>
        <c:axId val="514773840"/>
      </c:lineChart>
      <c:dateAx>
        <c:axId val="5147789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73840"/>
        <c:crosses val="autoZero"/>
        <c:auto val="1"/>
        <c:lblOffset val="100"/>
        <c:baseTimeUnit val="days"/>
      </c:dateAx>
      <c:valAx>
        <c:axId val="51477384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78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2-Sep-16</c:v>
                </c:pt>
                <c:pt idx="1">
                  <c:v>1-Sep-16</c:v>
                </c:pt>
                <c:pt idx="2">
                  <c:v>31-Aug-16</c:v>
                </c:pt>
                <c:pt idx="3">
                  <c:v>30-Aug-16</c:v>
                </c:pt>
                <c:pt idx="4">
                  <c:v>29-Aug-16</c:v>
                </c:pt>
                <c:pt idx="5">
                  <c:v>26-Aug-16</c:v>
                </c:pt>
                <c:pt idx="6">
                  <c:v>25-Aug-16</c:v>
                </c:pt>
                <c:pt idx="7">
                  <c:v>24-Aug-16</c:v>
                </c:pt>
                <c:pt idx="8">
                  <c:v>23-Aug-16</c:v>
                </c:pt>
                <c:pt idx="9">
                  <c:v>22-Aug-16</c:v>
                </c:pt>
                <c:pt idx="10">
                  <c:v>19-Aug-16</c:v>
                </c:pt>
                <c:pt idx="11">
                  <c:v>18-Aug-16</c:v>
                </c:pt>
                <c:pt idx="12">
                  <c:v>17-Aug-16</c:v>
                </c:pt>
                <c:pt idx="13">
                  <c:v>16-Aug-16</c:v>
                </c:pt>
                <c:pt idx="14">
                  <c:v>15-Aug-16</c:v>
                </c:pt>
                <c:pt idx="15">
                  <c:v>12-Aug-16</c:v>
                </c:pt>
                <c:pt idx="16">
                  <c:v>11-Aug-16</c:v>
                </c:pt>
                <c:pt idx="17">
                  <c:v>10-Aug-16</c:v>
                </c:pt>
                <c:pt idx="18">
                  <c:v>9-Aug-16</c:v>
                </c:pt>
                <c:pt idx="19">
                  <c:v>8-Aug-16</c:v>
                </c:pt>
                <c:pt idx="20">
                  <c:v>5-Aug-16</c:v>
                </c:pt>
                <c:pt idx="21">
                  <c:v>4-Aug-16</c:v>
                </c:pt>
                <c:pt idx="22">
                  <c:v>3-Aug-16</c:v>
                </c:pt>
                <c:pt idx="23">
                  <c:v>2-Aug-16</c:v>
                </c:pt>
                <c:pt idx="24">
                  <c:v>1-Aug-16</c:v>
                </c:pt>
                <c:pt idx="25">
                  <c:v>29-Jul-16</c:v>
                </c:pt>
                <c:pt idx="26">
                  <c:v>28-Jul-16</c:v>
                </c:pt>
                <c:pt idx="27">
                  <c:v>27-Jul-16</c:v>
                </c:pt>
                <c:pt idx="28">
                  <c:v>26-Jul-16</c:v>
                </c:pt>
                <c:pt idx="29">
                  <c:v>25-Jul-16</c:v>
                </c:pt>
                <c:pt idx="30">
                  <c:v>22-Jul-16</c:v>
                </c:pt>
                <c:pt idx="31">
                  <c:v>21-Jul-16</c:v>
                </c:pt>
                <c:pt idx="32">
                  <c:v>20-Jul-16</c:v>
                </c:pt>
                <c:pt idx="33">
                  <c:v>19-Jul-16</c:v>
                </c:pt>
                <c:pt idx="34">
                  <c:v>18-Jul-16</c:v>
                </c:pt>
                <c:pt idx="35">
                  <c:v>15-Jul-16</c:v>
                </c:pt>
                <c:pt idx="36">
                  <c:v>14-Jul-16</c:v>
                </c:pt>
                <c:pt idx="37">
                  <c:v>13-Jul-16</c:v>
                </c:pt>
                <c:pt idx="38">
                  <c:v>12-Jul-16</c:v>
                </c:pt>
                <c:pt idx="39">
                  <c:v>11-Jul-16</c:v>
                </c:pt>
                <c:pt idx="40">
                  <c:v>8-Jul-16</c:v>
                </c:pt>
                <c:pt idx="41">
                  <c:v>7-Jul-16</c:v>
                </c:pt>
                <c:pt idx="42">
                  <c:v>6-Jul-16</c:v>
                </c:pt>
                <c:pt idx="43">
                  <c:v>5-Jul-16</c:v>
                </c:pt>
                <c:pt idx="44">
                  <c:v>1-Jul-16</c:v>
                </c:pt>
                <c:pt idx="45">
                  <c:v>30-Jun-16</c:v>
                </c:pt>
                <c:pt idx="46">
                  <c:v>29-Jun-16</c:v>
                </c:pt>
                <c:pt idx="47">
                  <c:v>28-Jun-16</c:v>
                </c:pt>
                <c:pt idx="48">
                  <c:v>27-Jun-16</c:v>
                </c:pt>
                <c:pt idx="49">
                  <c:v>24-Jun-16</c:v>
                </c:pt>
                <c:pt idx="50">
                  <c:v>23-Jun-16</c:v>
                </c:pt>
                <c:pt idx="51">
                  <c:v>22-Jun-16</c:v>
                </c:pt>
                <c:pt idx="52">
                  <c:v>21-Jun-16</c:v>
                </c:pt>
                <c:pt idx="53">
                  <c:v>20-Jun-16</c:v>
                </c:pt>
                <c:pt idx="54">
                  <c:v>17-Jun-16</c:v>
                </c:pt>
                <c:pt idx="55">
                  <c:v>16-Jun-16</c:v>
                </c:pt>
                <c:pt idx="56">
                  <c:v>15-Jun-16</c:v>
                </c:pt>
                <c:pt idx="57">
                  <c:v>14-Jun-16</c:v>
                </c:pt>
                <c:pt idx="58">
                  <c:v>14-Jun-16</c:v>
                </c:pt>
                <c:pt idx="59">
                  <c:v>13-Jun-16</c:v>
                </c:pt>
                <c:pt idx="60">
                  <c:v>10-Jun-16</c:v>
                </c:pt>
                <c:pt idx="61">
                  <c:v>9-Jun-16</c:v>
                </c:pt>
                <c:pt idx="62">
                  <c:v>8-Jun-16</c:v>
                </c:pt>
                <c:pt idx="63">
                  <c:v>7-Jun-16</c:v>
                </c:pt>
                <c:pt idx="64">
                  <c:v>6-Jun-16</c:v>
                </c:pt>
                <c:pt idx="65">
                  <c:v>3-Jun-16</c:v>
                </c:pt>
                <c:pt idx="66">
                  <c:v>2-Jun-16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49.67</c:v>
                </c:pt>
                <c:pt idx="1">
                  <c:v>49</c:v>
                </c:pt>
                <c:pt idx="2">
                  <c:v>48.61</c:v>
                </c:pt>
                <c:pt idx="3">
                  <c:v>48.71</c:v>
                </c:pt>
                <c:pt idx="4">
                  <c:v>48.83</c:v>
                </c:pt>
                <c:pt idx="5">
                  <c:v>48.6</c:v>
                </c:pt>
                <c:pt idx="6">
                  <c:v>48.87</c:v>
                </c:pt>
                <c:pt idx="7">
                  <c:v>49.08</c:v>
                </c:pt>
                <c:pt idx="8">
                  <c:v>49.22</c:v>
                </c:pt>
                <c:pt idx="9">
                  <c:v>48.99</c:v>
                </c:pt>
                <c:pt idx="10">
                  <c:v>48.95</c:v>
                </c:pt>
                <c:pt idx="11">
                  <c:v>49.38</c:v>
                </c:pt>
                <c:pt idx="12">
                  <c:v>48.99</c:v>
                </c:pt>
                <c:pt idx="13">
                  <c:v>49.07</c:v>
                </c:pt>
                <c:pt idx="14">
                  <c:v>49.09</c:v>
                </c:pt>
                <c:pt idx="15">
                  <c:v>48.94</c:v>
                </c:pt>
                <c:pt idx="16">
                  <c:v>49</c:v>
                </c:pt>
                <c:pt idx="17">
                  <c:v>48.62</c:v>
                </c:pt>
                <c:pt idx="18">
                  <c:v>48.41</c:v>
                </c:pt>
                <c:pt idx="19">
                  <c:v>47.93</c:v>
                </c:pt>
                <c:pt idx="20">
                  <c:v>47.89</c:v>
                </c:pt>
                <c:pt idx="21">
                  <c:v>47.71</c:v>
                </c:pt>
                <c:pt idx="22">
                  <c:v>47.49</c:v>
                </c:pt>
                <c:pt idx="23">
                  <c:v>47.73</c:v>
                </c:pt>
                <c:pt idx="24">
                  <c:v>47.76</c:v>
                </c:pt>
                <c:pt idx="25">
                  <c:v>48.28</c:v>
                </c:pt>
                <c:pt idx="26">
                  <c:v>47.84</c:v>
                </c:pt>
                <c:pt idx="27">
                  <c:v>47.83</c:v>
                </c:pt>
                <c:pt idx="28">
                  <c:v>47.5</c:v>
                </c:pt>
                <c:pt idx="29">
                  <c:v>47.34</c:v>
                </c:pt>
                <c:pt idx="30">
                  <c:v>47.29</c:v>
                </c:pt>
                <c:pt idx="31">
                  <c:v>47.26</c:v>
                </c:pt>
                <c:pt idx="32">
                  <c:v>47.4</c:v>
                </c:pt>
                <c:pt idx="33">
                  <c:v>46.95</c:v>
                </c:pt>
                <c:pt idx="34">
                  <c:v>47.31</c:v>
                </c:pt>
                <c:pt idx="35">
                  <c:v>47.22</c:v>
                </c:pt>
                <c:pt idx="36">
                  <c:v>47.51</c:v>
                </c:pt>
                <c:pt idx="37">
                  <c:v>47.02</c:v>
                </c:pt>
                <c:pt idx="38">
                  <c:v>47.02</c:v>
                </c:pt>
                <c:pt idx="39">
                  <c:v>46.34</c:v>
                </c:pt>
                <c:pt idx="40">
                  <c:v>45.66</c:v>
                </c:pt>
                <c:pt idx="41">
                  <c:v>44.92</c:v>
                </c:pt>
                <c:pt idx="42">
                  <c:v>45.11</c:v>
                </c:pt>
                <c:pt idx="43">
                  <c:v>45.25</c:v>
                </c:pt>
                <c:pt idx="44">
                  <c:v>46.72</c:v>
                </c:pt>
                <c:pt idx="45">
                  <c:v>46.66</c:v>
                </c:pt>
                <c:pt idx="46">
                  <c:v>45.65</c:v>
                </c:pt>
                <c:pt idx="47">
                  <c:v>44.74</c:v>
                </c:pt>
                <c:pt idx="48">
                  <c:v>43.32</c:v>
                </c:pt>
                <c:pt idx="49">
                  <c:v>44.48</c:v>
                </c:pt>
                <c:pt idx="50">
                  <c:v>50.14</c:v>
                </c:pt>
                <c:pt idx="51">
                  <c:v>48.62</c:v>
                </c:pt>
                <c:pt idx="52">
                  <c:v>48.6</c:v>
                </c:pt>
                <c:pt idx="53">
                  <c:v>48.14</c:v>
                </c:pt>
                <c:pt idx="54">
                  <c:v>46.87</c:v>
                </c:pt>
                <c:pt idx="55">
                  <c:v>46.08</c:v>
                </c:pt>
                <c:pt idx="56">
                  <c:v>45.86</c:v>
                </c:pt>
                <c:pt idx="57">
                  <c:v>45.57</c:v>
                </c:pt>
                <c:pt idx="59">
                  <c:v>47.36</c:v>
                </c:pt>
                <c:pt idx="60">
                  <c:v>48.14</c:v>
                </c:pt>
                <c:pt idx="61">
                  <c:v>49.83</c:v>
                </c:pt>
                <c:pt idx="62">
                  <c:v>50.56</c:v>
                </c:pt>
                <c:pt idx="63">
                  <c:v>50.49</c:v>
                </c:pt>
                <c:pt idx="64">
                  <c:v>50.14</c:v>
                </c:pt>
                <c:pt idx="65">
                  <c:v>50.01</c:v>
                </c:pt>
                <c:pt idx="66">
                  <c:v>49.68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788736"/>
        <c:axId val="514794616"/>
      </c:lineChart>
      <c:catAx>
        <c:axId val="5147887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94616"/>
        <c:crosses val="autoZero"/>
        <c:auto val="1"/>
        <c:lblAlgn val="ctr"/>
        <c:lblOffset val="100"/>
        <c:noMultiLvlLbl val="0"/>
      </c:catAx>
      <c:valAx>
        <c:axId val="51479461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88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42615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42608</c:v>
                </c:pt>
                <c:pt idx="6">
                  <c:v>42607</c:v>
                </c:pt>
                <c:pt idx="7">
                  <c:v>42606</c:v>
                </c:pt>
                <c:pt idx="8">
                  <c:v>42605</c:v>
                </c:pt>
                <c:pt idx="9">
                  <c:v>42604</c:v>
                </c:pt>
                <c:pt idx="10">
                  <c:v>42601</c:v>
                </c:pt>
                <c:pt idx="11">
                  <c:v>42600</c:v>
                </c:pt>
                <c:pt idx="12">
                  <c:v>42599</c:v>
                </c:pt>
                <c:pt idx="13">
                  <c:v>42598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42592</c:v>
                </c:pt>
                <c:pt idx="18">
                  <c:v>42591</c:v>
                </c:pt>
                <c:pt idx="19">
                  <c:v>42590</c:v>
                </c:pt>
                <c:pt idx="20">
                  <c:v>42587</c:v>
                </c:pt>
                <c:pt idx="21">
                  <c:v>42586</c:v>
                </c:pt>
                <c:pt idx="22">
                  <c:v>42585</c:v>
                </c:pt>
                <c:pt idx="23">
                  <c:v>42584</c:v>
                </c:pt>
                <c:pt idx="24">
                  <c:v>42583</c:v>
                </c:pt>
                <c:pt idx="25">
                  <c:v>42580</c:v>
                </c:pt>
                <c:pt idx="26">
                  <c:v>42579</c:v>
                </c:pt>
                <c:pt idx="27">
                  <c:v>42578</c:v>
                </c:pt>
                <c:pt idx="28">
                  <c:v>42577</c:v>
                </c:pt>
                <c:pt idx="29">
                  <c:v>42576</c:v>
                </c:pt>
                <c:pt idx="30">
                  <c:v>42573</c:v>
                </c:pt>
                <c:pt idx="31">
                  <c:v>42572</c:v>
                </c:pt>
                <c:pt idx="32">
                  <c:v>42571</c:v>
                </c:pt>
                <c:pt idx="33">
                  <c:v>42570</c:v>
                </c:pt>
                <c:pt idx="34">
                  <c:v>42569</c:v>
                </c:pt>
                <c:pt idx="35">
                  <c:v>42566</c:v>
                </c:pt>
                <c:pt idx="36">
                  <c:v>42565</c:v>
                </c:pt>
                <c:pt idx="37">
                  <c:v>42564</c:v>
                </c:pt>
                <c:pt idx="38">
                  <c:v>42563</c:v>
                </c:pt>
                <c:pt idx="39">
                  <c:v>42562</c:v>
                </c:pt>
                <c:pt idx="40">
                  <c:v>42559</c:v>
                </c:pt>
                <c:pt idx="41">
                  <c:v>42558</c:v>
                </c:pt>
                <c:pt idx="42">
                  <c:v>42557</c:v>
                </c:pt>
                <c:pt idx="43">
                  <c:v>42556</c:v>
                </c:pt>
                <c:pt idx="44">
                  <c:v>42552</c:v>
                </c:pt>
                <c:pt idx="45">
                  <c:v>42551</c:v>
                </c:pt>
                <c:pt idx="46">
                  <c:v>42550</c:v>
                </c:pt>
                <c:pt idx="47">
                  <c:v>42549</c:v>
                </c:pt>
                <c:pt idx="48">
                  <c:v>42548</c:v>
                </c:pt>
                <c:pt idx="49">
                  <c:v>42545</c:v>
                </c:pt>
                <c:pt idx="50">
                  <c:v>42544</c:v>
                </c:pt>
                <c:pt idx="51">
                  <c:v>42543</c:v>
                </c:pt>
                <c:pt idx="52">
                  <c:v>42542</c:v>
                </c:pt>
                <c:pt idx="53">
                  <c:v>42541</c:v>
                </c:pt>
                <c:pt idx="54">
                  <c:v>42538</c:v>
                </c:pt>
                <c:pt idx="55">
                  <c:v>42537</c:v>
                </c:pt>
                <c:pt idx="56">
                  <c:v>42536</c:v>
                </c:pt>
                <c:pt idx="57">
                  <c:v>42535</c:v>
                </c:pt>
                <c:pt idx="58">
                  <c:v>42534</c:v>
                </c:pt>
                <c:pt idx="59">
                  <c:v>42531</c:v>
                </c:pt>
                <c:pt idx="60">
                  <c:v>42530</c:v>
                </c:pt>
                <c:pt idx="61">
                  <c:v>42529</c:v>
                </c:pt>
                <c:pt idx="62">
                  <c:v>42528</c:v>
                </c:pt>
                <c:pt idx="63">
                  <c:v>42527</c:v>
                </c:pt>
                <c:pt idx="64">
                  <c:v>42524</c:v>
                </c:pt>
                <c:pt idx="65">
                  <c:v>42523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16.7</c:v>
                </c:pt>
                <c:pt idx="1">
                  <c:v>16.64</c:v>
                </c:pt>
                <c:pt idx="2">
                  <c:v>16.489999999999998</c:v>
                </c:pt>
                <c:pt idx="3">
                  <c:v>16.739999999999998</c:v>
                </c:pt>
                <c:pt idx="4">
                  <c:v>16.91</c:v>
                </c:pt>
                <c:pt idx="5">
                  <c:v>16.510000000000002</c:v>
                </c:pt>
                <c:pt idx="6">
                  <c:v>16.2</c:v>
                </c:pt>
                <c:pt idx="7">
                  <c:v>15.51</c:v>
                </c:pt>
                <c:pt idx="8">
                  <c:v>16.18</c:v>
                </c:pt>
                <c:pt idx="9">
                  <c:v>16.190000000000001</c:v>
                </c:pt>
                <c:pt idx="10">
                  <c:v>16.25</c:v>
                </c:pt>
                <c:pt idx="11">
                  <c:v>15.77</c:v>
                </c:pt>
                <c:pt idx="12">
                  <c:v>15.52</c:v>
                </c:pt>
                <c:pt idx="13">
                  <c:v>15.49</c:v>
                </c:pt>
                <c:pt idx="14">
                  <c:v>15.53</c:v>
                </c:pt>
                <c:pt idx="15">
                  <c:v>14.93</c:v>
                </c:pt>
                <c:pt idx="16">
                  <c:v>14.43</c:v>
                </c:pt>
                <c:pt idx="17">
                  <c:v>14.2</c:v>
                </c:pt>
                <c:pt idx="18">
                  <c:v>14.48</c:v>
                </c:pt>
                <c:pt idx="19">
                  <c:v>14.42</c:v>
                </c:pt>
                <c:pt idx="20">
                  <c:v>14.52</c:v>
                </c:pt>
                <c:pt idx="21">
                  <c:v>14.03</c:v>
                </c:pt>
                <c:pt idx="22">
                  <c:v>13.51</c:v>
                </c:pt>
                <c:pt idx="23">
                  <c:v>13.4</c:v>
                </c:pt>
                <c:pt idx="24">
                  <c:v>13.56</c:v>
                </c:pt>
                <c:pt idx="25">
                  <c:v>13.74</c:v>
                </c:pt>
                <c:pt idx="26">
                  <c:v>13.81</c:v>
                </c:pt>
                <c:pt idx="27">
                  <c:v>14.19</c:v>
                </c:pt>
                <c:pt idx="28">
                  <c:v>14.67</c:v>
                </c:pt>
                <c:pt idx="29">
                  <c:v>13.92</c:v>
                </c:pt>
                <c:pt idx="30">
                  <c:v>13.13</c:v>
                </c:pt>
                <c:pt idx="31">
                  <c:v>13.18</c:v>
                </c:pt>
                <c:pt idx="32">
                  <c:v>13.59</c:v>
                </c:pt>
                <c:pt idx="33">
                  <c:v>13.22</c:v>
                </c:pt>
                <c:pt idx="34">
                  <c:v>13.34</c:v>
                </c:pt>
                <c:pt idx="35">
                  <c:v>13.13</c:v>
                </c:pt>
                <c:pt idx="36">
                  <c:v>13.29</c:v>
                </c:pt>
                <c:pt idx="37">
                  <c:v>13.29</c:v>
                </c:pt>
                <c:pt idx="38">
                  <c:v>13.23</c:v>
                </c:pt>
                <c:pt idx="39">
                  <c:v>12.64</c:v>
                </c:pt>
                <c:pt idx="40">
                  <c:v>12.62</c:v>
                </c:pt>
                <c:pt idx="41">
                  <c:v>12.2</c:v>
                </c:pt>
                <c:pt idx="42">
                  <c:v>11.73</c:v>
                </c:pt>
                <c:pt idx="43">
                  <c:v>11.91</c:v>
                </c:pt>
                <c:pt idx="44">
                  <c:v>12.5</c:v>
                </c:pt>
                <c:pt idx="45">
                  <c:v>13.76</c:v>
                </c:pt>
                <c:pt idx="46">
                  <c:v>13.19</c:v>
                </c:pt>
                <c:pt idx="47">
                  <c:v>12.99</c:v>
                </c:pt>
                <c:pt idx="48">
                  <c:v>12.23</c:v>
                </c:pt>
                <c:pt idx="49">
                  <c:v>13.21</c:v>
                </c:pt>
                <c:pt idx="50">
                  <c:v>14.05</c:v>
                </c:pt>
                <c:pt idx="51">
                  <c:v>12.72</c:v>
                </c:pt>
                <c:pt idx="52">
                  <c:v>12.75</c:v>
                </c:pt>
                <c:pt idx="53">
                  <c:v>12.32</c:v>
                </c:pt>
                <c:pt idx="54">
                  <c:v>12.2</c:v>
                </c:pt>
                <c:pt idx="55">
                  <c:v>11.95</c:v>
                </c:pt>
                <c:pt idx="56">
                  <c:v>12.02</c:v>
                </c:pt>
                <c:pt idx="57">
                  <c:v>11.92</c:v>
                </c:pt>
                <c:pt idx="58">
                  <c:v>12.05</c:v>
                </c:pt>
                <c:pt idx="59">
                  <c:v>12.14</c:v>
                </c:pt>
                <c:pt idx="60">
                  <c:v>12.51</c:v>
                </c:pt>
                <c:pt idx="61">
                  <c:v>12.58</c:v>
                </c:pt>
                <c:pt idx="62">
                  <c:v>13</c:v>
                </c:pt>
                <c:pt idx="63">
                  <c:v>12.77</c:v>
                </c:pt>
                <c:pt idx="64">
                  <c:v>12.86</c:v>
                </c:pt>
                <c:pt idx="65">
                  <c:v>13.11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795008"/>
        <c:axId val="514795400"/>
      </c:lineChart>
      <c:dateAx>
        <c:axId val="514795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95400"/>
        <c:crosses val="autoZero"/>
        <c:auto val="1"/>
        <c:lblOffset val="100"/>
        <c:baseTimeUnit val="days"/>
      </c:dateAx>
      <c:valAx>
        <c:axId val="514795400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95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42615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42608</c:v>
                </c:pt>
                <c:pt idx="6">
                  <c:v>42607</c:v>
                </c:pt>
                <c:pt idx="7">
                  <c:v>42606</c:v>
                </c:pt>
                <c:pt idx="8">
                  <c:v>42605</c:v>
                </c:pt>
                <c:pt idx="9">
                  <c:v>42604</c:v>
                </c:pt>
                <c:pt idx="10">
                  <c:v>42601</c:v>
                </c:pt>
                <c:pt idx="11">
                  <c:v>42600</c:v>
                </c:pt>
                <c:pt idx="12">
                  <c:v>42599</c:v>
                </c:pt>
                <c:pt idx="13">
                  <c:v>42598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42593</c:v>
                </c:pt>
                <c:pt idx="18">
                  <c:v>42592</c:v>
                </c:pt>
                <c:pt idx="19">
                  <c:v>42591</c:v>
                </c:pt>
                <c:pt idx="20">
                  <c:v>42590</c:v>
                </c:pt>
                <c:pt idx="21">
                  <c:v>42587</c:v>
                </c:pt>
                <c:pt idx="22">
                  <c:v>42586</c:v>
                </c:pt>
                <c:pt idx="23">
                  <c:v>42585</c:v>
                </c:pt>
                <c:pt idx="24">
                  <c:v>42584</c:v>
                </c:pt>
                <c:pt idx="25">
                  <c:v>42583</c:v>
                </c:pt>
                <c:pt idx="26">
                  <c:v>42580</c:v>
                </c:pt>
                <c:pt idx="27">
                  <c:v>42579</c:v>
                </c:pt>
                <c:pt idx="28">
                  <c:v>42578</c:v>
                </c:pt>
                <c:pt idx="29">
                  <c:v>42577</c:v>
                </c:pt>
                <c:pt idx="30">
                  <c:v>42576</c:v>
                </c:pt>
                <c:pt idx="31">
                  <c:v>42573</c:v>
                </c:pt>
                <c:pt idx="32">
                  <c:v>42572</c:v>
                </c:pt>
                <c:pt idx="33">
                  <c:v>42571</c:v>
                </c:pt>
                <c:pt idx="34">
                  <c:v>42570</c:v>
                </c:pt>
                <c:pt idx="35">
                  <c:v>42569</c:v>
                </c:pt>
                <c:pt idx="36">
                  <c:v>42566</c:v>
                </c:pt>
                <c:pt idx="37">
                  <c:v>42565</c:v>
                </c:pt>
                <c:pt idx="38">
                  <c:v>42564</c:v>
                </c:pt>
                <c:pt idx="39">
                  <c:v>42563</c:v>
                </c:pt>
                <c:pt idx="40">
                  <c:v>42562</c:v>
                </c:pt>
                <c:pt idx="41">
                  <c:v>42559</c:v>
                </c:pt>
                <c:pt idx="42">
                  <c:v>42558</c:v>
                </c:pt>
                <c:pt idx="43">
                  <c:v>42557</c:v>
                </c:pt>
                <c:pt idx="44">
                  <c:v>42556</c:v>
                </c:pt>
                <c:pt idx="45">
                  <c:v>42552</c:v>
                </c:pt>
                <c:pt idx="46">
                  <c:v>42551</c:v>
                </c:pt>
                <c:pt idx="47">
                  <c:v>42550</c:v>
                </c:pt>
                <c:pt idx="48">
                  <c:v>42549</c:v>
                </c:pt>
                <c:pt idx="49">
                  <c:v>42548</c:v>
                </c:pt>
                <c:pt idx="50">
                  <c:v>42545</c:v>
                </c:pt>
                <c:pt idx="51">
                  <c:v>42544</c:v>
                </c:pt>
                <c:pt idx="52">
                  <c:v>42543</c:v>
                </c:pt>
                <c:pt idx="53">
                  <c:v>42542</c:v>
                </c:pt>
                <c:pt idx="54">
                  <c:v>42541</c:v>
                </c:pt>
                <c:pt idx="55">
                  <c:v>42538</c:v>
                </c:pt>
                <c:pt idx="56">
                  <c:v>42537</c:v>
                </c:pt>
                <c:pt idx="57">
                  <c:v>42536</c:v>
                </c:pt>
                <c:pt idx="58">
                  <c:v>42535</c:v>
                </c:pt>
                <c:pt idx="59">
                  <c:v>42534</c:v>
                </c:pt>
                <c:pt idx="60">
                  <c:v>42531</c:v>
                </c:pt>
                <c:pt idx="61">
                  <c:v>42530</c:v>
                </c:pt>
                <c:pt idx="62">
                  <c:v>42529</c:v>
                </c:pt>
                <c:pt idx="63">
                  <c:v>42528</c:v>
                </c:pt>
                <c:pt idx="64">
                  <c:v>42527</c:v>
                </c:pt>
                <c:pt idx="65">
                  <c:v>42524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49.12</c:v>
                </c:pt>
                <c:pt idx="1">
                  <c:v>48.71</c:v>
                </c:pt>
                <c:pt idx="2">
                  <c:v>48.49</c:v>
                </c:pt>
                <c:pt idx="3">
                  <c:v>48.99</c:v>
                </c:pt>
                <c:pt idx="4">
                  <c:v>48.9</c:v>
                </c:pt>
                <c:pt idx="5">
                  <c:v>48.89</c:v>
                </c:pt>
                <c:pt idx="6">
                  <c:v>48.39</c:v>
                </c:pt>
                <c:pt idx="7">
                  <c:v>46.56</c:v>
                </c:pt>
                <c:pt idx="8">
                  <c:v>46.96</c:v>
                </c:pt>
                <c:pt idx="9">
                  <c:v>46.56</c:v>
                </c:pt>
                <c:pt idx="10">
                  <c:v>47.46</c:v>
                </c:pt>
                <c:pt idx="11">
                  <c:v>47.61</c:v>
                </c:pt>
                <c:pt idx="12">
                  <c:v>47.31</c:v>
                </c:pt>
                <c:pt idx="13">
                  <c:v>46.66</c:v>
                </c:pt>
                <c:pt idx="14">
                  <c:v>46.32</c:v>
                </c:pt>
                <c:pt idx="15">
                  <c:v>46.5</c:v>
                </c:pt>
                <c:pt idx="16">
                  <c:v>46.93</c:v>
                </c:pt>
                <c:pt idx="18">
                  <c:v>46.79</c:v>
                </c:pt>
                <c:pt idx="19">
                  <c:v>46.06</c:v>
                </c:pt>
                <c:pt idx="20">
                  <c:v>46.18</c:v>
                </c:pt>
                <c:pt idx="21">
                  <c:v>45.98</c:v>
                </c:pt>
                <c:pt idx="22">
                  <c:v>45.82</c:v>
                </c:pt>
                <c:pt idx="23">
                  <c:v>45.74</c:v>
                </c:pt>
                <c:pt idx="24">
                  <c:v>45.39</c:v>
                </c:pt>
                <c:pt idx="25">
                  <c:v>45.5</c:v>
                </c:pt>
                <c:pt idx="26">
                  <c:v>45.81</c:v>
                </c:pt>
                <c:pt idx="27">
                  <c:v>45.73</c:v>
                </c:pt>
                <c:pt idx="28">
                  <c:v>45.59</c:v>
                </c:pt>
                <c:pt idx="29">
                  <c:v>45.68</c:v>
                </c:pt>
                <c:pt idx="30">
                  <c:v>45.12</c:v>
                </c:pt>
                <c:pt idx="31">
                  <c:v>45.12</c:v>
                </c:pt>
                <c:pt idx="32">
                  <c:v>44.88</c:v>
                </c:pt>
                <c:pt idx="33">
                  <c:v>45.01</c:v>
                </c:pt>
                <c:pt idx="34">
                  <c:v>44.97</c:v>
                </c:pt>
                <c:pt idx="35">
                  <c:v>45.53</c:v>
                </c:pt>
                <c:pt idx="36">
                  <c:v>45.47</c:v>
                </c:pt>
                <c:pt idx="37">
                  <c:v>44.05</c:v>
                </c:pt>
                <c:pt idx="38">
                  <c:v>44.24</c:v>
                </c:pt>
                <c:pt idx="39">
                  <c:v>44.17</c:v>
                </c:pt>
                <c:pt idx="40">
                  <c:v>43.03</c:v>
                </c:pt>
                <c:pt idx="41">
                  <c:v>42.75</c:v>
                </c:pt>
                <c:pt idx="42">
                  <c:v>41.9</c:v>
                </c:pt>
                <c:pt idx="43">
                  <c:v>41.96</c:v>
                </c:pt>
                <c:pt idx="44">
                  <c:v>41.76</c:v>
                </c:pt>
                <c:pt idx="45">
                  <c:v>42.71</c:v>
                </c:pt>
                <c:pt idx="46">
                  <c:v>42.38</c:v>
                </c:pt>
                <c:pt idx="47">
                  <c:v>41.17</c:v>
                </c:pt>
                <c:pt idx="48">
                  <c:v>40.26</c:v>
                </c:pt>
                <c:pt idx="49">
                  <c:v>39.64</c:v>
                </c:pt>
                <c:pt idx="50">
                  <c:v>41.37</c:v>
                </c:pt>
                <c:pt idx="51">
                  <c:v>43.29</c:v>
                </c:pt>
                <c:pt idx="52">
                  <c:v>42.37</c:v>
                </c:pt>
                <c:pt idx="53">
                  <c:v>42.45</c:v>
                </c:pt>
                <c:pt idx="54">
                  <c:v>42.68</c:v>
                </c:pt>
                <c:pt idx="55">
                  <c:v>41.96</c:v>
                </c:pt>
                <c:pt idx="56">
                  <c:v>41.73</c:v>
                </c:pt>
                <c:pt idx="57">
                  <c:v>41.59</c:v>
                </c:pt>
                <c:pt idx="58">
                  <c:v>41.73</c:v>
                </c:pt>
                <c:pt idx="59">
                  <c:v>41.98</c:v>
                </c:pt>
                <c:pt idx="60">
                  <c:v>43.18</c:v>
                </c:pt>
                <c:pt idx="61">
                  <c:v>43.59</c:v>
                </c:pt>
                <c:pt idx="62">
                  <c:v>44.11</c:v>
                </c:pt>
                <c:pt idx="63">
                  <c:v>43.91</c:v>
                </c:pt>
                <c:pt idx="64">
                  <c:v>43.12</c:v>
                </c:pt>
                <c:pt idx="65">
                  <c:v>42.93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787952"/>
        <c:axId val="514793440"/>
      </c:lineChart>
      <c:dateAx>
        <c:axId val="514787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93440"/>
        <c:crosses val="autoZero"/>
        <c:auto val="1"/>
        <c:lblOffset val="100"/>
        <c:baseTimeUnit val="days"/>
      </c:dateAx>
      <c:valAx>
        <c:axId val="51479344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87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2-Sep-16</c:v>
                </c:pt>
                <c:pt idx="1">
                  <c:v>1-Sep-16</c:v>
                </c:pt>
                <c:pt idx="2">
                  <c:v>31-Aug-16</c:v>
                </c:pt>
                <c:pt idx="3">
                  <c:v>30-Aug-16</c:v>
                </c:pt>
                <c:pt idx="4">
                  <c:v>29-Aug-16</c:v>
                </c:pt>
                <c:pt idx="5">
                  <c:v>26-Aug-16</c:v>
                </c:pt>
                <c:pt idx="6">
                  <c:v>25-Aug-16</c:v>
                </c:pt>
                <c:pt idx="7">
                  <c:v>24-Aug-16</c:v>
                </c:pt>
                <c:pt idx="8">
                  <c:v>23-Aug-16</c:v>
                </c:pt>
                <c:pt idx="9">
                  <c:v>22-Aug-16</c:v>
                </c:pt>
                <c:pt idx="10">
                  <c:v>19-Aug-16</c:v>
                </c:pt>
                <c:pt idx="11">
                  <c:v>18-Aug-16</c:v>
                </c:pt>
                <c:pt idx="12">
                  <c:v>17-Aug-16</c:v>
                </c:pt>
                <c:pt idx="13">
                  <c:v>16-Aug-16</c:v>
                </c:pt>
                <c:pt idx="14">
                  <c:v>15-Aug-16</c:v>
                </c:pt>
                <c:pt idx="15">
                  <c:v>12-Aug-16</c:v>
                </c:pt>
                <c:pt idx="16">
                  <c:v>11-Aug-16</c:v>
                </c:pt>
                <c:pt idx="17">
                  <c:v>10-Aug-16</c:v>
                </c:pt>
                <c:pt idx="18">
                  <c:v>9-Aug-16</c:v>
                </c:pt>
                <c:pt idx="19">
                  <c:v>8-Aug-16</c:v>
                </c:pt>
                <c:pt idx="20">
                  <c:v>5-Aug-16</c:v>
                </c:pt>
                <c:pt idx="21">
                  <c:v>4-Aug-16</c:v>
                </c:pt>
                <c:pt idx="22">
                  <c:v>3-Aug-16</c:v>
                </c:pt>
                <c:pt idx="23">
                  <c:v>3-Aug-16</c:v>
                </c:pt>
                <c:pt idx="24">
                  <c:v>2-Aug-16</c:v>
                </c:pt>
                <c:pt idx="25">
                  <c:v>1-Aug-16</c:v>
                </c:pt>
                <c:pt idx="26">
                  <c:v>29-Jul-16</c:v>
                </c:pt>
                <c:pt idx="27">
                  <c:v>28-Jul-16</c:v>
                </c:pt>
                <c:pt idx="28">
                  <c:v>27-Jul-16</c:v>
                </c:pt>
                <c:pt idx="29">
                  <c:v>26-Jul-16</c:v>
                </c:pt>
                <c:pt idx="30">
                  <c:v>25-Jul-16</c:v>
                </c:pt>
                <c:pt idx="31">
                  <c:v>22-Jul-16</c:v>
                </c:pt>
                <c:pt idx="32">
                  <c:v>21-Jul-16</c:v>
                </c:pt>
                <c:pt idx="33">
                  <c:v>20-Jul-16</c:v>
                </c:pt>
                <c:pt idx="34">
                  <c:v>19-Jul-16</c:v>
                </c:pt>
                <c:pt idx="35">
                  <c:v>18-Jul-16</c:v>
                </c:pt>
                <c:pt idx="36">
                  <c:v>15-Jul-16</c:v>
                </c:pt>
                <c:pt idx="37">
                  <c:v>14-Jul-16</c:v>
                </c:pt>
                <c:pt idx="38">
                  <c:v>13-Jul-16</c:v>
                </c:pt>
                <c:pt idx="39">
                  <c:v>12-Jul-16</c:v>
                </c:pt>
                <c:pt idx="40">
                  <c:v>11-Jul-16</c:v>
                </c:pt>
                <c:pt idx="41">
                  <c:v>8-Jul-16</c:v>
                </c:pt>
                <c:pt idx="42">
                  <c:v>7-Jul-16</c:v>
                </c:pt>
                <c:pt idx="43">
                  <c:v>6-Jul-16</c:v>
                </c:pt>
                <c:pt idx="44">
                  <c:v>5-Jul-16</c:v>
                </c:pt>
                <c:pt idx="45">
                  <c:v>1-Jul-16</c:v>
                </c:pt>
                <c:pt idx="46">
                  <c:v>30-Jun-16</c:v>
                </c:pt>
                <c:pt idx="47">
                  <c:v>29-Jun-16</c:v>
                </c:pt>
                <c:pt idx="48">
                  <c:v>28-Jun-16</c:v>
                </c:pt>
                <c:pt idx="49">
                  <c:v>27-Jun-16</c:v>
                </c:pt>
                <c:pt idx="50">
                  <c:v>24-Jun-16</c:v>
                </c:pt>
                <c:pt idx="51">
                  <c:v>23-Jun-16</c:v>
                </c:pt>
                <c:pt idx="52">
                  <c:v>22-Jun-16</c:v>
                </c:pt>
                <c:pt idx="53">
                  <c:v>21-Jun-16</c:v>
                </c:pt>
                <c:pt idx="54">
                  <c:v>20-Jun-16</c:v>
                </c:pt>
                <c:pt idx="55">
                  <c:v>17-Jun-16</c:v>
                </c:pt>
                <c:pt idx="56">
                  <c:v>16-Jun-16</c:v>
                </c:pt>
                <c:pt idx="57">
                  <c:v>15-Jun-16</c:v>
                </c:pt>
                <c:pt idx="58">
                  <c:v>14-Jun-16</c:v>
                </c:pt>
                <c:pt idx="59">
                  <c:v>13-Jun-16</c:v>
                </c:pt>
                <c:pt idx="60">
                  <c:v>10-Jun-16</c:v>
                </c:pt>
                <c:pt idx="61">
                  <c:v>9-Jun-16</c:v>
                </c:pt>
                <c:pt idx="62">
                  <c:v>8-Jun-16</c:v>
                </c:pt>
                <c:pt idx="63">
                  <c:v>7-Jun-16</c:v>
                </c:pt>
                <c:pt idx="64">
                  <c:v>6-Jun-16</c:v>
                </c:pt>
                <c:pt idx="65">
                  <c:v>3-Jun-16</c:v>
                </c:pt>
                <c:pt idx="66">
                  <c:v>2-Jun-16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36.08</c:v>
                </c:pt>
                <c:pt idx="1">
                  <c:v>36.020000000000003</c:v>
                </c:pt>
                <c:pt idx="2">
                  <c:v>35.89</c:v>
                </c:pt>
                <c:pt idx="3">
                  <c:v>35.700000000000003</c:v>
                </c:pt>
                <c:pt idx="4">
                  <c:v>35.549999999999997</c:v>
                </c:pt>
                <c:pt idx="5">
                  <c:v>35.26</c:v>
                </c:pt>
                <c:pt idx="6">
                  <c:v>35.090000000000003</c:v>
                </c:pt>
                <c:pt idx="7">
                  <c:v>35.15</c:v>
                </c:pt>
                <c:pt idx="8">
                  <c:v>35.4</c:v>
                </c:pt>
                <c:pt idx="9">
                  <c:v>35.36</c:v>
                </c:pt>
                <c:pt idx="10">
                  <c:v>35.24</c:v>
                </c:pt>
                <c:pt idx="11">
                  <c:v>34.97</c:v>
                </c:pt>
                <c:pt idx="12">
                  <c:v>35.020000000000003</c:v>
                </c:pt>
                <c:pt idx="13">
                  <c:v>35.21</c:v>
                </c:pt>
                <c:pt idx="14">
                  <c:v>34.909999999999997</c:v>
                </c:pt>
                <c:pt idx="15">
                  <c:v>34.57</c:v>
                </c:pt>
                <c:pt idx="16">
                  <c:v>34.68</c:v>
                </c:pt>
                <c:pt idx="17">
                  <c:v>34.53</c:v>
                </c:pt>
                <c:pt idx="18">
                  <c:v>34.92</c:v>
                </c:pt>
                <c:pt idx="19">
                  <c:v>35.04</c:v>
                </c:pt>
                <c:pt idx="20">
                  <c:v>34.979999999999997</c:v>
                </c:pt>
                <c:pt idx="21">
                  <c:v>34.58</c:v>
                </c:pt>
                <c:pt idx="22">
                  <c:v>34.25</c:v>
                </c:pt>
                <c:pt idx="24">
                  <c:v>34.56</c:v>
                </c:pt>
                <c:pt idx="25">
                  <c:v>34.85</c:v>
                </c:pt>
                <c:pt idx="26">
                  <c:v>34.86</c:v>
                </c:pt>
                <c:pt idx="27">
                  <c:v>34.770000000000003</c:v>
                </c:pt>
                <c:pt idx="28">
                  <c:v>34.83</c:v>
                </c:pt>
                <c:pt idx="29">
                  <c:v>35.090000000000003</c:v>
                </c:pt>
                <c:pt idx="30">
                  <c:v>34.69</c:v>
                </c:pt>
                <c:pt idx="31">
                  <c:v>34.659999999999997</c:v>
                </c:pt>
                <c:pt idx="32">
                  <c:v>34.270000000000003</c:v>
                </c:pt>
                <c:pt idx="33">
                  <c:v>35.69</c:v>
                </c:pt>
                <c:pt idx="34">
                  <c:v>35.15</c:v>
                </c:pt>
                <c:pt idx="35">
                  <c:v>35.049999999999997</c:v>
                </c:pt>
                <c:pt idx="36">
                  <c:v>35.07</c:v>
                </c:pt>
                <c:pt idx="37">
                  <c:v>35.200000000000003</c:v>
                </c:pt>
                <c:pt idx="38">
                  <c:v>35.01</c:v>
                </c:pt>
                <c:pt idx="39">
                  <c:v>34.94</c:v>
                </c:pt>
                <c:pt idx="40">
                  <c:v>34.380000000000003</c:v>
                </c:pt>
                <c:pt idx="41">
                  <c:v>34</c:v>
                </c:pt>
                <c:pt idx="42">
                  <c:v>33.200000000000003</c:v>
                </c:pt>
                <c:pt idx="43">
                  <c:v>32.97</c:v>
                </c:pt>
                <c:pt idx="44">
                  <c:v>32.68</c:v>
                </c:pt>
                <c:pt idx="45">
                  <c:v>32.75</c:v>
                </c:pt>
                <c:pt idx="46">
                  <c:v>32.799999999999997</c:v>
                </c:pt>
                <c:pt idx="47">
                  <c:v>31.93</c:v>
                </c:pt>
                <c:pt idx="48">
                  <c:v>31.19</c:v>
                </c:pt>
                <c:pt idx="49">
                  <c:v>30.72</c:v>
                </c:pt>
                <c:pt idx="50">
                  <c:v>31.55</c:v>
                </c:pt>
                <c:pt idx="51">
                  <c:v>32.99</c:v>
                </c:pt>
                <c:pt idx="52">
                  <c:v>32.29</c:v>
                </c:pt>
                <c:pt idx="53">
                  <c:v>32.32</c:v>
                </c:pt>
                <c:pt idx="54">
                  <c:v>32.17</c:v>
                </c:pt>
                <c:pt idx="55">
                  <c:v>31.76</c:v>
                </c:pt>
                <c:pt idx="56">
                  <c:v>31.69</c:v>
                </c:pt>
                <c:pt idx="57">
                  <c:v>31.61</c:v>
                </c:pt>
                <c:pt idx="58">
                  <c:v>32.14</c:v>
                </c:pt>
                <c:pt idx="59">
                  <c:v>32.17</c:v>
                </c:pt>
                <c:pt idx="60">
                  <c:v>32.04</c:v>
                </c:pt>
                <c:pt idx="61">
                  <c:v>31.94</c:v>
                </c:pt>
                <c:pt idx="62">
                  <c:v>31.89</c:v>
                </c:pt>
                <c:pt idx="63">
                  <c:v>31.88</c:v>
                </c:pt>
                <c:pt idx="64">
                  <c:v>31.68</c:v>
                </c:pt>
                <c:pt idx="65">
                  <c:v>31.62</c:v>
                </c:pt>
                <c:pt idx="66">
                  <c:v>31.76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792264"/>
        <c:axId val="514789912"/>
      </c:lineChart>
      <c:catAx>
        <c:axId val="5147922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89912"/>
        <c:crosses val="autoZero"/>
        <c:auto val="1"/>
        <c:lblAlgn val="ctr"/>
        <c:lblOffset val="100"/>
        <c:noMultiLvlLbl val="0"/>
      </c:catAx>
      <c:valAx>
        <c:axId val="51478991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92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42615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42608</c:v>
                </c:pt>
                <c:pt idx="6">
                  <c:v>42607</c:v>
                </c:pt>
                <c:pt idx="7">
                  <c:v>42606</c:v>
                </c:pt>
                <c:pt idx="8">
                  <c:v>42605</c:v>
                </c:pt>
                <c:pt idx="9">
                  <c:v>42604</c:v>
                </c:pt>
                <c:pt idx="10">
                  <c:v>42601</c:v>
                </c:pt>
                <c:pt idx="11">
                  <c:v>42600</c:v>
                </c:pt>
                <c:pt idx="12">
                  <c:v>42599</c:v>
                </c:pt>
                <c:pt idx="13">
                  <c:v>42598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42592</c:v>
                </c:pt>
                <c:pt idx="18">
                  <c:v>42591</c:v>
                </c:pt>
                <c:pt idx="19">
                  <c:v>42590</c:v>
                </c:pt>
                <c:pt idx="20">
                  <c:v>42587</c:v>
                </c:pt>
                <c:pt idx="21">
                  <c:v>42586</c:v>
                </c:pt>
                <c:pt idx="22">
                  <c:v>42585</c:v>
                </c:pt>
                <c:pt idx="23">
                  <c:v>42584</c:v>
                </c:pt>
                <c:pt idx="24">
                  <c:v>42583</c:v>
                </c:pt>
                <c:pt idx="25">
                  <c:v>42580</c:v>
                </c:pt>
                <c:pt idx="26">
                  <c:v>42579</c:v>
                </c:pt>
                <c:pt idx="27">
                  <c:v>42578</c:v>
                </c:pt>
                <c:pt idx="28">
                  <c:v>42577</c:v>
                </c:pt>
                <c:pt idx="29">
                  <c:v>42576</c:v>
                </c:pt>
                <c:pt idx="30">
                  <c:v>42573</c:v>
                </c:pt>
                <c:pt idx="31">
                  <c:v>42572</c:v>
                </c:pt>
                <c:pt idx="32">
                  <c:v>42571</c:v>
                </c:pt>
                <c:pt idx="33">
                  <c:v>42570</c:v>
                </c:pt>
                <c:pt idx="34">
                  <c:v>42569</c:v>
                </c:pt>
                <c:pt idx="35">
                  <c:v>42566</c:v>
                </c:pt>
                <c:pt idx="36">
                  <c:v>42565</c:v>
                </c:pt>
                <c:pt idx="37">
                  <c:v>42564</c:v>
                </c:pt>
                <c:pt idx="38">
                  <c:v>42563</c:v>
                </c:pt>
                <c:pt idx="39">
                  <c:v>42562</c:v>
                </c:pt>
                <c:pt idx="40">
                  <c:v>42559</c:v>
                </c:pt>
                <c:pt idx="41">
                  <c:v>42558</c:v>
                </c:pt>
                <c:pt idx="42">
                  <c:v>42557</c:v>
                </c:pt>
                <c:pt idx="43">
                  <c:v>42556</c:v>
                </c:pt>
                <c:pt idx="44">
                  <c:v>42552</c:v>
                </c:pt>
                <c:pt idx="45">
                  <c:v>42551</c:v>
                </c:pt>
                <c:pt idx="46">
                  <c:v>42550</c:v>
                </c:pt>
                <c:pt idx="47">
                  <c:v>42549</c:v>
                </c:pt>
                <c:pt idx="48">
                  <c:v>42548</c:v>
                </c:pt>
                <c:pt idx="49">
                  <c:v>42545</c:v>
                </c:pt>
                <c:pt idx="50">
                  <c:v>42544</c:v>
                </c:pt>
                <c:pt idx="51">
                  <c:v>42543</c:v>
                </c:pt>
                <c:pt idx="52">
                  <c:v>42542</c:v>
                </c:pt>
                <c:pt idx="53">
                  <c:v>42541</c:v>
                </c:pt>
                <c:pt idx="54">
                  <c:v>42538</c:v>
                </c:pt>
                <c:pt idx="55">
                  <c:v>42537</c:v>
                </c:pt>
                <c:pt idx="56">
                  <c:v>42536</c:v>
                </c:pt>
                <c:pt idx="57">
                  <c:v>42535</c:v>
                </c:pt>
                <c:pt idx="58">
                  <c:v>42535</c:v>
                </c:pt>
                <c:pt idx="59">
                  <c:v>42534</c:v>
                </c:pt>
                <c:pt idx="60">
                  <c:v>42531</c:v>
                </c:pt>
                <c:pt idx="61">
                  <c:v>42530</c:v>
                </c:pt>
                <c:pt idx="62">
                  <c:v>42529</c:v>
                </c:pt>
                <c:pt idx="63">
                  <c:v>42528</c:v>
                </c:pt>
                <c:pt idx="64">
                  <c:v>42527</c:v>
                </c:pt>
                <c:pt idx="65">
                  <c:v>42524</c:v>
                </c:pt>
                <c:pt idx="66">
                  <c:v>42523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53.08</c:v>
                </c:pt>
                <c:pt idx="1">
                  <c:v>53.31</c:v>
                </c:pt>
                <c:pt idx="2">
                  <c:v>54.3</c:v>
                </c:pt>
                <c:pt idx="3">
                  <c:v>56.08</c:v>
                </c:pt>
                <c:pt idx="4">
                  <c:v>56.42</c:v>
                </c:pt>
                <c:pt idx="5">
                  <c:v>56.67</c:v>
                </c:pt>
                <c:pt idx="6">
                  <c:v>56.81</c:v>
                </c:pt>
                <c:pt idx="7">
                  <c:v>56.35</c:v>
                </c:pt>
                <c:pt idx="8">
                  <c:v>56.42</c:v>
                </c:pt>
                <c:pt idx="9">
                  <c:v>56.2</c:v>
                </c:pt>
                <c:pt idx="10">
                  <c:v>57.23</c:v>
                </c:pt>
                <c:pt idx="11">
                  <c:v>57.62</c:v>
                </c:pt>
                <c:pt idx="12">
                  <c:v>56.7</c:v>
                </c:pt>
                <c:pt idx="13">
                  <c:v>56.67</c:v>
                </c:pt>
                <c:pt idx="14">
                  <c:v>56.65</c:v>
                </c:pt>
                <c:pt idx="15">
                  <c:v>56.28</c:v>
                </c:pt>
                <c:pt idx="16">
                  <c:v>56.54</c:v>
                </c:pt>
                <c:pt idx="17">
                  <c:v>54.72</c:v>
                </c:pt>
                <c:pt idx="18">
                  <c:v>55.42</c:v>
                </c:pt>
                <c:pt idx="19">
                  <c:v>55.92</c:v>
                </c:pt>
                <c:pt idx="20">
                  <c:v>54.64</c:v>
                </c:pt>
                <c:pt idx="21">
                  <c:v>53.87</c:v>
                </c:pt>
                <c:pt idx="22">
                  <c:v>53.39</c:v>
                </c:pt>
                <c:pt idx="23">
                  <c:v>51.75</c:v>
                </c:pt>
                <c:pt idx="24">
                  <c:v>51.23</c:v>
                </c:pt>
                <c:pt idx="25">
                  <c:v>53.65</c:v>
                </c:pt>
                <c:pt idx="26">
                  <c:v>52.17</c:v>
                </c:pt>
                <c:pt idx="27">
                  <c:v>51.6</c:v>
                </c:pt>
                <c:pt idx="28">
                  <c:v>53.68</c:v>
                </c:pt>
                <c:pt idx="29">
                  <c:v>52.81</c:v>
                </c:pt>
                <c:pt idx="30">
                  <c:v>54.12</c:v>
                </c:pt>
                <c:pt idx="31">
                  <c:v>54.91</c:v>
                </c:pt>
                <c:pt idx="32">
                  <c:v>56.36</c:v>
                </c:pt>
                <c:pt idx="33">
                  <c:v>56.11</c:v>
                </c:pt>
                <c:pt idx="34">
                  <c:v>57.6</c:v>
                </c:pt>
                <c:pt idx="35">
                  <c:v>56.93</c:v>
                </c:pt>
                <c:pt idx="36">
                  <c:v>58.01</c:v>
                </c:pt>
                <c:pt idx="37">
                  <c:v>58.02</c:v>
                </c:pt>
                <c:pt idx="38">
                  <c:v>60.13</c:v>
                </c:pt>
                <c:pt idx="39">
                  <c:v>56.07</c:v>
                </c:pt>
                <c:pt idx="40">
                  <c:v>56.81</c:v>
                </c:pt>
                <c:pt idx="41">
                  <c:v>56.48</c:v>
                </c:pt>
                <c:pt idx="42">
                  <c:v>56.88</c:v>
                </c:pt>
                <c:pt idx="43">
                  <c:v>56.96</c:v>
                </c:pt>
                <c:pt idx="44">
                  <c:v>60.15</c:v>
                </c:pt>
                <c:pt idx="45">
                  <c:v>60.1</c:v>
                </c:pt>
                <c:pt idx="46">
                  <c:v>57.77</c:v>
                </c:pt>
                <c:pt idx="47">
                  <c:v>55.14</c:v>
                </c:pt>
                <c:pt idx="48">
                  <c:v>52.63</c:v>
                </c:pt>
                <c:pt idx="49">
                  <c:v>55.83</c:v>
                </c:pt>
                <c:pt idx="50">
                  <c:v>59.77</c:v>
                </c:pt>
                <c:pt idx="51">
                  <c:v>58.02</c:v>
                </c:pt>
                <c:pt idx="52">
                  <c:v>58.7</c:v>
                </c:pt>
                <c:pt idx="53">
                  <c:v>58.32</c:v>
                </c:pt>
                <c:pt idx="54">
                  <c:v>56.96</c:v>
                </c:pt>
                <c:pt idx="55">
                  <c:v>56.1</c:v>
                </c:pt>
                <c:pt idx="56">
                  <c:v>57.15</c:v>
                </c:pt>
                <c:pt idx="57">
                  <c:v>57.82</c:v>
                </c:pt>
                <c:pt idx="59">
                  <c:v>57.49</c:v>
                </c:pt>
                <c:pt idx="60">
                  <c:v>57.7</c:v>
                </c:pt>
                <c:pt idx="61">
                  <c:v>60.38</c:v>
                </c:pt>
                <c:pt idx="62">
                  <c:v>61.86</c:v>
                </c:pt>
                <c:pt idx="63">
                  <c:v>61.57</c:v>
                </c:pt>
                <c:pt idx="64">
                  <c:v>60.31</c:v>
                </c:pt>
                <c:pt idx="65">
                  <c:v>58.36</c:v>
                </c:pt>
                <c:pt idx="66">
                  <c:v>59.23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790696"/>
        <c:axId val="514796184"/>
      </c:lineChart>
      <c:dateAx>
        <c:axId val="514790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96184"/>
        <c:crosses val="autoZero"/>
        <c:auto val="1"/>
        <c:lblOffset val="100"/>
        <c:baseTimeUnit val="days"/>
      </c:dateAx>
      <c:valAx>
        <c:axId val="51479618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90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2-Sep-16</c:v>
                </c:pt>
                <c:pt idx="1">
                  <c:v>1-Sep-16</c:v>
                </c:pt>
                <c:pt idx="2">
                  <c:v>31-Aug-16</c:v>
                </c:pt>
                <c:pt idx="3">
                  <c:v>30-Aug-16</c:v>
                </c:pt>
                <c:pt idx="4">
                  <c:v>29-Aug-16</c:v>
                </c:pt>
                <c:pt idx="5">
                  <c:v>29-Aug-16</c:v>
                </c:pt>
                <c:pt idx="6">
                  <c:v>26-Aug-16</c:v>
                </c:pt>
                <c:pt idx="7">
                  <c:v>25-Aug-16</c:v>
                </c:pt>
                <c:pt idx="8">
                  <c:v>24-Aug-16</c:v>
                </c:pt>
                <c:pt idx="9">
                  <c:v>23-Aug-16</c:v>
                </c:pt>
                <c:pt idx="10">
                  <c:v>22-Aug-16</c:v>
                </c:pt>
                <c:pt idx="11">
                  <c:v>19-Aug-16</c:v>
                </c:pt>
                <c:pt idx="12">
                  <c:v>18-Aug-16</c:v>
                </c:pt>
                <c:pt idx="13">
                  <c:v>17-Aug-16</c:v>
                </c:pt>
                <c:pt idx="14">
                  <c:v>16-Aug-16</c:v>
                </c:pt>
                <c:pt idx="15">
                  <c:v>15-Aug-16</c:v>
                </c:pt>
                <c:pt idx="16">
                  <c:v>12-Aug-16</c:v>
                </c:pt>
                <c:pt idx="17">
                  <c:v>11-Aug-16</c:v>
                </c:pt>
                <c:pt idx="18">
                  <c:v>10-Aug-16</c:v>
                </c:pt>
                <c:pt idx="19">
                  <c:v>42591.00</c:v>
                </c:pt>
                <c:pt idx="20">
                  <c:v>8-Aug-16</c:v>
                </c:pt>
                <c:pt idx="21">
                  <c:v>5-Aug-16</c:v>
                </c:pt>
                <c:pt idx="22">
                  <c:v>4-Aug-16</c:v>
                </c:pt>
                <c:pt idx="23">
                  <c:v>3-Aug-16</c:v>
                </c:pt>
                <c:pt idx="24">
                  <c:v>2-Aug-16</c:v>
                </c:pt>
                <c:pt idx="25">
                  <c:v>1-Aug-16</c:v>
                </c:pt>
                <c:pt idx="26">
                  <c:v>29-Jul-16</c:v>
                </c:pt>
                <c:pt idx="27">
                  <c:v>28-Jul-16</c:v>
                </c:pt>
                <c:pt idx="28">
                  <c:v>27-Jul-16</c:v>
                </c:pt>
                <c:pt idx="29">
                  <c:v>26-Jul-16</c:v>
                </c:pt>
                <c:pt idx="30">
                  <c:v>25-Jul-16</c:v>
                </c:pt>
                <c:pt idx="31">
                  <c:v>22-Jul-16</c:v>
                </c:pt>
                <c:pt idx="32">
                  <c:v>21-Jul-16</c:v>
                </c:pt>
                <c:pt idx="33">
                  <c:v>20-Jul-16</c:v>
                </c:pt>
                <c:pt idx="34">
                  <c:v>19-Jul-16</c:v>
                </c:pt>
                <c:pt idx="35">
                  <c:v>18-Jul-16</c:v>
                </c:pt>
                <c:pt idx="36">
                  <c:v>15-Jul-16</c:v>
                </c:pt>
                <c:pt idx="37">
                  <c:v>14-Jul-16</c:v>
                </c:pt>
                <c:pt idx="38">
                  <c:v>13-Jul-16</c:v>
                </c:pt>
                <c:pt idx="39">
                  <c:v>12-Jul-16</c:v>
                </c:pt>
                <c:pt idx="40">
                  <c:v>11-Jul-16</c:v>
                </c:pt>
                <c:pt idx="41">
                  <c:v>8-Jul-16</c:v>
                </c:pt>
                <c:pt idx="42">
                  <c:v>7-Jul-16</c:v>
                </c:pt>
                <c:pt idx="43">
                  <c:v>6-Jul-16</c:v>
                </c:pt>
                <c:pt idx="44">
                  <c:v>5-Jul-16</c:v>
                </c:pt>
                <c:pt idx="45">
                  <c:v>1-Jul-16</c:v>
                </c:pt>
                <c:pt idx="46">
                  <c:v>30-Jun-16</c:v>
                </c:pt>
                <c:pt idx="47">
                  <c:v>29-Jun-16</c:v>
                </c:pt>
                <c:pt idx="48">
                  <c:v>28-Jun-16</c:v>
                </c:pt>
                <c:pt idx="49">
                  <c:v>27-Jun-16</c:v>
                </c:pt>
                <c:pt idx="50">
                  <c:v>24-Jun-16</c:v>
                </c:pt>
                <c:pt idx="51">
                  <c:v>23-Jun-16</c:v>
                </c:pt>
                <c:pt idx="52">
                  <c:v>22-Jun-16</c:v>
                </c:pt>
                <c:pt idx="53">
                  <c:v>21-Jun-16</c:v>
                </c:pt>
                <c:pt idx="54">
                  <c:v>20-Jun-16</c:v>
                </c:pt>
                <c:pt idx="55">
                  <c:v>17-Jun-16</c:v>
                </c:pt>
                <c:pt idx="56">
                  <c:v>16-Jun-16</c:v>
                </c:pt>
                <c:pt idx="57">
                  <c:v>15-Jun-16</c:v>
                </c:pt>
                <c:pt idx="58">
                  <c:v>14-Jun-16</c:v>
                </c:pt>
                <c:pt idx="59">
                  <c:v>13-Jun-16</c:v>
                </c:pt>
                <c:pt idx="60">
                  <c:v>10-Jun-16</c:v>
                </c:pt>
                <c:pt idx="61">
                  <c:v>9-Jun-16</c:v>
                </c:pt>
                <c:pt idx="62">
                  <c:v>8-Jun-16</c:v>
                </c:pt>
                <c:pt idx="63">
                  <c:v>7-Jun-16</c:v>
                </c:pt>
                <c:pt idx="64">
                  <c:v>6-Jun-16</c:v>
                </c:pt>
                <c:pt idx="65">
                  <c:v>3-Jun-16</c:v>
                </c:pt>
                <c:pt idx="66">
                  <c:v>2-Jun-16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95.28</c:v>
                </c:pt>
                <c:pt idx="1">
                  <c:v>95.29</c:v>
                </c:pt>
                <c:pt idx="2">
                  <c:v>95.53</c:v>
                </c:pt>
                <c:pt idx="3">
                  <c:v>95.85</c:v>
                </c:pt>
                <c:pt idx="4">
                  <c:v>96.06</c:v>
                </c:pt>
                <c:pt idx="6">
                  <c:v>95.12</c:v>
                </c:pt>
                <c:pt idx="7">
                  <c:v>95.08</c:v>
                </c:pt>
                <c:pt idx="8">
                  <c:v>95.48</c:v>
                </c:pt>
                <c:pt idx="9">
                  <c:v>96.01</c:v>
                </c:pt>
                <c:pt idx="10">
                  <c:v>95.33</c:v>
                </c:pt>
                <c:pt idx="11">
                  <c:v>95.68</c:v>
                </c:pt>
                <c:pt idx="12">
                  <c:v>95.83</c:v>
                </c:pt>
                <c:pt idx="13">
                  <c:v>94.57</c:v>
                </c:pt>
                <c:pt idx="14">
                  <c:v>92.89</c:v>
                </c:pt>
                <c:pt idx="15">
                  <c:v>92.5</c:v>
                </c:pt>
                <c:pt idx="16">
                  <c:v>91.9</c:v>
                </c:pt>
                <c:pt idx="17">
                  <c:v>92.96</c:v>
                </c:pt>
                <c:pt idx="18">
                  <c:v>92.44</c:v>
                </c:pt>
                <c:pt idx="19">
                  <c:v>93.07</c:v>
                </c:pt>
                <c:pt idx="20">
                  <c:v>93.86</c:v>
                </c:pt>
                <c:pt idx="21">
                  <c:v>93.85</c:v>
                </c:pt>
                <c:pt idx="22">
                  <c:v>92.67</c:v>
                </c:pt>
                <c:pt idx="23">
                  <c:v>92.87</c:v>
                </c:pt>
                <c:pt idx="24">
                  <c:v>91.3</c:v>
                </c:pt>
                <c:pt idx="25">
                  <c:v>93.06</c:v>
                </c:pt>
                <c:pt idx="26">
                  <c:v>93.05</c:v>
                </c:pt>
                <c:pt idx="27">
                  <c:v>93.08</c:v>
                </c:pt>
                <c:pt idx="28">
                  <c:v>91.63</c:v>
                </c:pt>
                <c:pt idx="29">
                  <c:v>93.01</c:v>
                </c:pt>
                <c:pt idx="30">
                  <c:v>92.28</c:v>
                </c:pt>
                <c:pt idx="31">
                  <c:v>92.85</c:v>
                </c:pt>
                <c:pt idx="32">
                  <c:v>90.93</c:v>
                </c:pt>
                <c:pt idx="33">
                  <c:v>94.12</c:v>
                </c:pt>
                <c:pt idx="34">
                  <c:v>93.95</c:v>
                </c:pt>
                <c:pt idx="35">
                  <c:v>94.12</c:v>
                </c:pt>
                <c:pt idx="36">
                  <c:v>93.98</c:v>
                </c:pt>
                <c:pt idx="37">
                  <c:v>94.7</c:v>
                </c:pt>
                <c:pt idx="38">
                  <c:v>94.14</c:v>
                </c:pt>
                <c:pt idx="39">
                  <c:v>92.06</c:v>
                </c:pt>
                <c:pt idx="40">
                  <c:v>91.39</c:v>
                </c:pt>
                <c:pt idx="41">
                  <c:v>90.69</c:v>
                </c:pt>
                <c:pt idx="42">
                  <c:v>88.03</c:v>
                </c:pt>
                <c:pt idx="43">
                  <c:v>87.44</c:v>
                </c:pt>
                <c:pt idx="44">
                  <c:v>87.16</c:v>
                </c:pt>
                <c:pt idx="45">
                  <c:v>87.34</c:v>
                </c:pt>
                <c:pt idx="46">
                  <c:v>87.25</c:v>
                </c:pt>
                <c:pt idx="47">
                  <c:v>86.28</c:v>
                </c:pt>
                <c:pt idx="48">
                  <c:v>84.8</c:v>
                </c:pt>
                <c:pt idx="49">
                  <c:v>82.49</c:v>
                </c:pt>
                <c:pt idx="50">
                  <c:v>85.25</c:v>
                </c:pt>
                <c:pt idx="51">
                  <c:v>88.54</c:v>
                </c:pt>
                <c:pt idx="52">
                  <c:v>87.49</c:v>
                </c:pt>
                <c:pt idx="53">
                  <c:v>87.65</c:v>
                </c:pt>
                <c:pt idx="54">
                  <c:v>88.09</c:v>
                </c:pt>
                <c:pt idx="55">
                  <c:v>87.58</c:v>
                </c:pt>
                <c:pt idx="56">
                  <c:v>87.09</c:v>
                </c:pt>
                <c:pt idx="57">
                  <c:v>87.54</c:v>
                </c:pt>
                <c:pt idx="58">
                  <c:v>87.98</c:v>
                </c:pt>
                <c:pt idx="59">
                  <c:v>88.71</c:v>
                </c:pt>
                <c:pt idx="60">
                  <c:v>88.78</c:v>
                </c:pt>
                <c:pt idx="61">
                  <c:v>89.39</c:v>
                </c:pt>
                <c:pt idx="62">
                  <c:v>89.04</c:v>
                </c:pt>
                <c:pt idx="63">
                  <c:v>87.57</c:v>
                </c:pt>
                <c:pt idx="64">
                  <c:v>86.85</c:v>
                </c:pt>
                <c:pt idx="65">
                  <c:v>86.38</c:v>
                </c:pt>
                <c:pt idx="66">
                  <c:v>84.61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793048"/>
        <c:axId val="514804808"/>
      </c:lineChart>
      <c:catAx>
        <c:axId val="5147930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804808"/>
        <c:crosses val="autoZero"/>
        <c:auto val="1"/>
        <c:lblAlgn val="ctr"/>
        <c:lblOffset val="100"/>
        <c:noMultiLvlLbl val="0"/>
      </c:catAx>
      <c:valAx>
        <c:axId val="514804808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93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42614</c:v>
                </c:pt>
                <c:pt idx="1">
                  <c:v>42613</c:v>
                </c:pt>
                <c:pt idx="2">
                  <c:v>42612</c:v>
                </c:pt>
                <c:pt idx="3">
                  <c:v>42611</c:v>
                </c:pt>
                <c:pt idx="4">
                  <c:v>42608</c:v>
                </c:pt>
                <c:pt idx="5">
                  <c:v>42607</c:v>
                </c:pt>
                <c:pt idx="6">
                  <c:v>42606</c:v>
                </c:pt>
                <c:pt idx="7">
                  <c:v>42605</c:v>
                </c:pt>
                <c:pt idx="8">
                  <c:v>42604</c:v>
                </c:pt>
                <c:pt idx="9">
                  <c:v>42601</c:v>
                </c:pt>
                <c:pt idx="10">
                  <c:v>42600</c:v>
                </c:pt>
                <c:pt idx="11">
                  <c:v>42599</c:v>
                </c:pt>
                <c:pt idx="12">
                  <c:v>42598</c:v>
                </c:pt>
                <c:pt idx="13">
                  <c:v>42597</c:v>
                </c:pt>
                <c:pt idx="14">
                  <c:v>42594</c:v>
                </c:pt>
                <c:pt idx="15">
                  <c:v>42593</c:v>
                </c:pt>
                <c:pt idx="16">
                  <c:v>42592</c:v>
                </c:pt>
                <c:pt idx="17">
                  <c:v>42591</c:v>
                </c:pt>
                <c:pt idx="18">
                  <c:v>42590</c:v>
                </c:pt>
                <c:pt idx="19">
                  <c:v>42587</c:v>
                </c:pt>
                <c:pt idx="20">
                  <c:v>42586</c:v>
                </c:pt>
                <c:pt idx="21">
                  <c:v>42585</c:v>
                </c:pt>
                <c:pt idx="22">
                  <c:v>42584</c:v>
                </c:pt>
                <c:pt idx="23">
                  <c:v>42583</c:v>
                </c:pt>
                <c:pt idx="24">
                  <c:v>42580</c:v>
                </c:pt>
                <c:pt idx="25">
                  <c:v>42579</c:v>
                </c:pt>
                <c:pt idx="26">
                  <c:v>42578</c:v>
                </c:pt>
                <c:pt idx="27">
                  <c:v>42577</c:v>
                </c:pt>
                <c:pt idx="28">
                  <c:v>42576</c:v>
                </c:pt>
                <c:pt idx="29">
                  <c:v>42573</c:v>
                </c:pt>
                <c:pt idx="30">
                  <c:v>42572</c:v>
                </c:pt>
                <c:pt idx="31">
                  <c:v>42571</c:v>
                </c:pt>
                <c:pt idx="32">
                  <c:v>42570</c:v>
                </c:pt>
                <c:pt idx="33">
                  <c:v>42569</c:v>
                </c:pt>
                <c:pt idx="34">
                  <c:v>42566</c:v>
                </c:pt>
                <c:pt idx="35">
                  <c:v>42565</c:v>
                </c:pt>
                <c:pt idx="36">
                  <c:v>42564</c:v>
                </c:pt>
                <c:pt idx="37">
                  <c:v>42563</c:v>
                </c:pt>
                <c:pt idx="38">
                  <c:v>42562</c:v>
                </c:pt>
                <c:pt idx="39">
                  <c:v>42559</c:v>
                </c:pt>
                <c:pt idx="40">
                  <c:v>42558</c:v>
                </c:pt>
                <c:pt idx="41">
                  <c:v>42557</c:v>
                </c:pt>
                <c:pt idx="42">
                  <c:v>42556</c:v>
                </c:pt>
                <c:pt idx="43">
                  <c:v>42552</c:v>
                </c:pt>
                <c:pt idx="44">
                  <c:v>42551</c:v>
                </c:pt>
                <c:pt idx="45">
                  <c:v>42550</c:v>
                </c:pt>
                <c:pt idx="46">
                  <c:v>42549</c:v>
                </c:pt>
                <c:pt idx="47">
                  <c:v>42548</c:v>
                </c:pt>
                <c:pt idx="48">
                  <c:v>42545</c:v>
                </c:pt>
                <c:pt idx="49">
                  <c:v>42544</c:v>
                </c:pt>
                <c:pt idx="50">
                  <c:v>42543</c:v>
                </c:pt>
                <c:pt idx="51">
                  <c:v>42542</c:v>
                </c:pt>
                <c:pt idx="52">
                  <c:v>42541</c:v>
                </c:pt>
                <c:pt idx="53">
                  <c:v>42538</c:v>
                </c:pt>
                <c:pt idx="54">
                  <c:v>42538</c:v>
                </c:pt>
                <c:pt idx="55">
                  <c:v>42537</c:v>
                </c:pt>
                <c:pt idx="56">
                  <c:v>42536</c:v>
                </c:pt>
                <c:pt idx="57">
                  <c:v>42535</c:v>
                </c:pt>
                <c:pt idx="58">
                  <c:v>42534</c:v>
                </c:pt>
                <c:pt idx="59">
                  <c:v>42531</c:v>
                </c:pt>
                <c:pt idx="60">
                  <c:v>42530</c:v>
                </c:pt>
                <c:pt idx="61">
                  <c:v>42529</c:v>
                </c:pt>
                <c:pt idx="62">
                  <c:v>42528</c:v>
                </c:pt>
                <c:pt idx="63">
                  <c:v>42527</c:v>
                </c:pt>
                <c:pt idx="64">
                  <c:v>42524</c:v>
                </c:pt>
                <c:pt idx="65">
                  <c:v>42523</c:v>
                </c:pt>
                <c:pt idx="66">
                  <c:v>42522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217.39</c:v>
                </c:pt>
                <c:pt idx="1">
                  <c:v>217.38</c:v>
                </c:pt>
                <c:pt idx="2">
                  <c:v>218</c:v>
                </c:pt>
                <c:pt idx="3">
                  <c:v>218.36</c:v>
                </c:pt>
                <c:pt idx="4">
                  <c:v>217.29</c:v>
                </c:pt>
                <c:pt idx="5">
                  <c:v>217.7</c:v>
                </c:pt>
                <c:pt idx="6">
                  <c:v>217.85</c:v>
                </c:pt>
                <c:pt idx="7">
                  <c:v>218.97</c:v>
                </c:pt>
                <c:pt idx="8">
                  <c:v>218.53</c:v>
                </c:pt>
                <c:pt idx="9">
                  <c:v>218.54</c:v>
                </c:pt>
                <c:pt idx="10">
                  <c:v>218.86</c:v>
                </c:pt>
                <c:pt idx="11">
                  <c:v>218.37</c:v>
                </c:pt>
                <c:pt idx="12">
                  <c:v>217.96</c:v>
                </c:pt>
                <c:pt idx="13">
                  <c:v>219.09</c:v>
                </c:pt>
                <c:pt idx="14">
                  <c:v>218.46</c:v>
                </c:pt>
                <c:pt idx="15">
                  <c:v>218.65</c:v>
                </c:pt>
                <c:pt idx="16">
                  <c:v>217.64</c:v>
                </c:pt>
                <c:pt idx="17">
                  <c:v>218.18</c:v>
                </c:pt>
                <c:pt idx="18">
                  <c:v>218.05</c:v>
                </c:pt>
                <c:pt idx="19">
                  <c:v>218.18</c:v>
                </c:pt>
                <c:pt idx="20">
                  <c:v>216.41</c:v>
                </c:pt>
                <c:pt idx="21">
                  <c:v>216.18</c:v>
                </c:pt>
                <c:pt idx="22">
                  <c:v>215.55</c:v>
                </c:pt>
                <c:pt idx="23">
                  <c:v>216.94</c:v>
                </c:pt>
                <c:pt idx="24">
                  <c:v>217.12</c:v>
                </c:pt>
                <c:pt idx="25">
                  <c:v>216.77</c:v>
                </c:pt>
                <c:pt idx="26">
                  <c:v>216.52</c:v>
                </c:pt>
                <c:pt idx="27">
                  <c:v>216.75</c:v>
                </c:pt>
                <c:pt idx="28">
                  <c:v>216.65</c:v>
                </c:pt>
                <c:pt idx="29">
                  <c:v>217.24</c:v>
                </c:pt>
                <c:pt idx="30">
                  <c:v>216.27</c:v>
                </c:pt>
                <c:pt idx="31">
                  <c:v>217.09</c:v>
                </c:pt>
                <c:pt idx="32">
                  <c:v>216.19</c:v>
                </c:pt>
                <c:pt idx="33">
                  <c:v>216.41</c:v>
                </c:pt>
                <c:pt idx="34">
                  <c:v>215.83</c:v>
                </c:pt>
                <c:pt idx="35">
                  <c:v>216.12</c:v>
                </c:pt>
                <c:pt idx="36">
                  <c:v>214.92</c:v>
                </c:pt>
                <c:pt idx="37">
                  <c:v>214.95</c:v>
                </c:pt>
                <c:pt idx="38">
                  <c:v>213.4</c:v>
                </c:pt>
                <c:pt idx="39">
                  <c:v>212.65</c:v>
                </c:pt>
                <c:pt idx="40">
                  <c:v>209.53</c:v>
                </c:pt>
                <c:pt idx="41">
                  <c:v>209.66</c:v>
                </c:pt>
                <c:pt idx="42">
                  <c:v>208.41</c:v>
                </c:pt>
                <c:pt idx="43">
                  <c:v>209.92</c:v>
                </c:pt>
                <c:pt idx="44">
                  <c:v>209.48</c:v>
                </c:pt>
                <c:pt idx="45">
                  <c:v>206.66</c:v>
                </c:pt>
                <c:pt idx="46">
                  <c:v>203.2</c:v>
                </c:pt>
                <c:pt idx="47">
                  <c:v>199.6</c:v>
                </c:pt>
                <c:pt idx="48">
                  <c:v>203.24</c:v>
                </c:pt>
                <c:pt idx="49">
                  <c:v>210.81</c:v>
                </c:pt>
                <c:pt idx="50">
                  <c:v>208.1</c:v>
                </c:pt>
                <c:pt idx="51">
                  <c:v>208.44</c:v>
                </c:pt>
                <c:pt idx="52">
                  <c:v>207.85</c:v>
                </c:pt>
                <c:pt idx="53">
                  <c:v>206.52</c:v>
                </c:pt>
                <c:pt idx="55">
                  <c:v>208.37</c:v>
                </c:pt>
                <c:pt idx="56">
                  <c:v>207.75</c:v>
                </c:pt>
                <c:pt idx="57">
                  <c:v>208.04</c:v>
                </c:pt>
                <c:pt idx="58">
                  <c:v>208.45</c:v>
                </c:pt>
                <c:pt idx="59">
                  <c:v>210.07</c:v>
                </c:pt>
                <c:pt idx="60">
                  <c:v>212.08</c:v>
                </c:pt>
                <c:pt idx="61">
                  <c:v>212.37</c:v>
                </c:pt>
                <c:pt idx="62">
                  <c:v>211.68</c:v>
                </c:pt>
                <c:pt idx="63">
                  <c:v>211.35</c:v>
                </c:pt>
                <c:pt idx="64">
                  <c:v>210.28</c:v>
                </c:pt>
                <c:pt idx="65">
                  <c:v>210.91</c:v>
                </c:pt>
                <c:pt idx="66" formatCode="General">
                  <c:v>210.27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805200"/>
        <c:axId val="514800104"/>
      </c:lineChart>
      <c:dateAx>
        <c:axId val="514805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800104"/>
        <c:crosses val="autoZero"/>
        <c:auto val="1"/>
        <c:lblOffset val="100"/>
        <c:baseTimeUnit val="days"/>
      </c:dateAx>
      <c:valAx>
        <c:axId val="514800104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805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42615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42608</c:v>
                </c:pt>
                <c:pt idx="6">
                  <c:v>42607</c:v>
                </c:pt>
                <c:pt idx="7">
                  <c:v>42606</c:v>
                </c:pt>
                <c:pt idx="8">
                  <c:v>42605</c:v>
                </c:pt>
                <c:pt idx="9">
                  <c:v>42604</c:v>
                </c:pt>
                <c:pt idx="10">
                  <c:v>42601</c:v>
                </c:pt>
                <c:pt idx="11">
                  <c:v>42600</c:v>
                </c:pt>
                <c:pt idx="12">
                  <c:v>42599</c:v>
                </c:pt>
                <c:pt idx="13">
                  <c:v>42598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42592</c:v>
                </c:pt>
                <c:pt idx="18">
                  <c:v>42591</c:v>
                </c:pt>
                <c:pt idx="19">
                  <c:v>42590</c:v>
                </c:pt>
                <c:pt idx="20">
                  <c:v>42587</c:v>
                </c:pt>
                <c:pt idx="21">
                  <c:v>42586</c:v>
                </c:pt>
                <c:pt idx="22">
                  <c:v>42585</c:v>
                </c:pt>
                <c:pt idx="23">
                  <c:v>42584</c:v>
                </c:pt>
                <c:pt idx="24">
                  <c:v>42584</c:v>
                </c:pt>
                <c:pt idx="25">
                  <c:v>42583</c:v>
                </c:pt>
                <c:pt idx="26">
                  <c:v>42580</c:v>
                </c:pt>
                <c:pt idx="27">
                  <c:v>42579</c:v>
                </c:pt>
                <c:pt idx="28">
                  <c:v>42578</c:v>
                </c:pt>
                <c:pt idx="29">
                  <c:v>42577</c:v>
                </c:pt>
                <c:pt idx="30">
                  <c:v>42576</c:v>
                </c:pt>
                <c:pt idx="31">
                  <c:v>42573</c:v>
                </c:pt>
                <c:pt idx="32">
                  <c:v>42572</c:v>
                </c:pt>
                <c:pt idx="33">
                  <c:v>42571</c:v>
                </c:pt>
                <c:pt idx="34">
                  <c:v>42570</c:v>
                </c:pt>
                <c:pt idx="35">
                  <c:v>42569</c:v>
                </c:pt>
                <c:pt idx="36">
                  <c:v>42566</c:v>
                </c:pt>
                <c:pt idx="37">
                  <c:v>42565</c:v>
                </c:pt>
                <c:pt idx="38">
                  <c:v>42564</c:v>
                </c:pt>
                <c:pt idx="39">
                  <c:v>42563</c:v>
                </c:pt>
                <c:pt idx="40">
                  <c:v>42562</c:v>
                </c:pt>
                <c:pt idx="41">
                  <c:v>42559</c:v>
                </c:pt>
                <c:pt idx="42">
                  <c:v>42558</c:v>
                </c:pt>
                <c:pt idx="43">
                  <c:v>42557</c:v>
                </c:pt>
                <c:pt idx="44">
                  <c:v>42556</c:v>
                </c:pt>
                <c:pt idx="45">
                  <c:v>42552</c:v>
                </c:pt>
                <c:pt idx="46">
                  <c:v>42551</c:v>
                </c:pt>
                <c:pt idx="47">
                  <c:v>42550</c:v>
                </c:pt>
                <c:pt idx="48">
                  <c:v>42549</c:v>
                </c:pt>
                <c:pt idx="49">
                  <c:v>42548</c:v>
                </c:pt>
                <c:pt idx="50">
                  <c:v>42545</c:v>
                </c:pt>
                <c:pt idx="51">
                  <c:v>42544</c:v>
                </c:pt>
                <c:pt idx="52">
                  <c:v>42543</c:v>
                </c:pt>
                <c:pt idx="53">
                  <c:v>42542</c:v>
                </c:pt>
                <c:pt idx="54">
                  <c:v>42541</c:v>
                </c:pt>
                <c:pt idx="55">
                  <c:v>42538</c:v>
                </c:pt>
                <c:pt idx="56">
                  <c:v>42537</c:v>
                </c:pt>
                <c:pt idx="57">
                  <c:v>42536</c:v>
                </c:pt>
                <c:pt idx="58">
                  <c:v>42535</c:v>
                </c:pt>
                <c:pt idx="59">
                  <c:v>42534</c:v>
                </c:pt>
                <c:pt idx="60">
                  <c:v>42531</c:v>
                </c:pt>
                <c:pt idx="61">
                  <c:v>42530</c:v>
                </c:pt>
                <c:pt idx="62">
                  <c:v>42529</c:v>
                </c:pt>
                <c:pt idx="63">
                  <c:v>42528</c:v>
                </c:pt>
                <c:pt idx="64">
                  <c:v>42527</c:v>
                </c:pt>
                <c:pt idx="65">
                  <c:v>42524</c:v>
                </c:pt>
                <c:pt idx="66">
                  <c:v>42523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74.62</c:v>
                </c:pt>
                <c:pt idx="1">
                  <c:v>75.09</c:v>
                </c:pt>
                <c:pt idx="2">
                  <c:v>74.86</c:v>
                </c:pt>
                <c:pt idx="3">
                  <c:v>74.2</c:v>
                </c:pt>
                <c:pt idx="4">
                  <c:v>75.22</c:v>
                </c:pt>
                <c:pt idx="5">
                  <c:v>74.84</c:v>
                </c:pt>
                <c:pt idx="6">
                  <c:v>74.33</c:v>
                </c:pt>
                <c:pt idx="7">
                  <c:v>73.290000000000006</c:v>
                </c:pt>
                <c:pt idx="8">
                  <c:v>73.78</c:v>
                </c:pt>
                <c:pt idx="9">
                  <c:v>72.62</c:v>
                </c:pt>
                <c:pt idx="10">
                  <c:v>72.290000000000006</c:v>
                </c:pt>
                <c:pt idx="11">
                  <c:v>71.8</c:v>
                </c:pt>
                <c:pt idx="12">
                  <c:v>70.19</c:v>
                </c:pt>
                <c:pt idx="13">
                  <c:v>69.599999999999994</c:v>
                </c:pt>
                <c:pt idx="14">
                  <c:v>69.5</c:v>
                </c:pt>
                <c:pt idx="15">
                  <c:v>67.53</c:v>
                </c:pt>
                <c:pt idx="16">
                  <c:v>67.41</c:v>
                </c:pt>
                <c:pt idx="17">
                  <c:v>66.41</c:v>
                </c:pt>
                <c:pt idx="18">
                  <c:v>67</c:v>
                </c:pt>
                <c:pt idx="19">
                  <c:v>65.94</c:v>
                </c:pt>
                <c:pt idx="20">
                  <c:v>66.55</c:v>
                </c:pt>
                <c:pt idx="21">
                  <c:v>65.16</c:v>
                </c:pt>
                <c:pt idx="22">
                  <c:v>64.39</c:v>
                </c:pt>
                <c:pt idx="23">
                  <c:v>65.040000000000006</c:v>
                </c:pt>
                <c:pt idx="25">
                  <c:v>66.14</c:v>
                </c:pt>
                <c:pt idx="26">
                  <c:v>66.02</c:v>
                </c:pt>
                <c:pt idx="27">
                  <c:v>66.47</c:v>
                </c:pt>
                <c:pt idx="28">
                  <c:v>66.47</c:v>
                </c:pt>
                <c:pt idx="29">
                  <c:v>65.87</c:v>
                </c:pt>
                <c:pt idx="30">
                  <c:v>64.94</c:v>
                </c:pt>
                <c:pt idx="31">
                  <c:v>64.81</c:v>
                </c:pt>
                <c:pt idx="32">
                  <c:v>70.92</c:v>
                </c:pt>
                <c:pt idx="33">
                  <c:v>69.489999999999995</c:v>
                </c:pt>
                <c:pt idx="34">
                  <c:v>68.33</c:v>
                </c:pt>
                <c:pt idx="35">
                  <c:v>68.7</c:v>
                </c:pt>
                <c:pt idx="36">
                  <c:v>67.39</c:v>
                </c:pt>
                <c:pt idx="37">
                  <c:v>67.39</c:v>
                </c:pt>
                <c:pt idx="38">
                  <c:v>65.349999999999994</c:v>
                </c:pt>
                <c:pt idx="39">
                  <c:v>65.8</c:v>
                </c:pt>
                <c:pt idx="40">
                  <c:v>64.64</c:v>
                </c:pt>
                <c:pt idx="41">
                  <c:v>62.91</c:v>
                </c:pt>
                <c:pt idx="42">
                  <c:v>60.89</c:v>
                </c:pt>
                <c:pt idx="43">
                  <c:v>59.16</c:v>
                </c:pt>
                <c:pt idx="44">
                  <c:v>58.82</c:v>
                </c:pt>
                <c:pt idx="45">
                  <c:v>62.6</c:v>
                </c:pt>
                <c:pt idx="46">
                  <c:v>63.28</c:v>
                </c:pt>
                <c:pt idx="47">
                  <c:v>61.73</c:v>
                </c:pt>
                <c:pt idx="48">
                  <c:v>60.26</c:v>
                </c:pt>
                <c:pt idx="49">
                  <c:v>58.01</c:v>
                </c:pt>
                <c:pt idx="50">
                  <c:v>61.61</c:v>
                </c:pt>
                <c:pt idx="51">
                  <c:v>67.209999999999994</c:v>
                </c:pt>
                <c:pt idx="52">
                  <c:v>65.349999999999994</c:v>
                </c:pt>
                <c:pt idx="53">
                  <c:v>65.459999999999994</c:v>
                </c:pt>
                <c:pt idx="54">
                  <c:v>65.95</c:v>
                </c:pt>
                <c:pt idx="55">
                  <c:v>63.97</c:v>
                </c:pt>
                <c:pt idx="56">
                  <c:v>64.78</c:v>
                </c:pt>
                <c:pt idx="57">
                  <c:v>64.989999999999995</c:v>
                </c:pt>
                <c:pt idx="58">
                  <c:v>65.010000000000005</c:v>
                </c:pt>
                <c:pt idx="59">
                  <c:v>64.959999999999994</c:v>
                </c:pt>
                <c:pt idx="60">
                  <c:v>65.55</c:v>
                </c:pt>
                <c:pt idx="61">
                  <c:v>67.97</c:v>
                </c:pt>
                <c:pt idx="62">
                  <c:v>68.38</c:v>
                </c:pt>
                <c:pt idx="63">
                  <c:v>68.67</c:v>
                </c:pt>
                <c:pt idx="64">
                  <c:v>66.11</c:v>
                </c:pt>
                <c:pt idx="65">
                  <c:v>66.94</c:v>
                </c:pt>
                <c:pt idx="66">
                  <c:v>66.58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799712"/>
        <c:axId val="514800888"/>
      </c:lineChart>
      <c:dateAx>
        <c:axId val="514799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800888"/>
        <c:crosses val="autoZero"/>
        <c:auto val="1"/>
        <c:lblOffset val="100"/>
        <c:baseTimeUnit val="days"/>
      </c:dateAx>
      <c:valAx>
        <c:axId val="51480088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799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42615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42608</c:v>
                </c:pt>
                <c:pt idx="6">
                  <c:v>42607</c:v>
                </c:pt>
                <c:pt idx="7">
                  <c:v>42606</c:v>
                </c:pt>
                <c:pt idx="8">
                  <c:v>42605</c:v>
                </c:pt>
                <c:pt idx="9">
                  <c:v>42604</c:v>
                </c:pt>
                <c:pt idx="10">
                  <c:v>42601</c:v>
                </c:pt>
                <c:pt idx="11">
                  <c:v>42600</c:v>
                </c:pt>
                <c:pt idx="12">
                  <c:v>42599</c:v>
                </c:pt>
                <c:pt idx="13">
                  <c:v>42598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42592</c:v>
                </c:pt>
                <c:pt idx="18">
                  <c:v>42591</c:v>
                </c:pt>
                <c:pt idx="19">
                  <c:v>42590</c:v>
                </c:pt>
                <c:pt idx="20">
                  <c:v>42587</c:v>
                </c:pt>
                <c:pt idx="21">
                  <c:v>42586</c:v>
                </c:pt>
                <c:pt idx="22">
                  <c:v>42585</c:v>
                </c:pt>
                <c:pt idx="23">
                  <c:v>42584</c:v>
                </c:pt>
                <c:pt idx="24">
                  <c:v>42583</c:v>
                </c:pt>
                <c:pt idx="25">
                  <c:v>42580</c:v>
                </c:pt>
                <c:pt idx="26">
                  <c:v>42579</c:v>
                </c:pt>
                <c:pt idx="27">
                  <c:v>42578</c:v>
                </c:pt>
                <c:pt idx="28">
                  <c:v>42577</c:v>
                </c:pt>
                <c:pt idx="29">
                  <c:v>42576</c:v>
                </c:pt>
                <c:pt idx="30">
                  <c:v>42573</c:v>
                </c:pt>
                <c:pt idx="31">
                  <c:v>42572</c:v>
                </c:pt>
                <c:pt idx="32">
                  <c:v>42571</c:v>
                </c:pt>
                <c:pt idx="33">
                  <c:v>42570</c:v>
                </c:pt>
                <c:pt idx="34">
                  <c:v>42569</c:v>
                </c:pt>
                <c:pt idx="35">
                  <c:v>42566</c:v>
                </c:pt>
                <c:pt idx="36">
                  <c:v>42565</c:v>
                </c:pt>
                <c:pt idx="37">
                  <c:v>42564</c:v>
                </c:pt>
                <c:pt idx="38">
                  <c:v>42563</c:v>
                </c:pt>
                <c:pt idx="39">
                  <c:v>42562</c:v>
                </c:pt>
                <c:pt idx="40">
                  <c:v>42559</c:v>
                </c:pt>
                <c:pt idx="41">
                  <c:v>42558</c:v>
                </c:pt>
                <c:pt idx="42">
                  <c:v>42557</c:v>
                </c:pt>
                <c:pt idx="43">
                  <c:v>42556</c:v>
                </c:pt>
                <c:pt idx="44">
                  <c:v>42552</c:v>
                </c:pt>
                <c:pt idx="45">
                  <c:v>42551</c:v>
                </c:pt>
                <c:pt idx="46">
                  <c:v>42550</c:v>
                </c:pt>
                <c:pt idx="47">
                  <c:v>42549</c:v>
                </c:pt>
                <c:pt idx="48">
                  <c:v>42548</c:v>
                </c:pt>
                <c:pt idx="49">
                  <c:v>42545</c:v>
                </c:pt>
                <c:pt idx="50">
                  <c:v>42544</c:v>
                </c:pt>
                <c:pt idx="51">
                  <c:v>42543</c:v>
                </c:pt>
                <c:pt idx="52">
                  <c:v>42542</c:v>
                </c:pt>
                <c:pt idx="53">
                  <c:v>42541</c:v>
                </c:pt>
                <c:pt idx="54">
                  <c:v>42538</c:v>
                </c:pt>
                <c:pt idx="55">
                  <c:v>42537</c:v>
                </c:pt>
                <c:pt idx="56">
                  <c:v>42536</c:v>
                </c:pt>
                <c:pt idx="57">
                  <c:v>42535</c:v>
                </c:pt>
                <c:pt idx="58">
                  <c:v>42534</c:v>
                </c:pt>
                <c:pt idx="59">
                  <c:v>42531</c:v>
                </c:pt>
                <c:pt idx="60">
                  <c:v>42530</c:v>
                </c:pt>
                <c:pt idx="61">
                  <c:v>42529</c:v>
                </c:pt>
                <c:pt idx="62">
                  <c:v>42528</c:v>
                </c:pt>
                <c:pt idx="63">
                  <c:v>42528</c:v>
                </c:pt>
                <c:pt idx="64">
                  <c:v>42527</c:v>
                </c:pt>
                <c:pt idx="65">
                  <c:v>42524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65.459999999999994</c:v>
                </c:pt>
                <c:pt idx="1">
                  <c:v>64.67</c:v>
                </c:pt>
                <c:pt idx="2">
                  <c:v>64.31</c:v>
                </c:pt>
                <c:pt idx="3">
                  <c:v>64.930000000000007</c:v>
                </c:pt>
                <c:pt idx="4">
                  <c:v>65.38</c:v>
                </c:pt>
                <c:pt idx="5">
                  <c:v>65.099999999999994</c:v>
                </c:pt>
                <c:pt idx="6">
                  <c:v>64.959999999999994</c:v>
                </c:pt>
                <c:pt idx="7">
                  <c:v>64.959999999999994</c:v>
                </c:pt>
                <c:pt idx="8">
                  <c:v>65.16</c:v>
                </c:pt>
                <c:pt idx="9">
                  <c:v>64.92</c:v>
                </c:pt>
                <c:pt idx="10">
                  <c:v>64.81</c:v>
                </c:pt>
                <c:pt idx="11">
                  <c:v>64.739999999999995</c:v>
                </c:pt>
                <c:pt idx="12">
                  <c:v>64.239999999999995</c:v>
                </c:pt>
                <c:pt idx="13">
                  <c:v>63.44</c:v>
                </c:pt>
                <c:pt idx="14">
                  <c:v>63.36</c:v>
                </c:pt>
                <c:pt idx="15">
                  <c:v>63.09</c:v>
                </c:pt>
                <c:pt idx="16">
                  <c:v>63.53</c:v>
                </c:pt>
                <c:pt idx="17">
                  <c:v>62.7</c:v>
                </c:pt>
                <c:pt idx="18">
                  <c:v>62.74</c:v>
                </c:pt>
                <c:pt idx="19">
                  <c:v>62.29</c:v>
                </c:pt>
                <c:pt idx="20">
                  <c:v>61.95</c:v>
                </c:pt>
                <c:pt idx="21">
                  <c:v>61.8</c:v>
                </c:pt>
                <c:pt idx="22">
                  <c:v>62.26</c:v>
                </c:pt>
                <c:pt idx="23">
                  <c:v>61.82</c:v>
                </c:pt>
                <c:pt idx="24">
                  <c:v>62.71</c:v>
                </c:pt>
                <c:pt idx="25">
                  <c:v>63.21</c:v>
                </c:pt>
                <c:pt idx="26">
                  <c:v>63.56</c:v>
                </c:pt>
                <c:pt idx="27">
                  <c:v>63.65</c:v>
                </c:pt>
                <c:pt idx="28">
                  <c:v>63.33</c:v>
                </c:pt>
                <c:pt idx="29">
                  <c:v>63.47</c:v>
                </c:pt>
                <c:pt idx="30">
                  <c:v>63.33</c:v>
                </c:pt>
                <c:pt idx="31">
                  <c:v>62.96</c:v>
                </c:pt>
                <c:pt idx="32">
                  <c:v>63.63</c:v>
                </c:pt>
                <c:pt idx="33">
                  <c:v>62.58</c:v>
                </c:pt>
                <c:pt idx="34">
                  <c:v>62.72</c:v>
                </c:pt>
                <c:pt idx="35">
                  <c:v>62.29</c:v>
                </c:pt>
                <c:pt idx="36">
                  <c:v>62.43</c:v>
                </c:pt>
                <c:pt idx="37">
                  <c:v>61.73</c:v>
                </c:pt>
                <c:pt idx="38">
                  <c:v>61.19</c:v>
                </c:pt>
                <c:pt idx="39">
                  <c:v>59.53</c:v>
                </c:pt>
                <c:pt idx="40">
                  <c:v>59.91</c:v>
                </c:pt>
                <c:pt idx="41">
                  <c:v>59</c:v>
                </c:pt>
                <c:pt idx="42">
                  <c:v>59.38</c:v>
                </c:pt>
                <c:pt idx="43">
                  <c:v>59.2</c:v>
                </c:pt>
                <c:pt idx="44">
                  <c:v>59.24</c:v>
                </c:pt>
                <c:pt idx="45">
                  <c:v>59.06</c:v>
                </c:pt>
                <c:pt idx="46">
                  <c:v>58.52</c:v>
                </c:pt>
                <c:pt idx="47">
                  <c:v>57.51</c:v>
                </c:pt>
                <c:pt idx="48">
                  <c:v>56.4</c:v>
                </c:pt>
                <c:pt idx="49">
                  <c:v>57.01</c:v>
                </c:pt>
                <c:pt idx="50">
                  <c:v>59.58</c:v>
                </c:pt>
                <c:pt idx="51">
                  <c:v>59.02</c:v>
                </c:pt>
                <c:pt idx="52">
                  <c:v>58.4</c:v>
                </c:pt>
                <c:pt idx="53">
                  <c:v>58.91</c:v>
                </c:pt>
                <c:pt idx="54">
                  <c:v>58.39</c:v>
                </c:pt>
                <c:pt idx="55">
                  <c:v>57.99</c:v>
                </c:pt>
                <c:pt idx="56">
                  <c:v>58.09</c:v>
                </c:pt>
                <c:pt idx="57">
                  <c:v>58.37</c:v>
                </c:pt>
                <c:pt idx="58">
                  <c:v>58.52</c:v>
                </c:pt>
                <c:pt idx="59">
                  <c:v>59.19</c:v>
                </c:pt>
                <c:pt idx="60">
                  <c:v>60.21</c:v>
                </c:pt>
                <c:pt idx="61">
                  <c:v>60.72</c:v>
                </c:pt>
                <c:pt idx="62">
                  <c:v>60.6</c:v>
                </c:pt>
                <c:pt idx="64">
                  <c:v>60.42</c:v>
                </c:pt>
                <c:pt idx="65">
                  <c:v>59.97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803632"/>
        <c:axId val="514804024"/>
      </c:lineChart>
      <c:dateAx>
        <c:axId val="5148036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804024"/>
        <c:crosses val="autoZero"/>
        <c:auto val="1"/>
        <c:lblOffset val="100"/>
        <c:baseTimeUnit val="days"/>
      </c:dateAx>
      <c:valAx>
        <c:axId val="51480402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80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42615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42608</c:v>
                </c:pt>
                <c:pt idx="6">
                  <c:v>42607</c:v>
                </c:pt>
                <c:pt idx="7">
                  <c:v>42606</c:v>
                </c:pt>
                <c:pt idx="8">
                  <c:v>42605</c:v>
                </c:pt>
                <c:pt idx="9">
                  <c:v>42604</c:v>
                </c:pt>
                <c:pt idx="10">
                  <c:v>42601</c:v>
                </c:pt>
                <c:pt idx="11">
                  <c:v>42600</c:v>
                </c:pt>
                <c:pt idx="12">
                  <c:v>42599</c:v>
                </c:pt>
                <c:pt idx="13">
                  <c:v>42598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42592</c:v>
                </c:pt>
                <c:pt idx="18">
                  <c:v>42591</c:v>
                </c:pt>
                <c:pt idx="19">
                  <c:v>42590</c:v>
                </c:pt>
                <c:pt idx="20">
                  <c:v>42587</c:v>
                </c:pt>
                <c:pt idx="21">
                  <c:v>42586</c:v>
                </c:pt>
                <c:pt idx="22">
                  <c:v>42585</c:v>
                </c:pt>
                <c:pt idx="23">
                  <c:v>42585</c:v>
                </c:pt>
                <c:pt idx="24">
                  <c:v>42584</c:v>
                </c:pt>
                <c:pt idx="25">
                  <c:v>42583</c:v>
                </c:pt>
                <c:pt idx="26">
                  <c:v>42580</c:v>
                </c:pt>
                <c:pt idx="27">
                  <c:v>42579</c:v>
                </c:pt>
                <c:pt idx="28">
                  <c:v>42578</c:v>
                </c:pt>
                <c:pt idx="29">
                  <c:v>42577</c:v>
                </c:pt>
                <c:pt idx="30">
                  <c:v>42576</c:v>
                </c:pt>
                <c:pt idx="31">
                  <c:v>42573</c:v>
                </c:pt>
                <c:pt idx="32">
                  <c:v>42572</c:v>
                </c:pt>
                <c:pt idx="33">
                  <c:v>42571</c:v>
                </c:pt>
                <c:pt idx="34">
                  <c:v>42570</c:v>
                </c:pt>
                <c:pt idx="35">
                  <c:v>42569</c:v>
                </c:pt>
                <c:pt idx="36">
                  <c:v>42566</c:v>
                </c:pt>
                <c:pt idx="37">
                  <c:v>42565</c:v>
                </c:pt>
                <c:pt idx="38">
                  <c:v>42564</c:v>
                </c:pt>
                <c:pt idx="39">
                  <c:v>42563</c:v>
                </c:pt>
                <c:pt idx="40">
                  <c:v>42562</c:v>
                </c:pt>
                <c:pt idx="41">
                  <c:v>42559</c:v>
                </c:pt>
                <c:pt idx="42">
                  <c:v>42558</c:v>
                </c:pt>
                <c:pt idx="43">
                  <c:v>42557</c:v>
                </c:pt>
                <c:pt idx="44">
                  <c:v>42556</c:v>
                </c:pt>
                <c:pt idx="45">
                  <c:v>42552</c:v>
                </c:pt>
                <c:pt idx="46">
                  <c:v>42551</c:v>
                </c:pt>
                <c:pt idx="47">
                  <c:v>42550</c:v>
                </c:pt>
                <c:pt idx="48">
                  <c:v>42549</c:v>
                </c:pt>
                <c:pt idx="49">
                  <c:v>42548</c:v>
                </c:pt>
                <c:pt idx="50">
                  <c:v>42545</c:v>
                </c:pt>
                <c:pt idx="51">
                  <c:v>42544</c:v>
                </c:pt>
                <c:pt idx="52">
                  <c:v>42543</c:v>
                </c:pt>
                <c:pt idx="53">
                  <c:v>42542</c:v>
                </c:pt>
                <c:pt idx="54">
                  <c:v>42541</c:v>
                </c:pt>
                <c:pt idx="55">
                  <c:v>42538</c:v>
                </c:pt>
                <c:pt idx="56">
                  <c:v>42537</c:v>
                </c:pt>
                <c:pt idx="57">
                  <c:v>42536</c:v>
                </c:pt>
                <c:pt idx="58">
                  <c:v>42535</c:v>
                </c:pt>
                <c:pt idx="59">
                  <c:v>42534</c:v>
                </c:pt>
                <c:pt idx="60">
                  <c:v>42531</c:v>
                </c:pt>
                <c:pt idx="61">
                  <c:v>42530</c:v>
                </c:pt>
                <c:pt idx="62">
                  <c:v>42529</c:v>
                </c:pt>
                <c:pt idx="63">
                  <c:v>42528</c:v>
                </c:pt>
                <c:pt idx="64">
                  <c:v>42527</c:v>
                </c:pt>
                <c:pt idx="65">
                  <c:v>42524</c:v>
                </c:pt>
                <c:pt idx="66">
                  <c:v>42523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50.55</c:v>
                </c:pt>
                <c:pt idx="1">
                  <c:v>50.43</c:v>
                </c:pt>
                <c:pt idx="2">
                  <c:v>50.8</c:v>
                </c:pt>
                <c:pt idx="3">
                  <c:v>50.62</c:v>
                </c:pt>
                <c:pt idx="4">
                  <c:v>49.56</c:v>
                </c:pt>
                <c:pt idx="5">
                  <c:v>48.51</c:v>
                </c:pt>
                <c:pt idx="6">
                  <c:v>48.38</c:v>
                </c:pt>
                <c:pt idx="7">
                  <c:v>48.63</c:v>
                </c:pt>
                <c:pt idx="8">
                  <c:v>48.41</c:v>
                </c:pt>
                <c:pt idx="9">
                  <c:v>48.63</c:v>
                </c:pt>
                <c:pt idx="10">
                  <c:v>48.65</c:v>
                </c:pt>
                <c:pt idx="11">
                  <c:v>48.53</c:v>
                </c:pt>
                <c:pt idx="12">
                  <c:v>48.61</c:v>
                </c:pt>
                <c:pt idx="13">
                  <c:v>48.44</c:v>
                </c:pt>
                <c:pt idx="14">
                  <c:v>48.27</c:v>
                </c:pt>
                <c:pt idx="15">
                  <c:v>47.9</c:v>
                </c:pt>
                <c:pt idx="16">
                  <c:v>48.24</c:v>
                </c:pt>
                <c:pt idx="17">
                  <c:v>48.18</c:v>
                </c:pt>
                <c:pt idx="18">
                  <c:v>48.93</c:v>
                </c:pt>
                <c:pt idx="19">
                  <c:v>48.91</c:v>
                </c:pt>
                <c:pt idx="20">
                  <c:v>48.68</c:v>
                </c:pt>
                <c:pt idx="21">
                  <c:v>47.84</c:v>
                </c:pt>
                <c:pt idx="22">
                  <c:v>47.57</c:v>
                </c:pt>
                <c:pt idx="24">
                  <c:v>47.7</c:v>
                </c:pt>
                <c:pt idx="25">
                  <c:v>47.81</c:v>
                </c:pt>
                <c:pt idx="26">
                  <c:v>47.97</c:v>
                </c:pt>
                <c:pt idx="27">
                  <c:v>48.13</c:v>
                </c:pt>
                <c:pt idx="28">
                  <c:v>48</c:v>
                </c:pt>
                <c:pt idx="29">
                  <c:v>47.97</c:v>
                </c:pt>
                <c:pt idx="30">
                  <c:v>48.12</c:v>
                </c:pt>
                <c:pt idx="31">
                  <c:v>48.32</c:v>
                </c:pt>
                <c:pt idx="32">
                  <c:v>48.3</c:v>
                </c:pt>
                <c:pt idx="33">
                  <c:v>48.61</c:v>
                </c:pt>
                <c:pt idx="34">
                  <c:v>48.37</c:v>
                </c:pt>
                <c:pt idx="35">
                  <c:v>48.28</c:v>
                </c:pt>
                <c:pt idx="36">
                  <c:v>47.71</c:v>
                </c:pt>
                <c:pt idx="37">
                  <c:v>48.94</c:v>
                </c:pt>
                <c:pt idx="38">
                  <c:v>48.27</c:v>
                </c:pt>
                <c:pt idx="39">
                  <c:v>48.35</c:v>
                </c:pt>
                <c:pt idx="40">
                  <c:v>48.08</c:v>
                </c:pt>
                <c:pt idx="41">
                  <c:v>47.79</c:v>
                </c:pt>
                <c:pt idx="42">
                  <c:v>46.8</c:v>
                </c:pt>
                <c:pt idx="43">
                  <c:v>46.65</c:v>
                </c:pt>
                <c:pt idx="44">
                  <c:v>46.21</c:v>
                </c:pt>
                <c:pt idx="45">
                  <c:v>47.03</c:v>
                </c:pt>
                <c:pt idx="46">
                  <c:v>47.33</c:v>
                </c:pt>
                <c:pt idx="47">
                  <c:v>46.97</c:v>
                </c:pt>
                <c:pt idx="48">
                  <c:v>46.1</c:v>
                </c:pt>
                <c:pt idx="49">
                  <c:v>45.01</c:v>
                </c:pt>
                <c:pt idx="50">
                  <c:v>45.71</c:v>
                </c:pt>
                <c:pt idx="51">
                  <c:v>47.91</c:v>
                </c:pt>
                <c:pt idx="52">
                  <c:v>46.97</c:v>
                </c:pt>
                <c:pt idx="53">
                  <c:v>47.23</c:v>
                </c:pt>
                <c:pt idx="54">
                  <c:v>46.93</c:v>
                </c:pt>
                <c:pt idx="55">
                  <c:v>46.6</c:v>
                </c:pt>
                <c:pt idx="56">
                  <c:v>46.85</c:v>
                </c:pt>
                <c:pt idx="57">
                  <c:v>46.78</c:v>
                </c:pt>
                <c:pt idx="58">
                  <c:v>46.88</c:v>
                </c:pt>
                <c:pt idx="59">
                  <c:v>47.97</c:v>
                </c:pt>
                <c:pt idx="60">
                  <c:v>48.34</c:v>
                </c:pt>
                <c:pt idx="61">
                  <c:v>49.14</c:v>
                </c:pt>
                <c:pt idx="62">
                  <c:v>50</c:v>
                </c:pt>
                <c:pt idx="63">
                  <c:v>50.27</c:v>
                </c:pt>
                <c:pt idx="64">
                  <c:v>50.49</c:v>
                </c:pt>
                <c:pt idx="65">
                  <c:v>50.19</c:v>
                </c:pt>
                <c:pt idx="66">
                  <c:v>51.11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589080"/>
        <c:axId val="515587512"/>
      </c:lineChart>
      <c:dateAx>
        <c:axId val="515589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87512"/>
        <c:crosses val="autoZero"/>
        <c:auto val="1"/>
        <c:lblOffset val="100"/>
        <c:baseTimeUnit val="days"/>
      </c:dateAx>
      <c:valAx>
        <c:axId val="515587512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89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42615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42608</c:v>
                </c:pt>
                <c:pt idx="6">
                  <c:v>42607</c:v>
                </c:pt>
                <c:pt idx="7">
                  <c:v>42606</c:v>
                </c:pt>
                <c:pt idx="8">
                  <c:v>42605</c:v>
                </c:pt>
                <c:pt idx="9">
                  <c:v>42604</c:v>
                </c:pt>
                <c:pt idx="10">
                  <c:v>42601</c:v>
                </c:pt>
                <c:pt idx="11">
                  <c:v>42600</c:v>
                </c:pt>
                <c:pt idx="12">
                  <c:v>42599</c:v>
                </c:pt>
                <c:pt idx="13">
                  <c:v>42598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42592</c:v>
                </c:pt>
                <c:pt idx="18">
                  <c:v>42591</c:v>
                </c:pt>
                <c:pt idx="19">
                  <c:v>42590</c:v>
                </c:pt>
                <c:pt idx="20">
                  <c:v>42587</c:v>
                </c:pt>
                <c:pt idx="21">
                  <c:v>42586</c:v>
                </c:pt>
                <c:pt idx="22">
                  <c:v>42585</c:v>
                </c:pt>
                <c:pt idx="23">
                  <c:v>42585</c:v>
                </c:pt>
                <c:pt idx="24">
                  <c:v>42584</c:v>
                </c:pt>
                <c:pt idx="25">
                  <c:v>42583</c:v>
                </c:pt>
                <c:pt idx="26">
                  <c:v>42580</c:v>
                </c:pt>
                <c:pt idx="27">
                  <c:v>42579</c:v>
                </c:pt>
                <c:pt idx="28">
                  <c:v>42578</c:v>
                </c:pt>
                <c:pt idx="29">
                  <c:v>42577</c:v>
                </c:pt>
                <c:pt idx="30">
                  <c:v>42576</c:v>
                </c:pt>
                <c:pt idx="31">
                  <c:v>42573</c:v>
                </c:pt>
                <c:pt idx="32">
                  <c:v>42572</c:v>
                </c:pt>
                <c:pt idx="33">
                  <c:v>42571</c:v>
                </c:pt>
                <c:pt idx="34">
                  <c:v>42570</c:v>
                </c:pt>
                <c:pt idx="35">
                  <c:v>42569</c:v>
                </c:pt>
                <c:pt idx="36">
                  <c:v>42566</c:v>
                </c:pt>
                <c:pt idx="37">
                  <c:v>42565</c:v>
                </c:pt>
                <c:pt idx="38">
                  <c:v>42564</c:v>
                </c:pt>
                <c:pt idx="39">
                  <c:v>42563</c:v>
                </c:pt>
                <c:pt idx="40">
                  <c:v>42562</c:v>
                </c:pt>
                <c:pt idx="41">
                  <c:v>42559</c:v>
                </c:pt>
                <c:pt idx="42">
                  <c:v>42558</c:v>
                </c:pt>
                <c:pt idx="43">
                  <c:v>42557</c:v>
                </c:pt>
                <c:pt idx="44">
                  <c:v>42556</c:v>
                </c:pt>
                <c:pt idx="45">
                  <c:v>42552</c:v>
                </c:pt>
                <c:pt idx="46">
                  <c:v>42551</c:v>
                </c:pt>
                <c:pt idx="47">
                  <c:v>42550</c:v>
                </c:pt>
                <c:pt idx="48">
                  <c:v>42549</c:v>
                </c:pt>
                <c:pt idx="49">
                  <c:v>42548</c:v>
                </c:pt>
                <c:pt idx="50">
                  <c:v>42545</c:v>
                </c:pt>
                <c:pt idx="51">
                  <c:v>42544</c:v>
                </c:pt>
                <c:pt idx="52">
                  <c:v>42543</c:v>
                </c:pt>
                <c:pt idx="53">
                  <c:v>42542</c:v>
                </c:pt>
                <c:pt idx="54">
                  <c:v>42541</c:v>
                </c:pt>
                <c:pt idx="55">
                  <c:v>42538</c:v>
                </c:pt>
                <c:pt idx="56">
                  <c:v>42537</c:v>
                </c:pt>
                <c:pt idx="57">
                  <c:v>42536</c:v>
                </c:pt>
                <c:pt idx="58">
                  <c:v>42535</c:v>
                </c:pt>
                <c:pt idx="59">
                  <c:v>42534</c:v>
                </c:pt>
                <c:pt idx="60">
                  <c:v>42531</c:v>
                </c:pt>
                <c:pt idx="61">
                  <c:v>42530</c:v>
                </c:pt>
                <c:pt idx="62">
                  <c:v>42529</c:v>
                </c:pt>
                <c:pt idx="63">
                  <c:v>42528</c:v>
                </c:pt>
                <c:pt idx="64">
                  <c:v>42527</c:v>
                </c:pt>
                <c:pt idx="65">
                  <c:v>42524</c:v>
                </c:pt>
                <c:pt idx="66">
                  <c:v>42523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10.130000000000001</c:v>
                </c:pt>
                <c:pt idx="1">
                  <c:v>10.130000000000001</c:v>
                </c:pt>
                <c:pt idx="2">
                  <c:v>10.08</c:v>
                </c:pt>
                <c:pt idx="3">
                  <c:v>10.17</c:v>
                </c:pt>
                <c:pt idx="4">
                  <c:v>10.26</c:v>
                </c:pt>
                <c:pt idx="5">
                  <c:v>10</c:v>
                </c:pt>
                <c:pt idx="6">
                  <c:v>10.08</c:v>
                </c:pt>
                <c:pt idx="7">
                  <c:v>10.039999999999999</c:v>
                </c:pt>
                <c:pt idx="8">
                  <c:v>10.5</c:v>
                </c:pt>
                <c:pt idx="9">
                  <c:v>10.32</c:v>
                </c:pt>
                <c:pt idx="10">
                  <c:v>10.27</c:v>
                </c:pt>
                <c:pt idx="11">
                  <c:v>10.45</c:v>
                </c:pt>
                <c:pt idx="12">
                  <c:v>10.36</c:v>
                </c:pt>
                <c:pt idx="13">
                  <c:v>10.29</c:v>
                </c:pt>
                <c:pt idx="14">
                  <c:v>10.52</c:v>
                </c:pt>
                <c:pt idx="15">
                  <c:v>10.17</c:v>
                </c:pt>
                <c:pt idx="16">
                  <c:v>10.42</c:v>
                </c:pt>
                <c:pt idx="17">
                  <c:v>10.33</c:v>
                </c:pt>
                <c:pt idx="18">
                  <c:v>10.35</c:v>
                </c:pt>
                <c:pt idx="19">
                  <c:v>10.45</c:v>
                </c:pt>
                <c:pt idx="20">
                  <c:v>10.5</c:v>
                </c:pt>
                <c:pt idx="21">
                  <c:v>10.4</c:v>
                </c:pt>
                <c:pt idx="22">
                  <c:v>10.41</c:v>
                </c:pt>
                <c:pt idx="24">
                  <c:v>10.32</c:v>
                </c:pt>
                <c:pt idx="25">
                  <c:v>10.47</c:v>
                </c:pt>
                <c:pt idx="26">
                  <c:v>10.62</c:v>
                </c:pt>
                <c:pt idx="27">
                  <c:v>10.68</c:v>
                </c:pt>
                <c:pt idx="28">
                  <c:v>10.74</c:v>
                </c:pt>
                <c:pt idx="29">
                  <c:v>10.67</c:v>
                </c:pt>
                <c:pt idx="30">
                  <c:v>10.49</c:v>
                </c:pt>
                <c:pt idx="31">
                  <c:v>10.57</c:v>
                </c:pt>
                <c:pt idx="32">
                  <c:v>10.6</c:v>
                </c:pt>
                <c:pt idx="33">
                  <c:v>10.61</c:v>
                </c:pt>
                <c:pt idx="34">
                  <c:v>10.63</c:v>
                </c:pt>
                <c:pt idx="35">
                  <c:v>10.92</c:v>
                </c:pt>
                <c:pt idx="36">
                  <c:v>10.92</c:v>
                </c:pt>
                <c:pt idx="37">
                  <c:v>10.71</c:v>
                </c:pt>
                <c:pt idx="38">
                  <c:v>10.71</c:v>
                </c:pt>
                <c:pt idx="39">
                  <c:v>10.69</c:v>
                </c:pt>
                <c:pt idx="40">
                  <c:v>10.14</c:v>
                </c:pt>
                <c:pt idx="41">
                  <c:v>9.82</c:v>
                </c:pt>
                <c:pt idx="42">
                  <c:v>9.34</c:v>
                </c:pt>
                <c:pt idx="43">
                  <c:v>9.19</c:v>
                </c:pt>
                <c:pt idx="44">
                  <c:v>9.26</c:v>
                </c:pt>
                <c:pt idx="45">
                  <c:v>9.5500000000000007</c:v>
                </c:pt>
                <c:pt idx="46">
                  <c:v>9.27</c:v>
                </c:pt>
                <c:pt idx="47">
                  <c:v>9.1</c:v>
                </c:pt>
                <c:pt idx="48">
                  <c:v>9.33</c:v>
                </c:pt>
                <c:pt idx="49">
                  <c:v>9.1</c:v>
                </c:pt>
                <c:pt idx="50">
                  <c:v>9.3800000000000008</c:v>
                </c:pt>
                <c:pt idx="51">
                  <c:v>10.15</c:v>
                </c:pt>
                <c:pt idx="52">
                  <c:v>9.89</c:v>
                </c:pt>
                <c:pt idx="53">
                  <c:v>9.86</c:v>
                </c:pt>
                <c:pt idx="54">
                  <c:v>9.76</c:v>
                </c:pt>
                <c:pt idx="55">
                  <c:v>9.58</c:v>
                </c:pt>
                <c:pt idx="56">
                  <c:v>9.39</c:v>
                </c:pt>
                <c:pt idx="57">
                  <c:v>9.4499999999999993</c:v>
                </c:pt>
                <c:pt idx="58">
                  <c:v>9.1</c:v>
                </c:pt>
                <c:pt idx="59">
                  <c:v>9.32</c:v>
                </c:pt>
                <c:pt idx="60">
                  <c:v>9.49</c:v>
                </c:pt>
                <c:pt idx="61">
                  <c:v>9.84</c:v>
                </c:pt>
                <c:pt idx="62">
                  <c:v>9.89</c:v>
                </c:pt>
                <c:pt idx="63">
                  <c:v>9.7899999999999991</c:v>
                </c:pt>
                <c:pt idx="64">
                  <c:v>9.84</c:v>
                </c:pt>
                <c:pt idx="65">
                  <c:v>9.52</c:v>
                </c:pt>
                <c:pt idx="66">
                  <c:v>9.33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587904"/>
        <c:axId val="515589472"/>
      </c:lineChart>
      <c:dateAx>
        <c:axId val="5155879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89472"/>
        <c:crosses val="autoZero"/>
        <c:auto val="1"/>
        <c:lblOffset val="100"/>
        <c:baseTimeUnit val="days"/>
      </c:dateAx>
      <c:valAx>
        <c:axId val="515589472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8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42615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42608</c:v>
                </c:pt>
                <c:pt idx="6">
                  <c:v>42607</c:v>
                </c:pt>
                <c:pt idx="7">
                  <c:v>42606</c:v>
                </c:pt>
                <c:pt idx="8">
                  <c:v>42605</c:v>
                </c:pt>
                <c:pt idx="9">
                  <c:v>42604</c:v>
                </c:pt>
                <c:pt idx="10">
                  <c:v>42601</c:v>
                </c:pt>
                <c:pt idx="11">
                  <c:v>42600</c:v>
                </c:pt>
                <c:pt idx="12">
                  <c:v>42599</c:v>
                </c:pt>
                <c:pt idx="13">
                  <c:v>42598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42592</c:v>
                </c:pt>
                <c:pt idx="18">
                  <c:v>42591</c:v>
                </c:pt>
                <c:pt idx="19">
                  <c:v>42590</c:v>
                </c:pt>
                <c:pt idx="20">
                  <c:v>42587</c:v>
                </c:pt>
                <c:pt idx="21">
                  <c:v>42586</c:v>
                </c:pt>
                <c:pt idx="22">
                  <c:v>42585</c:v>
                </c:pt>
                <c:pt idx="23">
                  <c:v>42584</c:v>
                </c:pt>
                <c:pt idx="24">
                  <c:v>42583</c:v>
                </c:pt>
                <c:pt idx="25">
                  <c:v>42580</c:v>
                </c:pt>
                <c:pt idx="26">
                  <c:v>42579</c:v>
                </c:pt>
                <c:pt idx="27">
                  <c:v>42578</c:v>
                </c:pt>
                <c:pt idx="28">
                  <c:v>42577</c:v>
                </c:pt>
                <c:pt idx="29">
                  <c:v>42576</c:v>
                </c:pt>
                <c:pt idx="30">
                  <c:v>42573</c:v>
                </c:pt>
                <c:pt idx="31">
                  <c:v>42572</c:v>
                </c:pt>
                <c:pt idx="32">
                  <c:v>42571</c:v>
                </c:pt>
                <c:pt idx="33">
                  <c:v>42570</c:v>
                </c:pt>
                <c:pt idx="34">
                  <c:v>42569</c:v>
                </c:pt>
                <c:pt idx="35">
                  <c:v>42566</c:v>
                </c:pt>
                <c:pt idx="36">
                  <c:v>42565</c:v>
                </c:pt>
                <c:pt idx="37">
                  <c:v>42564</c:v>
                </c:pt>
                <c:pt idx="38">
                  <c:v>42563</c:v>
                </c:pt>
                <c:pt idx="39">
                  <c:v>42562</c:v>
                </c:pt>
                <c:pt idx="40">
                  <c:v>42559</c:v>
                </c:pt>
                <c:pt idx="41">
                  <c:v>42558</c:v>
                </c:pt>
                <c:pt idx="42">
                  <c:v>42557</c:v>
                </c:pt>
                <c:pt idx="43">
                  <c:v>42556</c:v>
                </c:pt>
                <c:pt idx="44">
                  <c:v>42552</c:v>
                </c:pt>
                <c:pt idx="45">
                  <c:v>42551</c:v>
                </c:pt>
                <c:pt idx="46">
                  <c:v>42550</c:v>
                </c:pt>
                <c:pt idx="47">
                  <c:v>42549</c:v>
                </c:pt>
                <c:pt idx="48">
                  <c:v>42548</c:v>
                </c:pt>
                <c:pt idx="49">
                  <c:v>42545</c:v>
                </c:pt>
                <c:pt idx="50">
                  <c:v>42544</c:v>
                </c:pt>
                <c:pt idx="51">
                  <c:v>42543</c:v>
                </c:pt>
                <c:pt idx="52">
                  <c:v>42542</c:v>
                </c:pt>
                <c:pt idx="53">
                  <c:v>42541</c:v>
                </c:pt>
                <c:pt idx="54">
                  <c:v>42538</c:v>
                </c:pt>
                <c:pt idx="55">
                  <c:v>42537</c:v>
                </c:pt>
                <c:pt idx="56">
                  <c:v>42536</c:v>
                </c:pt>
                <c:pt idx="57">
                  <c:v>42535</c:v>
                </c:pt>
                <c:pt idx="58">
                  <c:v>42534</c:v>
                </c:pt>
                <c:pt idx="59">
                  <c:v>42531</c:v>
                </c:pt>
                <c:pt idx="60">
                  <c:v>42530</c:v>
                </c:pt>
                <c:pt idx="61">
                  <c:v>42529</c:v>
                </c:pt>
                <c:pt idx="62">
                  <c:v>42528</c:v>
                </c:pt>
                <c:pt idx="63">
                  <c:v>42527</c:v>
                </c:pt>
                <c:pt idx="64">
                  <c:v>42524</c:v>
                </c:pt>
                <c:pt idx="65">
                  <c:v>42523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19.12</c:v>
                </c:pt>
                <c:pt idx="1">
                  <c:v>18.86</c:v>
                </c:pt>
                <c:pt idx="2">
                  <c:v>18.66</c:v>
                </c:pt>
                <c:pt idx="3">
                  <c:v>18.8</c:v>
                </c:pt>
                <c:pt idx="4">
                  <c:v>19.079999999999998</c:v>
                </c:pt>
                <c:pt idx="5">
                  <c:v>19.04</c:v>
                </c:pt>
                <c:pt idx="6">
                  <c:v>19.350000000000001</c:v>
                </c:pt>
                <c:pt idx="7">
                  <c:v>19.37</c:v>
                </c:pt>
                <c:pt idx="8">
                  <c:v>19.78</c:v>
                </c:pt>
                <c:pt idx="9">
                  <c:v>19.18</c:v>
                </c:pt>
                <c:pt idx="10">
                  <c:v>19.47</c:v>
                </c:pt>
                <c:pt idx="11">
                  <c:v>19.23</c:v>
                </c:pt>
                <c:pt idx="12">
                  <c:v>18.48</c:v>
                </c:pt>
                <c:pt idx="13">
                  <c:v>18.78</c:v>
                </c:pt>
                <c:pt idx="14">
                  <c:v>18.89</c:v>
                </c:pt>
                <c:pt idx="15">
                  <c:v>18.95</c:v>
                </c:pt>
                <c:pt idx="16">
                  <c:v>18.61</c:v>
                </c:pt>
                <c:pt idx="17">
                  <c:v>17.190000000000001</c:v>
                </c:pt>
                <c:pt idx="18">
                  <c:v>17.309999999999999</c:v>
                </c:pt>
                <c:pt idx="19">
                  <c:v>17.46</c:v>
                </c:pt>
                <c:pt idx="20">
                  <c:v>17.55</c:v>
                </c:pt>
                <c:pt idx="21">
                  <c:v>16.8</c:v>
                </c:pt>
                <c:pt idx="22">
                  <c:v>16.47</c:v>
                </c:pt>
                <c:pt idx="23">
                  <c:v>20.14</c:v>
                </c:pt>
                <c:pt idx="24">
                  <c:v>21.5</c:v>
                </c:pt>
                <c:pt idx="25">
                  <c:v>21.69</c:v>
                </c:pt>
                <c:pt idx="26">
                  <c:v>21.84</c:v>
                </c:pt>
                <c:pt idx="27">
                  <c:v>21.66</c:v>
                </c:pt>
                <c:pt idx="28">
                  <c:v>21.75</c:v>
                </c:pt>
                <c:pt idx="29">
                  <c:v>21.58</c:v>
                </c:pt>
                <c:pt idx="30">
                  <c:v>21.48</c:v>
                </c:pt>
                <c:pt idx="31">
                  <c:v>21.26</c:v>
                </c:pt>
                <c:pt idx="32">
                  <c:v>21.54</c:v>
                </c:pt>
                <c:pt idx="33">
                  <c:v>20.81</c:v>
                </c:pt>
                <c:pt idx="34">
                  <c:v>20.94</c:v>
                </c:pt>
                <c:pt idx="35">
                  <c:v>21.06</c:v>
                </c:pt>
                <c:pt idx="36">
                  <c:v>21.02</c:v>
                </c:pt>
                <c:pt idx="37">
                  <c:v>20.99</c:v>
                </c:pt>
                <c:pt idx="38">
                  <c:v>21.59</c:v>
                </c:pt>
                <c:pt idx="39">
                  <c:v>21.33</c:v>
                </c:pt>
                <c:pt idx="40">
                  <c:v>21.43</c:v>
                </c:pt>
                <c:pt idx="41">
                  <c:v>20.71</c:v>
                </c:pt>
                <c:pt idx="42">
                  <c:v>20.059999999999999</c:v>
                </c:pt>
                <c:pt idx="43">
                  <c:v>19.899999999999999</c:v>
                </c:pt>
                <c:pt idx="44">
                  <c:v>21.04</c:v>
                </c:pt>
                <c:pt idx="45">
                  <c:v>20.61</c:v>
                </c:pt>
                <c:pt idx="46">
                  <c:v>20.67</c:v>
                </c:pt>
                <c:pt idx="47">
                  <c:v>19.63</c:v>
                </c:pt>
                <c:pt idx="48">
                  <c:v>18.850000000000001</c:v>
                </c:pt>
                <c:pt idx="49">
                  <c:v>20.010000000000002</c:v>
                </c:pt>
                <c:pt idx="50">
                  <c:v>21.45</c:v>
                </c:pt>
                <c:pt idx="51">
                  <c:v>21.07</c:v>
                </c:pt>
                <c:pt idx="52">
                  <c:v>21.36</c:v>
                </c:pt>
                <c:pt idx="53">
                  <c:v>21.17</c:v>
                </c:pt>
                <c:pt idx="54">
                  <c:v>20.69</c:v>
                </c:pt>
                <c:pt idx="55">
                  <c:v>20.16</c:v>
                </c:pt>
                <c:pt idx="56">
                  <c:v>20.27</c:v>
                </c:pt>
                <c:pt idx="57">
                  <c:v>19.55</c:v>
                </c:pt>
                <c:pt idx="58">
                  <c:v>19.86</c:v>
                </c:pt>
                <c:pt idx="59">
                  <c:v>20.3</c:v>
                </c:pt>
                <c:pt idx="60">
                  <c:v>21.43</c:v>
                </c:pt>
                <c:pt idx="61">
                  <c:v>21.54</c:v>
                </c:pt>
                <c:pt idx="62">
                  <c:v>21.78</c:v>
                </c:pt>
                <c:pt idx="63">
                  <c:v>21.2</c:v>
                </c:pt>
                <c:pt idx="64">
                  <c:v>21.08</c:v>
                </c:pt>
                <c:pt idx="65">
                  <c:v>21.63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585552"/>
        <c:axId val="515587120"/>
      </c:lineChart>
      <c:dateAx>
        <c:axId val="5155855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87120"/>
        <c:crosses val="autoZero"/>
        <c:auto val="1"/>
        <c:lblOffset val="100"/>
        <c:baseTimeUnit val="days"/>
      </c:dateAx>
      <c:valAx>
        <c:axId val="515587120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8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42615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42611</c:v>
                </c:pt>
                <c:pt idx="6">
                  <c:v>42608</c:v>
                </c:pt>
                <c:pt idx="7">
                  <c:v>42607</c:v>
                </c:pt>
                <c:pt idx="8">
                  <c:v>42606</c:v>
                </c:pt>
                <c:pt idx="9">
                  <c:v>42605</c:v>
                </c:pt>
                <c:pt idx="10">
                  <c:v>42604</c:v>
                </c:pt>
                <c:pt idx="11">
                  <c:v>42601</c:v>
                </c:pt>
                <c:pt idx="12">
                  <c:v>42600</c:v>
                </c:pt>
                <c:pt idx="13">
                  <c:v>42599</c:v>
                </c:pt>
                <c:pt idx="14">
                  <c:v>42598</c:v>
                </c:pt>
                <c:pt idx="15">
                  <c:v>42597</c:v>
                </c:pt>
                <c:pt idx="16">
                  <c:v>42594</c:v>
                </c:pt>
                <c:pt idx="17">
                  <c:v>42593</c:v>
                </c:pt>
                <c:pt idx="18">
                  <c:v>42592</c:v>
                </c:pt>
                <c:pt idx="19">
                  <c:v>42591</c:v>
                </c:pt>
                <c:pt idx="20">
                  <c:v>42590</c:v>
                </c:pt>
                <c:pt idx="21">
                  <c:v>42587</c:v>
                </c:pt>
                <c:pt idx="22">
                  <c:v>42586</c:v>
                </c:pt>
                <c:pt idx="23">
                  <c:v>42585</c:v>
                </c:pt>
                <c:pt idx="24">
                  <c:v>42584</c:v>
                </c:pt>
                <c:pt idx="25">
                  <c:v>42583</c:v>
                </c:pt>
                <c:pt idx="26">
                  <c:v>42580</c:v>
                </c:pt>
                <c:pt idx="27">
                  <c:v>42579</c:v>
                </c:pt>
                <c:pt idx="28">
                  <c:v>42578</c:v>
                </c:pt>
                <c:pt idx="29">
                  <c:v>42577</c:v>
                </c:pt>
                <c:pt idx="30">
                  <c:v>42576</c:v>
                </c:pt>
                <c:pt idx="31">
                  <c:v>42573</c:v>
                </c:pt>
                <c:pt idx="32">
                  <c:v>42572</c:v>
                </c:pt>
                <c:pt idx="33">
                  <c:v>42571</c:v>
                </c:pt>
                <c:pt idx="34">
                  <c:v>42570</c:v>
                </c:pt>
                <c:pt idx="35">
                  <c:v>42569</c:v>
                </c:pt>
                <c:pt idx="36">
                  <c:v>42566</c:v>
                </c:pt>
                <c:pt idx="37">
                  <c:v>42565</c:v>
                </c:pt>
                <c:pt idx="38">
                  <c:v>42564</c:v>
                </c:pt>
                <c:pt idx="39">
                  <c:v>42563</c:v>
                </c:pt>
                <c:pt idx="40">
                  <c:v>42562</c:v>
                </c:pt>
                <c:pt idx="41">
                  <c:v>42559</c:v>
                </c:pt>
                <c:pt idx="42">
                  <c:v>42558</c:v>
                </c:pt>
                <c:pt idx="43">
                  <c:v>42557</c:v>
                </c:pt>
                <c:pt idx="44">
                  <c:v>42556</c:v>
                </c:pt>
                <c:pt idx="45">
                  <c:v>42552</c:v>
                </c:pt>
                <c:pt idx="46">
                  <c:v>42551</c:v>
                </c:pt>
                <c:pt idx="47">
                  <c:v>42550</c:v>
                </c:pt>
                <c:pt idx="48">
                  <c:v>42549</c:v>
                </c:pt>
                <c:pt idx="49">
                  <c:v>42548</c:v>
                </c:pt>
                <c:pt idx="50">
                  <c:v>42545</c:v>
                </c:pt>
                <c:pt idx="51">
                  <c:v>42544</c:v>
                </c:pt>
                <c:pt idx="52">
                  <c:v>42543</c:v>
                </c:pt>
                <c:pt idx="53">
                  <c:v>42542</c:v>
                </c:pt>
                <c:pt idx="54">
                  <c:v>42541</c:v>
                </c:pt>
                <c:pt idx="55">
                  <c:v>42538</c:v>
                </c:pt>
                <c:pt idx="56">
                  <c:v>42537</c:v>
                </c:pt>
                <c:pt idx="57">
                  <c:v>42536</c:v>
                </c:pt>
                <c:pt idx="58">
                  <c:v>42535</c:v>
                </c:pt>
                <c:pt idx="59">
                  <c:v>42534</c:v>
                </c:pt>
                <c:pt idx="60">
                  <c:v>42531</c:v>
                </c:pt>
                <c:pt idx="61">
                  <c:v>42530</c:v>
                </c:pt>
                <c:pt idx="62">
                  <c:v>42529</c:v>
                </c:pt>
                <c:pt idx="63">
                  <c:v>42528</c:v>
                </c:pt>
                <c:pt idx="64">
                  <c:v>42527</c:v>
                </c:pt>
                <c:pt idx="65">
                  <c:v>42524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53.57</c:v>
                </c:pt>
                <c:pt idx="1">
                  <c:v>53.22</c:v>
                </c:pt>
                <c:pt idx="2">
                  <c:v>53.08</c:v>
                </c:pt>
                <c:pt idx="3">
                  <c:v>53.55</c:v>
                </c:pt>
                <c:pt idx="4">
                  <c:v>53.91</c:v>
                </c:pt>
                <c:pt idx="6">
                  <c:v>53.87</c:v>
                </c:pt>
                <c:pt idx="7">
                  <c:v>53.7</c:v>
                </c:pt>
                <c:pt idx="8">
                  <c:v>53.84</c:v>
                </c:pt>
                <c:pt idx="9">
                  <c:v>54.46</c:v>
                </c:pt>
                <c:pt idx="10">
                  <c:v>53.85</c:v>
                </c:pt>
                <c:pt idx="11">
                  <c:v>53.8</c:v>
                </c:pt>
                <c:pt idx="12">
                  <c:v>54</c:v>
                </c:pt>
                <c:pt idx="13">
                  <c:v>53.95</c:v>
                </c:pt>
                <c:pt idx="14">
                  <c:v>54.39</c:v>
                </c:pt>
                <c:pt idx="15">
                  <c:v>54.89</c:v>
                </c:pt>
                <c:pt idx="16">
                  <c:v>54.89</c:v>
                </c:pt>
                <c:pt idx="17">
                  <c:v>54.47</c:v>
                </c:pt>
                <c:pt idx="18">
                  <c:v>54.19</c:v>
                </c:pt>
                <c:pt idx="19">
                  <c:v>54.15</c:v>
                </c:pt>
                <c:pt idx="20">
                  <c:v>54.16</c:v>
                </c:pt>
                <c:pt idx="21">
                  <c:v>53.75</c:v>
                </c:pt>
                <c:pt idx="22">
                  <c:v>53.28</c:v>
                </c:pt>
                <c:pt idx="23">
                  <c:v>53.51</c:v>
                </c:pt>
                <c:pt idx="24">
                  <c:v>53.82</c:v>
                </c:pt>
                <c:pt idx="25">
                  <c:v>53.97</c:v>
                </c:pt>
                <c:pt idx="26">
                  <c:v>52.46</c:v>
                </c:pt>
                <c:pt idx="27">
                  <c:v>49.39</c:v>
                </c:pt>
                <c:pt idx="28">
                  <c:v>49.16</c:v>
                </c:pt>
                <c:pt idx="29">
                  <c:v>49.56</c:v>
                </c:pt>
                <c:pt idx="30">
                  <c:v>48.97</c:v>
                </c:pt>
                <c:pt idx="31">
                  <c:v>48.98</c:v>
                </c:pt>
                <c:pt idx="32">
                  <c:v>48.62</c:v>
                </c:pt>
                <c:pt idx="33">
                  <c:v>48.83</c:v>
                </c:pt>
                <c:pt idx="34">
                  <c:v>48.04</c:v>
                </c:pt>
                <c:pt idx="35">
                  <c:v>48.31</c:v>
                </c:pt>
                <c:pt idx="36">
                  <c:v>48.69</c:v>
                </c:pt>
                <c:pt idx="37">
                  <c:v>48.72</c:v>
                </c:pt>
                <c:pt idx="38">
                  <c:v>48.97</c:v>
                </c:pt>
                <c:pt idx="39">
                  <c:v>49.29</c:v>
                </c:pt>
                <c:pt idx="40">
                  <c:v>48.59</c:v>
                </c:pt>
                <c:pt idx="41">
                  <c:v>48.86</c:v>
                </c:pt>
                <c:pt idx="42">
                  <c:v>48.11</c:v>
                </c:pt>
                <c:pt idx="43">
                  <c:v>48.17</c:v>
                </c:pt>
                <c:pt idx="44">
                  <c:v>48.02</c:v>
                </c:pt>
                <c:pt idx="45">
                  <c:v>48.78</c:v>
                </c:pt>
                <c:pt idx="46">
                  <c:v>48.57</c:v>
                </c:pt>
                <c:pt idx="47">
                  <c:v>47.84</c:v>
                </c:pt>
                <c:pt idx="48">
                  <c:v>46.96</c:v>
                </c:pt>
                <c:pt idx="49">
                  <c:v>45.08</c:v>
                </c:pt>
                <c:pt idx="50">
                  <c:v>46.51</c:v>
                </c:pt>
                <c:pt idx="51">
                  <c:v>49.46</c:v>
                </c:pt>
                <c:pt idx="52">
                  <c:v>48.58</c:v>
                </c:pt>
                <c:pt idx="53">
                  <c:v>48.51</c:v>
                </c:pt>
                <c:pt idx="54">
                  <c:v>48.61</c:v>
                </c:pt>
                <c:pt idx="55">
                  <c:v>48.37</c:v>
                </c:pt>
                <c:pt idx="56">
                  <c:v>48.72</c:v>
                </c:pt>
                <c:pt idx="57">
                  <c:v>48.46</c:v>
                </c:pt>
                <c:pt idx="58">
                  <c:v>48.06</c:v>
                </c:pt>
                <c:pt idx="59">
                  <c:v>47.73</c:v>
                </c:pt>
                <c:pt idx="60">
                  <c:v>47.95</c:v>
                </c:pt>
                <c:pt idx="61">
                  <c:v>48.96</c:v>
                </c:pt>
                <c:pt idx="62">
                  <c:v>48.98</c:v>
                </c:pt>
                <c:pt idx="63">
                  <c:v>48.86</c:v>
                </c:pt>
                <c:pt idx="64">
                  <c:v>48.06</c:v>
                </c:pt>
                <c:pt idx="65">
                  <c:v>47.96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580848"/>
        <c:axId val="515582808"/>
      </c:lineChart>
      <c:dateAx>
        <c:axId val="5155808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82808"/>
        <c:crosses val="autoZero"/>
        <c:auto val="1"/>
        <c:lblOffset val="100"/>
        <c:baseTimeUnit val="days"/>
      </c:dateAx>
      <c:valAx>
        <c:axId val="515582808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80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42615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42608</c:v>
                </c:pt>
                <c:pt idx="6">
                  <c:v>42607</c:v>
                </c:pt>
                <c:pt idx="7">
                  <c:v>42606</c:v>
                </c:pt>
                <c:pt idx="8">
                  <c:v>42605</c:v>
                </c:pt>
                <c:pt idx="9">
                  <c:v>42604</c:v>
                </c:pt>
                <c:pt idx="10">
                  <c:v>42601</c:v>
                </c:pt>
                <c:pt idx="11">
                  <c:v>42600</c:v>
                </c:pt>
                <c:pt idx="12">
                  <c:v>42599</c:v>
                </c:pt>
                <c:pt idx="13">
                  <c:v>42598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42592</c:v>
                </c:pt>
                <c:pt idx="18">
                  <c:v>42591</c:v>
                </c:pt>
                <c:pt idx="19">
                  <c:v>42590</c:v>
                </c:pt>
                <c:pt idx="20">
                  <c:v>42587</c:v>
                </c:pt>
                <c:pt idx="21">
                  <c:v>42586</c:v>
                </c:pt>
                <c:pt idx="22">
                  <c:v>42585</c:v>
                </c:pt>
                <c:pt idx="23">
                  <c:v>42584</c:v>
                </c:pt>
                <c:pt idx="24">
                  <c:v>42583</c:v>
                </c:pt>
                <c:pt idx="25">
                  <c:v>42580</c:v>
                </c:pt>
                <c:pt idx="26">
                  <c:v>42579</c:v>
                </c:pt>
                <c:pt idx="27">
                  <c:v>42578</c:v>
                </c:pt>
                <c:pt idx="28">
                  <c:v>42577</c:v>
                </c:pt>
                <c:pt idx="29">
                  <c:v>42576</c:v>
                </c:pt>
                <c:pt idx="30">
                  <c:v>42573</c:v>
                </c:pt>
                <c:pt idx="31">
                  <c:v>42572</c:v>
                </c:pt>
                <c:pt idx="32">
                  <c:v>42571</c:v>
                </c:pt>
                <c:pt idx="33">
                  <c:v>42570</c:v>
                </c:pt>
                <c:pt idx="34">
                  <c:v>42569</c:v>
                </c:pt>
                <c:pt idx="35">
                  <c:v>42566</c:v>
                </c:pt>
                <c:pt idx="36">
                  <c:v>42565</c:v>
                </c:pt>
                <c:pt idx="37">
                  <c:v>42564</c:v>
                </c:pt>
                <c:pt idx="38">
                  <c:v>42563</c:v>
                </c:pt>
                <c:pt idx="39">
                  <c:v>42562</c:v>
                </c:pt>
                <c:pt idx="40">
                  <c:v>42559</c:v>
                </c:pt>
                <c:pt idx="41">
                  <c:v>42558</c:v>
                </c:pt>
                <c:pt idx="42">
                  <c:v>42557</c:v>
                </c:pt>
                <c:pt idx="43">
                  <c:v>42556</c:v>
                </c:pt>
                <c:pt idx="44">
                  <c:v>42552</c:v>
                </c:pt>
                <c:pt idx="45">
                  <c:v>42551</c:v>
                </c:pt>
                <c:pt idx="46">
                  <c:v>42550</c:v>
                </c:pt>
                <c:pt idx="47">
                  <c:v>42549</c:v>
                </c:pt>
                <c:pt idx="48">
                  <c:v>42548</c:v>
                </c:pt>
                <c:pt idx="49">
                  <c:v>42545</c:v>
                </c:pt>
                <c:pt idx="50">
                  <c:v>42544</c:v>
                </c:pt>
                <c:pt idx="51">
                  <c:v>42543</c:v>
                </c:pt>
                <c:pt idx="52">
                  <c:v>42542</c:v>
                </c:pt>
                <c:pt idx="53">
                  <c:v>42541</c:v>
                </c:pt>
                <c:pt idx="54">
                  <c:v>42538</c:v>
                </c:pt>
                <c:pt idx="55">
                  <c:v>42537</c:v>
                </c:pt>
                <c:pt idx="56">
                  <c:v>42536</c:v>
                </c:pt>
                <c:pt idx="57">
                  <c:v>42535</c:v>
                </c:pt>
                <c:pt idx="58">
                  <c:v>42534</c:v>
                </c:pt>
                <c:pt idx="59">
                  <c:v>42531</c:v>
                </c:pt>
                <c:pt idx="60">
                  <c:v>42530</c:v>
                </c:pt>
                <c:pt idx="61">
                  <c:v>42529</c:v>
                </c:pt>
                <c:pt idx="62">
                  <c:v>42528</c:v>
                </c:pt>
                <c:pt idx="63">
                  <c:v>42527</c:v>
                </c:pt>
                <c:pt idx="64">
                  <c:v>42524</c:v>
                </c:pt>
                <c:pt idx="65">
                  <c:v>42523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49.21</c:v>
                </c:pt>
                <c:pt idx="1">
                  <c:v>49.62</c:v>
                </c:pt>
                <c:pt idx="2">
                  <c:v>48.95</c:v>
                </c:pt>
                <c:pt idx="3">
                  <c:v>49.25</c:v>
                </c:pt>
                <c:pt idx="4">
                  <c:v>50.21</c:v>
                </c:pt>
                <c:pt idx="5">
                  <c:v>49.59</c:v>
                </c:pt>
                <c:pt idx="6">
                  <c:v>50.26</c:v>
                </c:pt>
                <c:pt idx="7">
                  <c:v>50.34</c:v>
                </c:pt>
                <c:pt idx="8">
                  <c:v>50.78</c:v>
                </c:pt>
                <c:pt idx="9">
                  <c:v>50.13</c:v>
                </c:pt>
                <c:pt idx="10">
                  <c:v>50.08</c:v>
                </c:pt>
                <c:pt idx="11">
                  <c:v>49.31</c:v>
                </c:pt>
                <c:pt idx="12">
                  <c:v>48.8</c:v>
                </c:pt>
                <c:pt idx="13">
                  <c:v>49.9</c:v>
                </c:pt>
                <c:pt idx="14">
                  <c:v>49.96</c:v>
                </c:pt>
                <c:pt idx="15">
                  <c:v>48.79</c:v>
                </c:pt>
                <c:pt idx="16">
                  <c:v>49.13</c:v>
                </c:pt>
                <c:pt idx="17">
                  <c:v>48.71</c:v>
                </c:pt>
                <c:pt idx="18">
                  <c:v>50.11</c:v>
                </c:pt>
                <c:pt idx="19">
                  <c:v>50.27</c:v>
                </c:pt>
                <c:pt idx="20">
                  <c:v>50.41</c:v>
                </c:pt>
                <c:pt idx="21">
                  <c:v>49.67</c:v>
                </c:pt>
                <c:pt idx="22">
                  <c:v>49.02</c:v>
                </c:pt>
                <c:pt idx="23">
                  <c:v>50.32</c:v>
                </c:pt>
                <c:pt idx="24">
                  <c:v>52.9</c:v>
                </c:pt>
                <c:pt idx="25">
                  <c:v>51.72</c:v>
                </c:pt>
                <c:pt idx="26">
                  <c:v>52.06</c:v>
                </c:pt>
                <c:pt idx="27">
                  <c:v>52.33</c:v>
                </c:pt>
                <c:pt idx="28">
                  <c:v>52.16</c:v>
                </c:pt>
                <c:pt idx="29">
                  <c:v>51.68</c:v>
                </c:pt>
                <c:pt idx="30">
                  <c:v>51.44</c:v>
                </c:pt>
                <c:pt idx="31">
                  <c:v>51.35</c:v>
                </c:pt>
                <c:pt idx="32">
                  <c:v>51.59</c:v>
                </c:pt>
                <c:pt idx="33">
                  <c:v>51.19</c:v>
                </c:pt>
                <c:pt idx="34">
                  <c:v>52</c:v>
                </c:pt>
                <c:pt idx="35">
                  <c:v>51.64</c:v>
                </c:pt>
                <c:pt idx="36">
                  <c:v>51.57</c:v>
                </c:pt>
                <c:pt idx="37">
                  <c:v>51.72</c:v>
                </c:pt>
                <c:pt idx="38">
                  <c:v>51.91</c:v>
                </c:pt>
                <c:pt idx="39">
                  <c:v>51.1</c:v>
                </c:pt>
                <c:pt idx="40">
                  <c:v>50.23</c:v>
                </c:pt>
                <c:pt idx="41">
                  <c:v>49.05</c:v>
                </c:pt>
                <c:pt idx="42">
                  <c:v>48.54</c:v>
                </c:pt>
                <c:pt idx="43">
                  <c:v>49.16</c:v>
                </c:pt>
                <c:pt idx="44">
                  <c:v>50.08</c:v>
                </c:pt>
                <c:pt idx="45">
                  <c:v>49.48</c:v>
                </c:pt>
                <c:pt idx="46">
                  <c:v>48.42</c:v>
                </c:pt>
                <c:pt idx="47">
                  <c:v>47.44</c:v>
                </c:pt>
                <c:pt idx="48">
                  <c:v>46.19</c:v>
                </c:pt>
                <c:pt idx="49">
                  <c:v>47.61</c:v>
                </c:pt>
                <c:pt idx="50">
                  <c:v>50.82</c:v>
                </c:pt>
                <c:pt idx="51">
                  <c:v>50.8</c:v>
                </c:pt>
                <c:pt idx="52">
                  <c:v>50.66</c:v>
                </c:pt>
                <c:pt idx="53">
                  <c:v>50.04</c:v>
                </c:pt>
                <c:pt idx="54">
                  <c:v>49.97</c:v>
                </c:pt>
                <c:pt idx="55">
                  <c:v>49.09</c:v>
                </c:pt>
                <c:pt idx="56">
                  <c:v>49.88</c:v>
                </c:pt>
                <c:pt idx="57">
                  <c:v>49.42</c:v>
                </c:pt>
                <c:pt idx="58">
                  <c:v>49.67</c:v>
                </c:pt>
                <c:pt idx="59">
                  <c:v>49.84</c:v>
                </c:pt>
                <c:pt idx="60">
                  <c:v>50.74</c:v>
                </c:pt>
                <c:pt idx="61">
                  <c:v>50.67</c:v>
                </c:pt>
                <c:pt idx="62">
                  <c:v>50.85</c:v>
                </c:pt>
                <c:pt idx="63">
                  <c:v>49.59</c:v>
                </c:pt>
                <c:pt idx="64">
                  <c:v>48.45</c:v>
                </c:pt>
                <c:pt idx="65">
                  <c:v>47.51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590648"/>
        <c:axId val="515585160"/>
      </c:lineChart>
      <c:dateAx>
        <c:axId val="5155906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85160"/>
        <c:crosses val="autoZero"/>
        <c:auto val="1"/>
        <c:lblOffset val="100"/>
        <c:baseTimeUnit val="days"/>
      </c:dateAx>
      <c:valAx>
        <c:axId val="51558516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90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2-Sep-16</c:v>
                </c:pt>
                <c:pt idx="1">
                  <c:v>1-Sep-16</c:v>
                </c:pt>
                <c:pt idx="2">
                  <c:v>31-Aug-16</c:v>
                </c:pt>
                <c:pt idx="3">
                  <c:v>30-Aug-16</c:v>
                </c:pt>
                <c:pt idx="4">
                  <c:v>29-Aug-16</c:v>
                </c:pt>
                <c:pt idx="5">
                  <c:v>29-Aug-16</c:v>
                </c:pt>
                <c:pt idx="6">
                  <c:v>26-Aug-16</c:v>
                </c:pt>
                <c:pt idx="7">
                  <c:v>25-Aug-16</c:v>
                </c:pt>
                <c:pt idx="8">
                  <c:v>24-Aug-16</c:v>
                </c:pt>
                <c:pt idx="9">
                  <c:v>23-Aug-16</c:v>
                </c:pt>
                <c:pt idx="10">
                  <c:v>22-Aug-16</c:v>
                </c:pt>
                <c:pt idx="11">
                  <c:v>19-Aug-16</c:v>
                </c:pt>
                <c:pt idx="12">
                  <c:v>18-Aug-16</c:v>
                </c:pt>
                <c:pt idx="13">
                  <c:v>17-Aug-16</c:v>
                </c:pt>
                <c:pt idx="14">
                  <c:v>16-Aug-16</c:v>
                </c:pt>
                <c:pt idx="15">
                  <c:v>15-Aug-16</c:v>
                </c:pt>
                <c:pt idx="16">
                  <c:v>12-Aug-16</c:v>
                </c:pt>
                <c:pt idx="17">
                  <c:v>11-Aug-16</c:v>
                </c:pt>
                <c:pt idx="18">
                  <c:v>10-Aug-16</c:v>
                </c:pt>
                <c:pt idx="19">
                  <c:v>9-Aug-16</c:v>
                </c:pt>
                <c:pt idx="20">
                  <c:v>8-Aug-16</c:v>
                </c:pt>
                <c:pt idx="21">
                  <c:v>5-Aug-16</c:v>
                </c:pt>
                <c:pt idx="22">
                  <c:v>4-Aug-16</c:v>
                </c:pt>
                <c:pt idx="23">
                  <c:v>3-Aug-16</c:v>
                </c:pt>
                <c:pt idx="24">
                  <c:v>2-Aug-16</c:v>
                </c:pt>
                <c:pt idx="25">
                  <c:v>1-Aug-16</c:v>
                </c:pt>
                <c:pt idx="26">
                  <c:v>29-Jul-16</c:v>
                </c:pt>
                <c:pt idx="27">
                  <c:v>28-Jul-16</c:v>
                </c:pt>
                <c:pt idx="28">
                  <c:v>27-Jul-16</c:v>
                </c:pt>
                <c:pt idx="29">
                  <c:v>26-Jul-16</c:v>
                </c:pt>
                <c:pt idx="30">
                  <c:v>25-Jul-16</c:v>
                </c:pt>
                <c:pt idx="31">
                  <c:v>22-Jul-16</c:v>
                </c:pt>
                <c:pt idx="32">
                  <c:v>21-Jul-16</c:v>
                </c:pt>
                <c:pt idx="33">
                  <c:v>20-Jul-16</c:v>
                </c:pt>
                <c:pt idx="34">
                  <c:v>19-Jul-16</c:v>
                </c:pt>
                <c:pt idx="35">
                  <c:v>18-Jul-16</c:v>
                </c:pt>
                <c:pt idx="36">
                  <c:v>15-Jul-16</c:v>
                </c:pt>
                <c:pt idx="37">
                  <c:v>14-Jul-16</c:v>
                </c:pt>
                <c:pt idx="38">
                  <c:v>13-Jul-16</c:v>
                </c:pt>
                <c:pt idx="39">
                  <c:v>12-Jul-16</c:v>
                </c:pt>
                <c:pt idx="40">
                  <c:v>11-Jul-16</c:v>
                </c:pt>
                <c:pt idx="41">
                  <c:v>8-Jul-16</c:v>
                </c:pt>
                <c:pt idx="42">
                  <c:v>7-Jul-16</c:v>
                </c:pt>
                <c:pt idx="43">
                  <c:v>6-Jul-16</c:v>
                </c:pt>
                <c:pt idx="44">
                  <c:v>5-Jul-16</c:v>
                </c:pt>
                <c:pt idx="45">
                  <c:v>1-Jul-16</c:v>
                </c:pt>
                <c:pt idx="46">
                  <c:v>30-Jun-16</c:v>
                </c:pt>
                <c:pt idx="47">
                  <c:v>29-Jun-16</c:v>
                </c:pt>
                <c:pt idx="48">
                  <c:v>28-Jun-16</c:v>
                </c:pt>
                <c:pt idx="49">
                  <c:v>27-Jun-16</c:v>
                </c:pt>
                <c:pt idx="50">
                  <c:v>24-Jun-16</c:v>
                </c:pt>
                <c:pt idx="51">
                  <c:v>23-Jun-16</c:v>
                </c:pt>
                <c:pt idx="52">
                  <c:v>22-Jun-16</c:v>
                </c:pt>
                <c:pt idx="53">
                  <c:v>21-Jun-16</c:v>
                </c:pt>
                <c:pt idx="54">
                  <c:v>20-Jun-16</c:v>
                </c:pt>
                <c:pt idx="55">
                  <c:v>17-Jun-16</c:v>
                </c:pt>
                <c:pt idx="56">
                  <c:v>16-Jun-16</c:v>
                </c:pt>
                <c:pt idx="57">
                  <c:v>15-Jun-16</c:v>
                </c:pt>
                <c:pt idx="58">
                  <c:v>14-Jun-16</c:v>
                </c:pt>
                <c:pt idx="59">
                  <c:v>13-Jun-16</c:v>
                </c:pt>
                <c:pt idx="60">
                  <c:v>10-Jun-16</c:v>
                </c:pt>
                <c:pt idx="61">
                  <c:v>9-Jun-16</c:v>
                </c:pt>
                <c:pt idx="62">
                  <c:v>8-Jun-16</c:v>
                </c:pt>
                <c:pt idx="63">
                  <c:v>7-Jun-16</c:v>
                </c:pt>
                <c:pt idx="64">
                  <c:v>6-Jun-16</c:v>
                </c:pt>
                <c:pt idx="65">
                  <c:v>3-Jun-16</c:v>
                </c:pt>
                <c:pt idx="66">
                  <c:v>2-Jun-16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68.95</c:v>
                </c:pt>
                <c:pt idx="1">
                  <c:v>68.66</c:v>
                </c:pt>
                <c:pt idx="2">
                  <c:v>68.959999999999994</c:v>
                </c:pt>
                <c:pt idx="3">
                  <c:v>69.17</c:v>
                </c:pt>
                <c:pt idx="4">
                  <c:v>68.739999999999995</c:v>
                </c:pt>
                <c:pt idx="6">
                  <c:v>68.319999999999993</c:v>
                </c:pt>
                <c:pt idx="7">
                  <c:v>68.540000000000006</c:v>
                </c:pt>
                <c:pt idx="8">
                  <c:v>68.260000000000005</c:v>
                </c:pt>
                <c:pt idx="9">
                  <c:v>68.36</c:v>
                </c:pt>
                <c:pt idx="10">
                  <c:v>68.87</c:v>
                </c:pt>
                <c:pt idx="11">
                  <c:v>69.17</c:v>
                </c:pt>
                <c:pt idx="12">
                  <c:v>69.44</c:v>
                </c:pt>
                <c:pt idx="13">
                  <c:v>69.12</c:v>
                </c:pt>
                <c:pt idx="14">
                  <c:v>68.95</c:v>
                </c:pt>
                <c:pt idx="15">
                  <c:v>69.39</c:v>
                </c:pt>
                <c:pt idx="16">
                  <c:v>69.13</c:v>
                </c:pt>
                <c:pt idx="17">
                  <c:v>69.11</c:v>
                </c:pt>
                <c:pt idx="18">
                  <c:v>69.42</c:v>
                </c:pt>
                <c:pt idx="19">
                  <c:v>69.37</c:v>
                </c:pt>
                <c:pt idx="20">
                  <c:v>69.17</c:v>
                </c:pt>
                <c:pt idx="21">
                  <c:v>68.84</c:v>
                </c:pt>
                <c:pt idx="22">
                  <c:v>68.62</c:v>
                </c:pt>
                <c:pt idx="23">
                  <c:v>68.63</c:v>
                </c:pt>
                <c:pt idx="24">
                  <c:v>68.11</c:v>
                </c:pt>
                <c:pt idx="25">
                  <c:v>68.39</c:v>
                </c:pt>
                <c:pt idx="26">
                  <c:v>68.33</c:v>
                </c:pt>
                <c:pt idx="27">
                  <c:v>69.17</c:v>
                </c:pt>
                <c:pt idx="28">
                  <c:v>68.86</c:v>
                </c:pt>
                <c:pt idx="29">
                  <c:v>69.040000000000006</c:v>
                </c:pt>
                <c:pt idx="30">
                  <c:v>69.22</c:v>
                </c:pt>
                <c:pt idx="31">
                  <c:v>69.2</c:v>
                </c:pt>
                <c:pt idx="32">
                  <c:v>68.89</c:v>
                </c:pt>
                <c:pt idx="33">
                  <c:v>69.099999999999994</c:v>
                </c:pt>
                <c:pt idx="34">
                  <c:v>69.12</c:v>
                </c:pt>
                <c:pt idx="35">
                  <c:v>69.349999999999994</c:v>
                </c:pt>
                <c:pt idx="36">
                  <c:v>69.489999999999995</c:v>
                </c:pt>
                <c:pt idx="37">
                  <c:v>69.31</c:v>
                </c:pt>
                <c:pt idx="38">
                  <c:v>69.28</c:v>
                </c:pt>
                <c:pt idx="39">
                  <c:v>69.599999999999994</c:v>
                </c:pt>
                <c:pt idx="40">
                  <c:v>69.94</c:v>
                </c:pt>
                <c:pt idx="41">
                  <c:v>69.66</c:v>
                </c:pt>
                <c:pt idx="42">
                  <c:v>68.94</c:v>
                </c:pt>
                <c:pt idx="43">
                  <c:v>69.459999999999994</c:v>
                </c:pt>
                <c:pt idx="44">
                  <c:v>69.31</c:v>
                </c:pt>
                <c:pt idx="45">
                  <c:v>69.56</c:v>
                </c:pt>
                <c:pt idx="46">
                  <c:v>69.95</c:v>
                </c:pt>
                <c:pt idx="47">
                  <c:v>68.47</c:v>
                </c:pt>
                <c:pt idx="48">
                  <c:v>67.73</c:v>
                </c:pt>
                <c:pt idx="49">
                  <c:v>66.06</c:v>
                </c:pt>
                <c:pt idx="50">
                  <c:v>66.260000000000005</c:v>
                </c:pt>
                <c:pt idx="51">
                  <c:v>67.86</c:v>
                </c:pt>
                <c:pt idx="52">
                  <c:v>67.02</c:v>
                </c:pt>
                <c:pt idx="53">
                  <c:v>66.8</c:v>
                </c:pt>
                <c:pt idx="54">
                  <c:v>66.569999999999993</c:v>
                </c:pt>
                <c:pt idx="55">
                  <c:v>66.42</c:v>
                </c:pt>
                <c:pt idx="56">
                  <c:v>66.47</c:v>
                </c:pt>
                <c:pt idx="57">
                  <c:v>65.87</c:v>
                </c:pt>
                <c:pt idx="58">
                  <c:v>66.69</c:v>
                </c:pt>
                <c:pt idx="59">
                  <c:v>66.88</c:v>
                </c:pt>
                <c:pt idx="60">
                  <c:v>67.459999999999994</c:v>
                </c:pt>
                <c:pt idx="61">
                  <c:v>67.790000000000006</c:v>
                </c:pt>
                <c:pt idx="62">
                  <c:v>67.680000000000007</c:v>
                </c:pt>
                <c:pt idx="63">
                  <c:v>67.430000000000007</c:v>
                </c:pt>
                <c:pt idx="64">
                  <c:v>67.62</c:v>
                </c:pt>
                <c:pt idx="65">
                  <c:v>67.430000000000007</c:v>
                </c:pt>
                <c:pt idx="66">
                  <c:v>67.44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594568"/>
        <c:axId val="515593392"/>
      </c:lineChart>
      <c:catAx>
        <c:axId val="5155945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93392"/>
        <c:crosses val="autoZero"/>
        <c:auto val="1"/>
        <c:lblAlgn val="ctr"/>
        <c:lblOffset val="100"/>
        <c:noMultiLvlLbl val="0"/>
      </c:catAx>
      <c:valAx>
        <c:axId val="515593392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94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9/2/2016</c:v>
                </c:pt>
                <c:pt idx="1">
                  <c:v>9/1/2016</c:v>
                </c:pt>
                <c:pt idx="2">
                  <c:v>8/31/2016</c:v>
                </c:pt>
                <c:pt idx="3">
                  <c:v>8/30/2016</c:v>
                </c:pt>
                <c:pt idx="4">
                  <c:v>8/29/2016</c:v>
                </c:pt>
                <c:pt idx="5">
                  <c:v>8/26/2016</c:v>
                </c:pt>
                <c:pt idx="6">
                  <c:v>8/25/2016</c:v>
                </c:pt>
                <c:pt idx="7">
                  <c:v>8/24/2016</c:v>
                </c:pt>
                <c:pt idx="8">
                  <c:v>8/23/2016</c:v>
                </c:pt>
                <c:pt idx="9">
                  <c:v>8/22/2016</c:v>
                </c:pt>
                <c:pt idx="10">
                  <c:v>8/19/2016</c:v>
                </c:pt>
                <c:pt idx="11">
                  <c:v>8/18/2016</c:v>
                </c:pt>
                <c:pt idx="12">
                  <c:v>8/17/2016</c:v>
                </c:pt>
                <c:pt idx="13">
                  <c:v>8/16/2016</c:v>
                </c:pt>
                <c:pt idx="14">
                  <c:v>8/15/2016</c:v>
                </c:pt>
                <c:pt idx="15">
                  <c:v>8/12/2016</c:v>
                </c:pt>
                <c:pt idx="16">
                  <c:v>8/11/2016</c:v>
                </c:pt>
                <c:pt idx="17">
                  <c:v>8/10/2016</c:v>
                </c:pt>
                <c:pt idx="18">
                  <c:v>8/9/2016</c:v>
                </c:pt>
                <c:pt idx="19">
                  <c:v>8/8/2016</c:v>
                </c:pt>
                <c:pt idx="20">
                  <c:v>8/5/2016</c:v>
                </c:pt>
                <c:pt idx="21">
                  <c:v>8/4/2016</c:v>
                </c:pt>
                <c:pt idx="22">
                  <c:v>8/4/2016</c:v>
                </c:pt>
                <c:pt idx="23">
                  <c:v>8/3/2016</c:v>
                </c:pt>
                <c:pt idx="24">
                  <c:v>8/2/2016</c:v>
                </c:pt>
                <c:pt idx="25">
                  <c:v>8/1/2016</c:v>
                </c:pt>
                <c:pt idx="26">
                  <c:v>7/29/2016</c:v>
                </c:pt>
                <c:pt idx="27">
                  <c:v>7/28/2016</c:v>
                </c:pt>
                <c:pt idx="28">
                  <c:v>7/27/2016</c:v>
                </c:pt>
                <c:pt idx="29">
                  <c:v>7/26/2016</c:v>
                </c:pt>
                <c:pt idx="30">
                  <c:v>7/25/2016</c:v>
                </c:pt>
                <c:pt idx="31">
                  <c:v>7/22/2016</c:v>
                </c:pt>
                <c:pt idx="32">
                  <c:v>7/21/2016</c:v>
                </c:pt>
                <c:pt idx="33">
                  <c:v>7/20/2016</c:v>
                </c:pt>
                <c:pt idx="34">
                  <c:v>7/19/2016</c:v>
                </c:pt>
                <c:pt idx="35">
                  <c:v>7/18/2016</c:v>
                </c:pt>
                <c:pt idx="36">
                  <c:v>7/15/2016</c:v>
                </c:pt>
                <c:pt idx="37">
                  <c:v>7/14/2016</c:v>
                </c:pt>
                <c:pt idx="38">
                  <c:v>7/13/2016</c:v>
                </c:pt>
                <c:pt idx="39">
                  <c:v>7/12/2016</c:v>
                </c:pt>
                <c:pt idx="40">
                  <c:v>7/11/2016</c:v>
                </c:pt>
                <c:pt idx="41">
                  <c:v>7/8/2016</c:v>
                </c:pt>
                <c:pt idx="42">
                  <c:v>7/7/2016</c:v>
                </c:pt>
                <c:pt idx="43">
                  <c:v>7/6/2016</c:v>
                </c:pt>
                <c:pt idx="44">
                  <c:v>7/5/2016</c:v>
                </c:pt>
                <c:pt idx="45">
                  <c:v>7/1/2016</c:v>
                </c:pt>
                <c:pt idx="46">
                  <c:v>6/30/2016</c:v>
                </c:pt>
                <c:pt idx="47">
                  <c:v>6/29/2016</c:v>
                </c:pt>
                <c:pt idx="48">
                  <c:v>6/28/2016</c:v>
                </c:pt>
                <c:pt idx="49">
                  <c:v>6/27/2016</c:v>
                </c:pt>
                <c:pt idx="50">
                  <c:v>6/24/2016</c:v>
                </c:pt>
                <c:pt idx="51">
                  <c:v>6/23/2016</c:v>
                </c:pt>
                <c:pt idx="52">
                  <c:v>6/22/2016</c:v>
                </c:pt>
                <c:pt idx="53">
                  <c:v>6/21/2016</c:v>
                </c:pt>
                <c:pt idx="54">
                  <c:v>6/20/2016</c:v>
                </c:pt>
                <c:pt idx="55">
                  <c:v>6/17/2016</c:v>
                </c:pt>
                <c:pt idx="56">
                  <c:v>6/16/2016</c:v>
                </c:pt>
                <c:pt idx="57">
                  <c:v>6/15/2016</c:v>
                </c:pt>
                <c:pt idx="58">
                  <c:v>6/14/2016</c:v>
                </c:pt>
                <c:pt idx="59">
                  <c:v>6/13/2016</c:v>
                </c:pt>
                <c:pt idx="60">
                  <c:v>6/10/2016</c:v>
                </c:pt>
                <c:pt idx="61">
                  <c:v>6/9/2016</c:v>
                </c:pt>
                <c:pt idx="62">
                  <c:v>6/8/2016</c:v>
                </c:pt>
                <c:pt idx="63">
                  <c:v>6/7/2016</c:v>
                </c:pt>
                <c:pt idx="64">
                  <c:v>6/6/2016</c:v>
                </c:pt>
                <c:pt idx="65">
                  <c:v>6/3/2016</c:v>
                </c:pt>
                <c:pt idx="66">
                  <c:v>6/2/2016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94.16</c:v>
                </c:pt>
                <c:pt idx="1">
                  <c:v>93.8</c:v>
                </c:pt>
                <c:pt idx="2">
                  <c:v>93.9</c:v>
                </c:pt>
                <c:pt idx="3">
                  <c:v>94.37</c:v>
                </c:pt>
                <c:pt idx="4">
                  <c:v>94.01</c:v>
                </c:pt>
                <c:pt idx="5">
                  <c:v>92.27</c:v>
                </c:pt>
                <c:pt idx="6">
                  <c:v>92.08</c:v>
                </c:pt>
                <c:pt idx="7">
                  <c:v>92.1</c:v>
                </c:pt>
                <c:pt idx="8">
                  <c:v>92.03</c:v>
                </c:pt>
                <c:pt idx="9">
                  <c:v>91.36</c:v>
                </c:pt>
                <c:pt idx="10">
                  <c:v>91.58</c:v>
                </c:pt>
                <c:pt idx="11">
                  <c:v>91.67</c:v>
                </c:pt>
                <c:pt idx="12">
                  <c:v>89.82</c:v>
                </c:pt>
                <c:pt idx="13">
                  <c:v>89.12</c:v>
                </c:pt>
                <c:pt idx="14">
                  <c:v>88.92</c:v>
                </c:pt>
                <c:pt idx="15">
                  <c:v>88.36</c:v>
                </c:pt>
                <c:pt idx="16">
                  <c:v>89.48</c:v>
                </c:pt>
                <c:pt idx="17">
                  <c:v>88.57</c:v>
                </c:pt>
                <c:pt idx="18">
                  <c:v>89.25</c:v>
                </c:pt>
                <c:pt idx="19">
                  <c:v>89.52</c:v>
                </c:pt>
                <c:pt idx="20">
                  <c:v>88.88</c:v>
                </c:pt>
                <c:pt idx="21">
                  <c:v>87.61</c:v>
                </c:pt>
                <c:pt idx="23">
                  <c:v>88.33</c:v>
                </c:pt>
                <c:pt idx="24">
                  <c:v>87.17</c:v>
                </c:pt>
                <c:pt idx="25">
                  <c:v>88.55</c:v>
                </c:pt>
                <c:pt idx="26">
                  <c:v>89.78</c:v>
                </c:pt>
                <c:pt idx="27">
                  <c:v>90.02</c:v>
                </c:pt>
                <c:pt idx="28">
                  <c:v>90.14</c:v>
                </c:pt>
                <c:pt idx="29">
                  <c:v>92.75</c:v>
                </c:pt>
                <c:pt idx="30">
                  <c:v>91.96</c:v>
                </c:pt>
                <c:pt idx="31">
                  <c:v>92.01</c:v>
                </c:pt>
                <c:pt idx="32">
                  <c:v>91.56</c:v>
                </c:pt>
                <c:pt idx="33">
                  <c:v>91.75</c:v>
                </c:pt>
                <c:pt idx="34">
                  <c:v>91.4</c:v>
                </c:pt>
                <c:pt idx="35">
                  <c:v>91.61</c:v>
                </c:pt>
                <c:pt idx="36">
                  <c:v>91.49</c:v>
                </c:pt>
                <c:pt idx="37">
                  <c:v>91.79</c:v>
                </c:pt>
                <c:pt idx="38">
                  <c:v>90.77</c:v>
                </c:pt>
                <c:pt idx="39">
                  <c:v>88.42</c:v>
                </c:pt>
                <c:pt idx="40">
                  <c:v>86.95</c:v>
                </c:pt>
                <c:pt idx="41">
                  <c:v>86.42</c:v>
                </c:pt>
                <c:pt idx="42">
                  <c:v>84.04</c:v>
                </c:pt>
                <c:pt idx="43">
                  <c:v>84.95</c:v>
                </c:pt>
                <c:pt idx="44">
                  <c:v>83.9</c:v>
                </c:pt>
                <c:pt idx="45">
                  <c:v>85.2</c:v>
                </c:pt>
                <c:pt idx="46">
                  <c:v>85.13</c:v>
                </c:pt>
                <c:pt idx="47">
                  <c:v>83.75</c:v>
                </c:pt>
                <c:pt idx="48">
                  <c:v>82.23</c:v>
                </c:pt>
                <c:pt idx="49">
                  <c:v>79.680000000000007</c:v>
                </c:pt>
                <c:pt idx="50">
                  <c:v>82.64</c:v>
                </c:pt>
                <c:pt idx="51">
                  <c:v>87</c:v>
                </c:pt>
                <c:pt idx="52">
                  <c:v>86.05</c:v>
                </c:pt>
                <c:pt idx="53">
                  <c:v>85.01</c:v>
                </c:pt>
                <c:pt idx="54">
                  <c:v>85.65</c:v>
                </c:pt>
                <c:pt idx="55">
                  <c:v>85.19</c:v>
                </c:pt>
                <c:pt idx="56">
                  <c:v>84.19</c:v>
                </c:pt>
                <c:pt idx="57">
                  <c:v>83.5</c:v>
                </c:pt>
                <c:pt idx="58">
                  <c:v>82.8</c:v>
                </c:pt>
                <c:pt idx="59">
                  <c:v>83.23</c:v>
                </c:pt>
                <c:pt idx="60">
                  <c:v>84.09</c:v>
                </c:pt>
                <c:pt idx="61">
                  <c:v>85.6</c:v>
                </c:pt>
                <c:pt idx="62">
                  <c:v>85.95</c:v>
                </c:pt>
                <c:pt idx="63">
                  <c:v>83.74</c:v>
                </c:pt>
                <c:pt idx="64">
                  <c:v>83.27</c:v>
                </c:pt>
                <c:pt idx="65">
                  <c:v>83.11</c:v>
                </c:pt>
                <c:pt idx="66">
                  <c:v>83.17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594960"/>
        <c:axId val="515597704"/>
      </c:lineChart>
      <c:catAx>
        <c:axId val="5155949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97704"/>
        <c:crosses val="autoZero"/>
        <c:auto val="1"/>
        <c:lblAlgn val="ctr"/>
        <c:lblOffset val="100"/>
        <c:noMultiLvlLbl val="0"/>
      </c:catAx>
      <c:valAx>
        <c:axId val="51559770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94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2-Sep-16</c:v>
                </c:pt>
                <c:pt idx="1">
                  <c:v>1-Sep-16</c:v>
                </c:pt>
                <c:pt idx="2">
                  <c:v>31-Aug-16</c:v>
                </c:pt>
                <c:pt idx="3">
                  <c:v>30-Aug-16</c:v>
                </c:pt>
                <c:pt idx="4">
                  <c:v>29-Aug-16</c:v>
                </c:pt>
                <c:pt idx="5">
                  <c:v>26-Aug-16</c:v>
                </c:pt>
                <c:pt idx="6">
                  <c:v>25-Aug-16</c:v>
                </c:pt>
                <c:pt idx="7">
                  <c:v>24-Aug-16</c:v>
                </c:pt>
                <c:pt idx="8">
                  <c:v>23-Aug-16</c:v>
                </c:pt>
                <c:pt idx="9">
                  <c:v>22-Aug-16</c:v>
                </c:pt>
                <c:pt idx="10">
                  <c:v>19-Aug-16</c:v>
                </c:pt>
                <c:pt idx="11">
                  <c:v>18-Aug-16</c:v>
                </c:pt>
                <c:pt idx="12">
                  <c:v>17-Aug-16</c:v>
                </c:pt>
                <c:pt idx="13">
                  <c:v>16-Aug-16</c:v>
                </c:pt>
                <c:pt idx="14">
                  <c:v>15-Aug-16</c:v>
                </c:pt>
                <c:pt idx="15">
                  <c:v>12-Aug-16</c:v>
                </c:pt>
                <c:pt idx="16">
                  <c:v>11-Aug-16</c:v>
                </c:pt>
                <c:pt idx="17">
                  <c:v>10-Aug-16</c:v>
                </c:pt>
                <c:pt idx="18">
                  <c:v>9-Aug-16</c:v>
                </c:pt>
                <c:pt idx="19">
                  <c:v>8-Aug-16</c:v>
                </c:pt>
                <c:pt idx="20">
                  <c:v>5-Aug-16</c:v>
                </c:pt>
                <c:pt idx="21">
                  <c:v>4-Aug-16</c:v>
                </c:pt>
                <c:pt idx="22">
                  <c:v>3-Aug-16</c:v>
                </c:pt>
                <c:pt idx="23">
                  <c:v>2-Aug-16</c:v>
                </c:pt>
                <c:pt idx="24">
                  <c:v>1-Aug-16</c:v>
                </c:pt>
                <c:pt idx="25">
                  <c:v>29-Jul-16</c:v>
                </c:pt>
                <c:pt idx="26">
                  <c:v>28-Jul-16</c:v>
                </c:pt>
                <c:pt idx="27">
                  <c:v>27-Jul-16</c:v>
                </c:pt>
                <c:pt idx="28">
                  <c:v>26-Jul-16</c:v>
                </c:pt>
                <c:pt idx="29">
                  <c:v>25-Jul-16</c:v>
                </c:pt>
                <c:pt idx="30">
                  <c:v>22-Jul-16</c:v>
                </c:pt>
                <c:pt idx="31">
                  <c:v>21-Jul-16</c:v>
                </c:pt>
                <c:pt idx="32">
                  <c:v>20-Jul-16</c:v>
                </c:pt>
                <c:pt idx="33">
                  <c:v>19-Jul-16</c:v>
                </c:pt>
                <c:pt idx="34">
                  <c:v>18-Jul-16</c:v>
                </c:pt>
                <c:pt idx="35">
                  <c:v>15-Jul-16</c:v>
                </c:pt>
                <c:pt idx="36">
                  <c:v>14-Jul-16</c:v>
                </c:pt>
                <c:pt idx="37">
                  <c:v>13-Jul-16</c:v>
                </c:pt>
                <c:pt idx="38">
                  <c:v>12-Jul-16</c:v>
                </c:pt>
                <c:pt idx="39">
                  <c:v>11-Jul-16</c:v>
                </c:pt>
                <c:pt idx="40">
                  <c:v>8-Jul-16</c:v>
                </c:pt>
                <c:pt idx="41">
                  <c:v>7-Jul-16</c:v>
                </c:pt>
                <c:pt idx="42">
                  <c:v>6-Jul-16</c:v>
                </c:pt>
                <c:pt idx="43">
                  <c:v>5-Jul-16</c:v>
                </c:pt>
                <c:pt idx="44">
                  <c:v>1-Jul-16</c:v>
                </c:pt>
                <c:pt idx="45">
                  <c:v>30-Jun-16</c:v>
                </c:pt>
                <c:pt idx="46">
                  <c:v>29-Jun-16</c:v>
                </c:pt>
                <c:pt idx="47">
                  <c:v>28-Jun-16</c:v>
                </c:pt>
                <c:pt idx="48">
                  <c:v>27-Jun-16</c:v>
                </c:pt>
                <c:pt idx="49">
                  <c:v>24-Jun-16</c:v>
                </c:pt>
                <c:pt idx="50">
                  <c:v>23-Jun-16</c:v>
                </c:pt>
                <c:pt idx="51">
                  <c:v>22-Jun-16</c:v>
                </c:pt>
                <c:pt idx="52">
                  <c:v>21-Jun-16</c:v>
                </c:pt>
                <c:pt idx="53">
                  <c:v>20-Jun-16</c:v>
                </c:pt>
                <c:pt idx="54">
                  <c:v>17-Jun-16</c:v>
                </c:pt>
                <c:pt idx="55">
                  <c:v>16-Jun-16</c:v>
                </c:pt>
                <c:pt idx="56">
                  <c:v>15-Jun-16</c:v>
                </c:pt>
                <c:pt idx="57">
                  <c:v>15-Jun-16</c:v>
                </c:pt>
                <c:pt idx="58">
                  <c:v>14-Jun-16</c:v>
                </c:pt>
                <c:pt idx="59">
                  <c:v>13-Jun-16</c:v>
                </c:pt>
                <c:pt idx="60">
                  <c:v>10-Jun-16</c:v>
                </c:pt>
                <c:pt idx="61">
                  <c:v>9-Jun-16</c:v>
                </c:pt>
                <c:pt idx="62">
                  <c:v>8-Jun-16</c:v>
                </c:pt>
                <c:pt idx="63">
                  <c:v>7-Jun-16</c:v>
                </c:pt>
                <c:pt idx="64">
                  <c:v>6-Jun-16</c:v>
                </c:pt>
                <c:pt idx="65">
                  <c:v>3-Jun-16</c:v>
                </c:pt>
                <c:pt idx="66">
                  <c:v>2-Jun-16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173.11</c:v>
                </c:pt>
                <c:pt idx="1">
                  <c:v>177.09</c:v>
                </c:pt>
                <c:pt idx="2">
                  <c:v>176.42</c:v>
                </c:pt>
                <c:pt idx="3">
                  <c:v>177</c:v>
                </c:pt>
                <c:pt idx="4">
                  <c:v>177.4</c:v>
                </c:pt>
                <c:pt idx="5">
                  <c:v>177.16</c:v>
                </c:pt>
                <c:pt idx="6">
                  <c:v>176.04</c:v>
                </c:pt>
                <c:pt idx="7">
                  <c:v>175.3</c:v>
                </c:pt>
                <c:pt idx="8">
                  <c:v>177.34</c:v>
                </c:pt>
                <c:pt idx="9">
                  <c:v>175.93</c:v>
                </c:pt>
                <c:pt idx="10">
                  <c:v>174.93</c:v>
                </c:pt>
                <c:pt idx="11">
                  <c:v>173.93</c:v>
                </c:pt>
                <c:pt idx="12">
                  <c:v>173.03</c:v>
                </c:pt>
                <c:pt idx="13">
                  <c:v>172.4</c:v>
                </c:pt>
                <c:pt idx="14">
                  <c:v>175.54</c:v>
                </c:pt>
                <c:pt idx="15">
                  <c:v>172.47</c:v>
                </c:pt>
                <c:pt idx="16">
                  <c:v>172.09</c:v>
                </c:pt>
                <c:pt idx="17">
                  <c:v>171.85</c:v>
                </c:pt>
                <c:pt idx="18">
                  <c:v>171.17</c:v>
                </c:pt>
                <c:pt idx="19">
                  <c:v>168.35</c:v>
                </c:pt>
                <c:pt idx="20">
                  <c:v>170.12</c:v>
                </c:pt>
                <c:pt idx="21">
                  <c:v>166.99</c:v>
                </c:pt>
                <c:pt idx="22">
                  <c:v>164.11</c:v>
                </c:pt>
                <c:pt idx="23">
                  <c:v>162.88999999999999</c:v>
                </c:pt>
                <c:pt idx="24">
                  <c:v>163.51</c:v>
                </c:pt>
                <c:pt idx="25">
                  <c:v>161.97999999999999</c:v>
                </c:pt>
                <c:pt idx="26">
                  <c:v>164.23</c:v>
                </c:pt>
                <c:pt idx="27">
                  <c:v>165.66</c:v>
                </c:pt>
                <c:pt idx="28">
                  <c:v>163.44</c:v>
                </c:pt>
                <c:pt idx="29">
                  <c:v>159.78</c:v>
                </c:pt>
                <c:pt idx="30">
                  <c:v>159.66999999999999</c:v>
                </c:pt>
                <c:pt idx="31">
                  <c:v>160.41</c:v>
                </c:pt>
                <c:pt idx="32">
                  <c:v>162.66999999999999</c:v>
                </c:pt>
                <c:pt idx="33">
                  <c:v>160.53</c:v>
                </c:pt>
                <c:pt idx="34">
                  <c:v>162.33000000000001</c:v>
                </c:pt>
                <c:pt idx="35">
                  <c:v>161.16</c:v>
                </c:pt>
                <c:pt idx="36">
                  <c:v>160.79</c:v>
                </c:pt>
                <c:pt idx="37">
                  <c:v>157.41</c:v>
                </c:pt>
                <c:pt idx="38">
                  <c:v>158.59</c:v>
                </c:pt>
                <c:pt idx="39">
                  <c:v>157.36000000000001</c:v>
                </c:pt>
                <c:pt idx="40">
                  <c:v>155.13999999999999</c:v>
                </c:pt>
                <c:pt idx="41">
                  <c:v>150.99</c:v>
                </c:pt>
                <c:pt idx="42">
                  <c:v>150.63</c:v>
                </c:pt>
                <c:pt idx="43">
                  <c:v>150.76</c:v>
                </c:pt>
                <c:pt idx="44">
                  <c:v>154.22</c:v>
                </c:pt>
                <c:pt idx="45">
                  <c:v>155.4</c:v>
                </c:pt>
                <c:pt idx="46">
                  <c:v>155</c:v>
                </c:pt>
                <c:pt idx="47">
                  <c:v>149.77000000000001</c:v>
                </c:pt>
                <c:pt idx="48">
                  <c:v>143.63</c:v>
                </c:pt>
                <c:pt idx="49">
                  <c:v>148.72</c:v>
                </c:pt>
                <c:pt idx="50">
                  <c:v>158.62</c:v>
                </c:pt>
                <c:pt idx="51">
                  <c:v>155.13999999999999</c:v>
                </c:pt>
                <c:pt idx="52">
                  <c:v>155.81</c:v>
                </c:pt>
                <c:pt idx="53">
                  <c:v>156.93</c:v>
                </c:pt>
                <c:pt idx="54">
                  <c:v>156</c:v>
                </c:pt>
                <c:pt idx="55">
                  <c:v>158.63</c:v>
                </c:pt>
                <c:pt idx="56">
                  <c:v>158.4</c:v>
                </c:pt>
                <c:pt idx="58">
                  <c:v>158.99</c:v>
                </c:pt>
                <c:pt idx="59">
                  <c:v>160.01</c:v>
                </c:pt>
                <c:pt idx="60">
                  <c:v>160.82</c:v>
                </c:pt>
                <c:pt idx="61">
                  <c:v>164.14</c:v>
                </c:pt>
                <c:pt idx="62">
                  <c:v>163.69999999999999</c:v>
                </c:pt>
                <c:pt idx="63">
                  <c:v>164.84</c:v>
                </c:pt>
                <c:pt idx="64">
                  <c:v>162.84</c:v>
                </c:pt>
                <c:pt idx="65">
                  <c:v>162.56</c:v>
                </c:pt>
                <c:pt idx="66">
                  <c:v>154.91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594176"/>
        <c:axId val="515598096"/>
      </c:lineChart>
      <c:catAx>
        <c:axId val="5155941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98096"/>
        <c:crosses val="autoZero"/>
        <c:auto val="1"/>
        <c:lblAlgn val="ctr"/>
        <c:lblOffset val="100"/>
        <c:noMultiLvlLbl val="0"/>
      </c:catAx>
      <c:valAx>
        <c:axId val="51559809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94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42615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42608</c:v>
                </c:pt>
                <c:pt idx="6">
                  <c:v>42607</c:v>
                </c:pt>
                <c:pt idx="7">
                  <c:v>42606</c:v>
                </c:pt>
                <c:pt idx="8">
                  <c:v>42605</c:v>
                </c:pt>
                <c:pt idx="9">
                  <c:v>42604</c:v>
                </c:pt>
                <c:pt idx="10">
                  <c:v>42601</c:v>
                </c:pt>
                <c:pt idx="11">
                  <c:v>42600</c:v>
                </c:pt>
                <c:pt idx="12">
                  <c:v>42599</c:v>
                </c:pt>
                <c:pt idx="13">
                  <c:v>42598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42592</c:v>
                </c:pt>
                <c:pt idx="18">
                  <c:v>42591</c:v>
                </c:pt>
                <c:pt idx="19">
                  <c:v>42590</c:v>
                </c:pt>
                <c:pt idx="20">
                  <c:v>42587</c:v>
                </c:pt>
                <c:pt idx="21">
                  <c:v>42586</c:v>
                </c:pt>
                <c:pt idx="22">
                  <c:v>42585</c:v>
                </c:pt>
                <c:pt idx="23">
                  <c:v>42584</c:v>
                </c:pt>
                <c:pt idx="24">
                  <c:v>42583</c:v>
                </c:pt>
                <c:pt idx="25">
                  <c:v>42580</c:v>
                </c:pt>
                <c:pt idx="26">
                  <c:v>42579</c:v>
                </c:pt>
                <c:pt idx="27">
                  <c:v>42578</c:v>
                </c:pt>
                <c:pt idx="28">
                  <c:v>42577</c:v>
                </c:pt>
                <c:pt idx="29">
                  <c:v>42576</c:v>
                </c:pt>
                <c:pt idx="30">
                  <c:v>42573</c:v>
                </c:pt>
                <c:pt idx="31">
                  <c:v>42572</c:v>
                </c:pt>
                <c:pt idx="32">
                  <c:v>42571</c:v>
                </c:pt>
                <c:pt idx="33">
                  <c:v>42570</c:v>
                </c:pt>
                <c:pt idx="34">
                  <c:v>42569</c:v>
                </c:pt>
                <c:pt idx="35">
                  <c:v>42566</c:v>
                </c:pt>
                <c:pt idx="36">
                  <c:v>42565</c:v>
                </c:pt>
                <c:pt idx="37">
                  <c:v>42564</c:v>
                </c:pt>
                <c:pt idx="38">
                  <c:v>42563</c:v>
                </c:pt>
                <c:pt idx="39">
                  <c:v>42562</c:v>
                </c:pt>
                <c:pt idx="40">
                  <c:v>42559</c:v>
                </c:pt>
                <c:pt idx="41">
                  <c:v>42558</c:v>
                </c:pt>
                <c:pt idx="42">
                  <c:v>42557</c:v>
                </c:pt>
                <c:pt idx="43">
                  <c:v>42556</c:v>
                </c:pt>
                <c:pt idx="44">
                  <c:v>42552</c:v>
                </c:pt>
                <c:pt idx="45">
                  <c:v>42551</c:v>
                </c:pt>
                <c:pt idx="46">
                  <c:v>42550</c:v>
                </c:pt>
                <c:pt idx="47">
                  <c:v>42549</c:v>
                </c:pt>
                <c:pt idx="48">
                  <c:v>42548</c:v>
                </c:pt>
                <c:pt idx="49">
                  <c:v>42545</c:v>
                </c:pt>
                <c:pt idx="50">
                  <c:v>42544</c:v>
                </c:pt>
                <c:pt idx="51">
                  <c:v>42543</c:v>
                </c:pt>
                <c:pt idx="52">
                  <c:v>42542</c:v>
                </c:pt>
                <c:pt idx="53">
                  <c:v>42541</c:v>
                </c:pt>
                <c:pt idx="54">
                  <c:v>42538</c:v>
                </c:pt>
                <c:pt idx="55">
                  <c:v>42537</c:v>
                </c:pt>
                <c:pt idx="56">
                  <c:v>42536</c:v>
                </c:pt>
                <c:pt idx="57">
                  <c:v>42535</c:v>
                </c:pt>
                <c:pt idx="58">
                  <c:v>42534</c:v>
                </c:pt>
                <c:pt idx="59">
                  <c:v>42531</c:v>
                </c:pt>
                <c:pt idx="60">
                  <c:v>42530</c:v>
                </c:pt>
                <c:pt idx="61">
                  <c:v>42529</c:v>
                </c:pt>
                <c:pt idx="62">
                  <c:v>42528</c:v>
                </c:pt>
                <c:pt idx="63">
                  <c:v>42527</c:v>
                </c:pt>
                <c:pt idx="64">
                  <c:v>42524</c:v>
                </c:pt>
                <c:pt idx="65">
                  <c:v>42523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51.09</c:v>
                </c:pt>
                <c:pt idx="1">
                  <c:v>50.89</c:v>
                </c:pt>
                <c:pt idx="2">
                  <c:v>50.41</c:v>
                </c:pt>
                <c:pt idx="3">
                  <c:v>50.99</c:v>
                </c:pt>
                <c:pt idx="4">
                  <c:v>46.95</c:v>
                </c:pt>
                <c:pt idx="5">
                  <c:v>46.87</c:v>
                </c:pt>
                <c:pt idx="6">
                  <c:v>47.53</c:v>
                </c:pt>
                <c:pt idx="7">
                  <c:v>47.6</c:v>
                </c:pt>
                <c:pt idx="8">
                  <c:v>47.49</c:v>
                </c:pt>
                <c:pt idx="9">
                  <c:v>46.95</c:v>
                </c:pt>
                <c:pt idx="10">
                  <c:v>47.09</c:v>
                </c:pt>
                <c:pt idx="11">
                  <c:v>47.6</c:v>
                </c:pt>
                <c:pt idx="12">
                  <c:v>48.18</c:v>
                </c:pt>
                <c:pt idx="13">
                  <c:v>47.99</c:v>
                </c:pt>
                <c:pt idx="14">
                  <c:v>48.01</c:v>
                </c:pt>
                <c:pt idx="15">
                  <c:v>47.1</c:v>
                </c:pt>
                <c:pt idx="16">
                  <c:v>47.27</c:v>
                </c:pt>
                <c:pt idx="17">
                  <c:v>47.12</c:v>
                </c:pt>
                <c:pt idx="18">
                  <c:v>47.81</c:v>
                </c:pt>
                <c:pt idx="19">
                  <c:v>48.49</c:v>
                </c:pt>
                <c:pt idx="20">
                  <c:v>48.41</c:v>
                </c:pt>
                <c:pt idx="21">
                  <c:v>45.9</c:v>
                </c:pt>
                <c:pt idx="22">
                  <c:v>44.9</c:v>
                </c:pt>
                <c:pt idx="23">
                  <c:v>44.4</c:v>
                </c:pt>
                <c:pt idx="24">
                  <c:v>47.36</c:v>
                </c:pt>
                <c:pt idx="25">
                  <c:v>46.89</c:v>
                </c:pt>
                <c:pt idx="26">
                  <c:v>47.4</c:v>
                </c:pt>
                <c:pt idx="27">
                  <c:v>47.44</c:v>
                </c:pt>
                <c:pt idx="28">
                  <c:v>47.73</c:v>
                </c:pt>
                <c:pt idx="29">
                  <c:v>46.89</c:v>
                </c:pt>
                <c:pt idx="30">
                  <c:v>47.57</c:v>
                </c:pt>
                <c:pt idx="31">
                  <c:v>46.66</c:v>
                </c:pt>
                <c:pt idx="32">
                  <c:v>48.3</c:v>
                </c:pt>
                <c:pt idx="33">
                  <c:v>47.85</c:v>
                </c:pt>
                <c:pt idx="34">
                  <c:v>47.71</c:v>
                </c:pt>
                <c:pt idx="35">
                  <c:v>47.43</c:v>
                </c:pt>
                <c:pt idx="36">
                  <c:v>47.85</c:v>
                </c:pt>
                <c:pt idx="37">
                  <c:v>45.86</c:v>
                </c:pt>
                <c:pt idx="38">
                  <c:v>46.16</c:v>
                </c:pt>
                <c:pt idx="39">
                  <c:v>42.41</c:v>
                </c:pt>
                <c:pt idx="40">
                  <c:v>41.48</c:v>
                </c:pt>
                <c:pt idx="41">
                  <c:v>40.090000000000003</c:v>
                </c:pt>
                <c:pt idx="42">
                  <c:v>39.31</c:v>
                </c:pt>
                <c:pt idx="43">
                  <c:v>40.29</c:v>
                </c:pt>
                <c:pt idx="44">
                  <c:v>41.37</c:v>
                </c:pt>
                <c:pt idx="45">
                  <c:v>41.04</c:v>
                </c:pt>
                <c:pt idx="46">
                  <c:v>40.57</c:v>
                </c:pt>
                <c:pt idx="47">
                  <c:v>38.950000000000003</c:v>
                </c:pt>
                <c:pt idx="48">
                  <c:v>37.75</c:v>
                </c:pt>
                <c:pt idx="49">
                  <c:v>41.06</c:v>
                </c:pt>
                <c:pt idx="50">
                  <c:v>45.17</c:v>
                </c:pt>
                <c:pt idx="51">
                  <c:v>45.09</c:v>
                </c:pt>
                <c:pt idx="52">
                  <c:v>44.86</c:v>
                </c:pt>
                <c:pt idx="53">
                  <c:v>43.4</c:v>
                </c:pt>
                <c:pt idx="54">
                  <c:v>42.62</c:v>
                </c:pt>
                <c:pt idx="55">
                  <c:v>41.83</c:v>
                </c:pt>
                <c:pt idx="56">
                  <c:v>42.89</c:v>
                </c:pt>
                <c:pt idx="57">
                  <c:v>42.09</c:v>
                </c:pt>
                <c:pt idx="58">
                  <c:v>44.06</c:v>
                </c:pt>
                <c:pt idx="59">
                  <c:v>46.08</c:v>
                </c:pt>
                <c:pt idx="60">
                  <c:v>46.7</c:v>
                </c:pt>
                <c:pt idx="61">
                  <c:v>45.69</c:v>
                </c:pt>
                <c:pt idx="62">
                  <c:v>45.81</c:v>
                </c:pt>
                <c:pt idx="63">
                  <c:v>44.53</c:v>
                </c:pt>
                <c:pt idx="64">
                  <c:v>44.3</c:v>
                </c:pt>
                <c:pt idx="65">
                  <c:v>45.17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571832"/>
        <c:axId val="515570656"/>
      </c:lineChart>
      <c:dateAx>
        <c:axId val="515571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70656"/>
        <c:crosses val="autoZero"/>
        <c:auto val="1"/>
        <c:lblOffset val="100"/>
        <c:baseTimeUnit val="days"/>
      </c:dateAx>
      <c:valAx>
        <c:axId val="51557065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71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2-Sep-16</c:v>
                </c:pt>
                <c:pt idx="1">
                  <c:v>1-Sep-16</c:v>
                </c:pt>
                <c:pt idx="2">
                  <c:v>31-Aug-16</c:v>
                </c:pt>
                <c:pt idx="3">
                  <c:v>30-Aug-16</c:v>
                </c:pt>
                <c:pt idx="4">
                  <c:v>29-Aug-16</c:v>
                </c:pt>
                <c:pt idx="5">
                  <c:v>26-Aug-16</c:v>
                </c:pt>
                <c:pt idx="6">
                  <c:v>25-Aug-16</c:v>
                </c:pt>
                <c:pt idx="7">
                  <c:v>24-Aug-16</c:v>
                </c:pt>
                <c:pt idx="8">
                  <c:v>23-Aug-16</c:v>
                </c:pt>
                <c:pt idx="9">
                  <c:v>22-Aug-16</c:v>
                </c:pt>
                <c:pt idx="10">
                  <c:v>19-Aug-16</c:v>
                </c:pt>
                <c:pt idx="11">
                  <c:v>18-Aug-16</c:v>
                </c:pt>
                <c:pt idx="12">
                  <c:v>17-Aug-16</c:v>
                </c:pt>
                <c:pt idx="13">
                  <c:v>16-Aug-16</c:v>
                </c:pt>
                <c:pt idx="14">
                  <c:v>15-Aug-16</c:v>
                </c:pt>
                <c:pt idx="15">
                  <c:v>12-Aug-16</c:v>
                </c:pt>
                <c:pt idx="16">
                  <c:v>11-Aug-16</c:v>
                </c:pt>
                <c:pt idx="17">
                  <c:v>10-Aug-16</c:v>
                </c:pt>
                <c:pt idx="18">
                  <c:v>9-Aug-16</c:v>
                </c:pt>
                <c:pt idx="19">
                  <c:v>8-Aug-16</c:v>
                </c:pt>
                <c:pt idx="20">
                  <c:v>5-Aug-16</c:v>
                </c:pt>
                <c:pt idx="21">
                  <c:v>4-Aug-16</c:v>
                </c:pt>
                <c:pt idx="22">
                  <c:v>3-Aug-16</c:v>
                </c:pt>
                <c:pt idx="23">
                  <c:v>2-Aug-16</c:v>
                </c:pt>
                <c:pt idx="24">
                  <c:v>1-Aug-16</c:v>
                </c:pt>
                <c:pt idx="25">
                  <c:v>29-Jul-16</c:v>
                </c:pt>
                <c:pt idx="26">
                  <c:v>28-Jul-16</c:v>
                </c:pt>
                <c:pt idx="27">
                  <c:v>27-Jul-16</c:v>
                </c:pt>
                <c:pt idx="28">
                  <c:v>26-Jul-16</c:v>
                </c:pt>
                <c:pt idx="29">
                  <c:v>25-Jul-16</c:v>
                </c:pt>
                <c:pt idx="30">
                  <c:v>22-Jul-16</c:v>
                </c:pt>
                <c:pt idx="31">
                  <c:v>21-Jul-16</c:v>
                </c:pt>
                <c:pt idx="32">
                  <c:v>20-Jul-16</c:v>
                </c:pt>
                <c:pt idx="33">
                  <c:v>19-Jul-16</c:v>
                </c:pt>
                <c:pt idx="34">
                  <c:v>18-Jul-16</c:v>
                </c:pt>
                <c:pt idx="35">
                  <c:v>15-Jul-16</c:v>
                </c:pt>
                <c:pt idx="36">
                  <c:v>14-Jul-16</c:v>
                </c:pt>
                <c:pt idx="37">
                  <c:v>13-Jul-16</c:v>
                </c:pt>
                <c:pt idx="38">
                  <c:v>12-Jul-16</c:v>
                </c:pt>
                <c:pt idx="39">
                  <c:v>11-Jul-16</c:v>
                </c:pt>
                <c:pt idx="40">
                  <c:v>8-Jul-16</c:v>
                </c:pt>
                <c:pt idx="41">
                  <c:v>7-Jul-16</c:v>
                </c:pt>
                <c:pt idx="42">
                  <c:v>6-Jul-16</c:v>
                </c:pt>
                <c:pt idx="43">
                  <c:v>5-Jul-16</c:v>
                </c:pt>
                <c:pt idx="44">
                  <c:v>1-Jul-16</c:v>
                </c:pt>
                <c:pt idx="45">
                  <c:v>30-Jun-16</c:v>
                </c:pt>
                <c:pt idx="46">
                  <c:v>29-Jun-16</c:v>
                </c:pt>
                <c:pt idx="47">
                  <c:v>29-Jun-16</c:v>
                </c:pt>
                <c:pt idx="48">
                  <c:v>28-Jun-16</c:v>
                </c:pt>
                <c:pt idx="49">
                  <c:v>27-Jun-16</c:v>
                </c:pt>
                <c:pt idx="50">
                  <c:v>24-Jun-16</c:v>
                </c:pt>
                <c:pt idx="51">
                  <c:v>23-Jun-16</c:v>
                </c:pt>
                <c:pt idx="52">
                  <c:v>22-Jun-16</c:v>
                </c:pt>
                <c:pt idx="53">
                  <c:v>21-Jun-16</c:v>
                </c:pt>
                <c:pt idx="54">
                  <c:v>20-Jun-16</c:v>
                </c:pt>
                <c:pt idx="55">
                  <c:v>17-Jun-16</c:v>
                </c:pt>
                <c:pt idx="56">
                  <c:v>16-Jun-16</c:v>
                </c:pt>
                <c:pt idx="57">
                  <c:v>15-Jun-16</c:v>
                </c:pt>
                <c:pt idx="58">
                  <c:v>14-Jun-16</c:v>
                </c:pt>
                <c:pt idx="59">
                  <c:v>13-Jun-16</c:v>
                </c:pt>
                <c:pt idx="60">
                  <c:v>10-Jun-16</c:v>
                </c:pt>
                <c:pt idx="61">
                  <c:v>9-Jun-16</c:v>
                </c:pt>
                <c:pt idx="62">
                  <c:v>8-Jun-16</c:v>
                </c:pt>
                <c:pt idx="63">
                  <c:v>7-Jun-16</c:v>
                </c:pt>
                <c:pt idx="64">
                  <c:v>6-Jun-16</c:v>
                </c:pt>
                <c:pt idx="65">
                  <c:v>3-Jun-16</c:v>
                </c:pt>
                <c:pt idx="66">
                  <c:v>2-Jun-16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79.73</c:v>
                </c:pt>
                <c:pt idx="1">
                  <c:v>79.7</c:v>
                </c:pt>
                <c:pt idx="2">
                  <c:v>79.67</c:v>
                </c:pt>
                <c:pt idx="3">
                  <c:v>79.72</c:v>
                </c:pt>
                <c:pt idx="4">
                  <c:v>79.77</c:v>
                </c:pt>
                <c:pt idx="5">
                  <c:v>79.349999999999994</c:v>
                </c:pt>
                <c:pt idx="6">
                  <c:v>79.36</c:v>
                </c:pt>
                <c:pt idx="7">
                  <c:v>81.08</c:v>
                </c:pt>
                <c:pt idx="8">
                  <c:v>82.02</c:v>
                </c:pt>
                <c:pt idx="9">
                  <c:v>82.15</c:v>
                </c:pt>
                <c:pt idx="10">
                  <c:v>81.72</c:v>
                </c:pt>
                <c:pt idx="11">
                  <c:v>82.42</c:v>
                </c:pt>
                <c:pt idx="12">
                  <c:v>82.78</c:v>
                </c:pt>
                <c:pt idx="13">
                  <c:v>82.68</c:v>
                </c:pt>
                <c:pt idx="14">
                  <c:v>83.19</c:v>
                </c:pt>
                <c:pt idx="15">
                  <c:v>83.6</c:v>
                </c:pt>
                <c:pt idx="16">
                  <c:v>83.61</c:v>
                </c:pt>
                <c:pt idx="17">
                  <c:v>83.55</c:v>
                </c:pt>
                <c:pt idx="18">
                  <c:v>83.8</c:v>
                </c:pt>
                <c:pt idx="19">
                  <c:v>83.78</c:v>
                </c:pt>
                <c:pt idx="20">
                  <c:v>84.36</c:v>
                </c:pt>
                <c:pt idx="21">
                  <c:v>83.58</c:v>
                </c:pt>
                <c:pt idx="22">
                  <c:v>84.64</c:v>
                </c:pt>
                <c:pt idx="23">
                  <c:v>84.92</c:v>
                </c:pt>
                <c:pt idx="24">
                  <c:v>82.41</c:v>
                </c:pt>
                <c:pt idx="25">
                  <c:v>83.6</c:v>
                </c:pt>
                <c:pt idx="26">
                  <c:v>82.56</c:v>
                </c:pt>
                <c:pt idx="27">
                  <c:v>83.34</c:v>
                </c:pt>
                <c:pt idx="28">
                  <c:v>83.64</c:v>
                </c:pt>
                <c:pt idx="29">
                  <c:v>82.86</c:v>
                </c:pt>
                <c:pt idx="30">
                  <c:v>82.99</c:v>
                </c:pt>
                <c:pt idx="31">
                  <c:v>82.61</c:v>
                </c:pt>
                <c:pt idx="32">
                  <c:v>83.29</c:v>
                </c:pt>
                <c:pt idx="33">
                  <c:v>82.82</c:v>
                </c:pt>
                <c:pt idx="34">
                  <c:v>83.21</c:v>
                </c:pt>
                <c:pt idx="35">
                  <c:v>82.36</c:v>
                </c:pt>
                <c:pt idx="36">
                  <c:v>82.97</c:v>
                </c:pt>
                <c:pt idx="37">
                  <c:v>82.28</c:v>
                </c:pt>
                <c:pt idx="38">
                  <c:v>81.77</c:v>
                </c:pt>
                <c:pt idx="39">
                  <c:v>81.06</c:v>
                </c:pt>
                <c:pt idx="40">
                  <c:v>80.38</c:v>
                </c:pt>
                <c:pt idx="41">
                  <c:v>79.44</c:v>
                </c:pt>
                <c:pt idx="42">
                  <c:v>79.989999999999995</c:v>
                </c:pt>
                <c:pt idx="43">
                  <c:v>78.23</c:v>
                </c:pt>
                <c:pt idx="44">
                  <c:v>78.290000000000006</c:v>
                </c:pt>
                <c:pt idx="45">
                  <c:v>78.010000000000005</c:v>
                </c:pt>
                <c:pt idx="46">
                  <c:v>77.290000000000006</c:v>
                </c:pt>
                <c:pt idx="48">
                  <c:v>75.430000000000007</c:v>
                </c:pt>
                <c:pt idx="49">
                  <c:v>73.69</c:v>
                </c:pt>
                <c:pt idx="50">
                  <c:v>75.23</c:v>
                </c:pt>
                <c:pt idx="51">
                  <c:v>78.12</c:v>
                </c:pt>
                <c:pt idx="52">
                  <c:v>77.040000000000006</c:v>
                </c:pt>
                <c:pt idx="53">
                  <c:v>76.89</c:v>
                </c:pt>
                <c:pt idx="54">
                  <c:v>76.48</c:v>
                </c:pt>
                <c:pt idx="55">
                  <c:v>75.510000000000005</c:v>
                </c:pt>
                <c:pt idx="56">
                  <c:v>76.540000000000006</c:v>
                </c:pt>
                <c:pt idx="57">
                  <c:v>76.680000000000007</c:v>
                </c:pt>
                <c:pt idx="58">
                  <c:v>77.930000000000007</c:v>
                </c:pt>
                <c:pt idx="59">
                  <c:v>78.2</c:v>
                </c:pt>
                <c:pt idx="60">
                  <c:v>78.53</c:v>
                </c:pt>
                <c:pt idx="61">
                  <c:v>79.290000000000006</c:v>
                </c:pt>
                <c:pt idx="62">
                  <c:v>79.66</c:v>
                </c:pt>
                <c:pt idx="63">
                  <c:v>80</c:v>
                </c:pt>
                <c:pt idx="64">
                  <c:v>80.42</c:v>
                </c:pt>
                <c:pt idx="65">
                  <c:v>79.790000000000006</c:v>
                </c:pt>
                <c:pt idx="66">
                  <c:v>79.89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577712"/>
        <c:axId val="515573400"/>
      </c:lineChart>
      <c:catAx>
        <c:axId val="5155777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73400"/>
        <c:crosses val="autoZero"/>
        <c:auto val="1"/>
        <c:lblAlgn val="ctr"/>
        <c:lblOffset val="100"/>
        <c:noMultiLvlLbl val="0"/>
      </c:catAx>
      <c:valAx>
        <c:axId val="515573400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77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42615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42608</c:v>
                </c:pt>
                <c:pt idx="6">
                  <c:v>42607</c:v>
                </c:pt>
                <c:pt idx="7">
                  <c:v>42606</c:v>
                </c:pt>
                <c:pt idx="8">
                  <c:v>42605</c:v>
                </c:pt>
                <c:pt idx="9">
                  <c:v>42604</c:v>
                </c:pt>
                <c:pt idx="10">
                  <c:v>42601</c:v>
                </c:pt>
                <c:pt idx="11">
                  <c:v>42600</c:v>
                </c:pt>
                <c:pt idx="12">
                  <c:v>42599</c:v>
                </c:pt>
                <c:pt idx="13">
                  <c:v>42598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42592</c:v>
                </c:pt>
                <c:pt idx="18">
                  <c:v>42592</c:v>
                </c:pt>
                <c:pt idx="19">
                  <c:v>42591</c:v>
                </c:pt>
                <c:pt idx="20">
                  <c:v>42590</c:v>
                </c:pt>
                <c:pt idx="21">
                  <c:v>42587</c:v>
                </c:pt>
                <c:pt idx="22">
                  <c:v>42586</c:v>
                </c:pt>
                <c:pt idx="23">
                  <c:v>42585</c:v>
                </c:pt>
                <c:pt idx="24">
                  <c:v>42584</c:v>
                </c:pt>
                <c:pt idx="25">
                  <c:v>42583</c:v>
                </c:pt>
                <c:pt idx="26">
                  <c:v>42580</c:v>
                </c:pt>
                <c:pt idx="27">
                  <c:v>42579</c:v>
                </c:pt>
                <c:pt idx="28">
                  <c:v>42578</c:v>
                </c:pt>
                <c:pt idx="29">
                  <c:v>42577</c:v>
                </c:pt>
                <c:pt idx="30">
                  <c:v>42576</c:v>
                </c:pt>
                <c:pt idx="31">
                  <c:v>42573</c:v>
                </c:pt>
                <c:pt idx="32">
                  <c:v>42572</c:v>
                </c:pt>
                <c:pt idx="33">
                  <c:v>42571</c:v>
                </c:pt>
                <c:pt idx="34">
                  <c:v>42570</c:v>
                </c:pt>
                <c:pt idx="35">
                  <c:v>42569</c:v>
                </c:pt>
                <c:pt idx="36">
                  <c:v>42566</c:v>
                </c:pt>
                <c:pt idx="37">
                  <c:v>42565</c:v>
                </c:pt>
                <c:pt idx="38">
                  <c:v>42564</c:v>
                </c:pt>
                <c:pt idx="39">
                  <c:v>42563</c:v>
                </c:pt>
                <c:pt idx="40">
                  <c:v>42562</c:v>
                </c:pt>
                <c:pt idx="41">
                  <c:v>42559</c:v>
                </c:pt>
                <c:pt idx="42">
                  <c:v>42558</c:v>
                </c:pt>
                <c:pt idx="43">
                  <c:v>42557</c:v>
                </c:pt>
                <c:pt idx="44">
                  <c:v>42556</c:v>
                </c:pt>
                <c:pt idx="45">
                  <c:v>42552</c:v>
                </c:pt>
                <c:pt idx="46">
                  <c:v>42551</c:v>
                </c:pt>
                <c:pt idx="47">
                  <c:v>42550</c:v>
                </c:pt>
                <c:pt idx="48">
                  <c:v>42549</c:v>
                </c:pt>
                <c:pt idx="49">
                  <c:v>42548</c:v>
                </c:pt>
                <c:pt idx="50">
                  <c:v>42545</c:v>
                </c:pt>
                <c:pt idx="51">
                  <c:v>42544</c:v>
                </c:pt>
                <c:pt idx="52">
                  <c:v>42543</c:v>
                </c:pt>
                <c:pt idx="53">
                  <c:v>42542</c:v>
                </c:pt>
                <c:pt idx="54">
                  <c:v>42541</c:v>
                </c:pt>
                <c:pt idx="55">
                  <c:v>42538</c:v>
                </c:pt>
                <c:pt idx="56">
                  <c:v>42537</c:v>
                </c:pt>
                <c:pt idx="57">
                  <c:v>42536</c:v>
                </c:pt>
                <c:pt idx="58">
                  <c:v>42535</c:v>
                </c:pt>
                <c:pt idx="59">
                  <c:v>42534</c:v>
                </c:pt>
                <c:pt idx="60">
                  <c:v>42531</c:v>
                </c:pt>
                <c:pt idx="61">
                  <c:v>42530</c:v>
                </c:pt>
                <c:pt idx="62">
                  <c:v>42529</c:v>
                </c:pt>
                <c:pt idx="63">
                  <c:v>42528</c:v>
                </c:pt>
                <c:pt idx="64">
                  <c:v>42527</c:v>
                </c:pt>
                <c:pt idx="65">
                  <c:v>42524</c:v>
                </c:pt>
                <c:pt idx="66">
                  <c:v>42523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37.17</c:v>
                </c:pt>
                <c:pt idx="1">
                  <c:v>36.82</c:v>
                </c:pt>
                <c:pt idx="2">
                  <c:v>36.75</c:v>
                </c:pt>
                <c:pt idx="3">
                  <c:v>37.159999999999997</c:v>
                </c:pt>
                <c:pt idx="4">
                  <c:v>36.549999999999997</c:v>
                </c:pt>
                <c:pt idx="5">
                  <c:v>36.090000000000003</c:v>
                </c:pt>
                <c:pt idx="6">
                  <c:v>36.47</c:v>
                </c:pt>
                <c:pt idx="7">
                  <c:v>36.770000000000003</c:v>
                </c:pt>
                <c:pt idx="8">
                  <c:v>36.69</c:v>
                </c:pt>
                <c:pt idx="9">
                  <c:v>36.61</c:v>
                </c:pt>
                <c:pt idx="10">
                  <c:v>36.770000000000003</c:v>
                </c:pt>
                <c:pt idx="11">
                  <c:v>37.07</c:v>
                </c:pt>
                <c:pt idx="12">
                  <c:v>37.51</c:v>
                </c:pt>
                <c:pt idx="13">
                  <c:v>36.94</c:v>
                </c:pt>
                <c:pt idx="14">
                  <c:v>36.92</c:v>
                </c:pt>
                <c:pt idx="15">
                  <c:v>36.35</c:v>
                </c:pt>
                <c:pt idx="16">
                  <c:v>36.700000000000003</c:v>
                </c:pt>
                <c:pt idx="17">
                  <c:v>36.479999999999997</c:v>
                </c:pt>
                <c:pt idx="19">
                  <c:v>37.15</c:v>
                </c:pt>
                <c:pt idx="20">
                  <c:v>37.44</c:v>
                </c:pt>
                <c:pt idx="21">
                  <c:v>37.67</c:v>
                </c:pt>
                <c:pt idx="22">
                  <c:v>36.54</c:v>
                </c:pt>
                <c:pt idx="23">
                  <c:v>36.479999999999997</c:v>
                </c:pt>
                <c:pt idx="24">
                  <c:v>36.39</c:v>
                </c:pt>
                <c:pt idx="25">
                  <c:v>39.479999999999997</c:v>
                </c:pt>
                <c:pt idx="26">
                  <c:v>38.75</c:v>
                </c:pt>
                <c:pt idx="27">
                  <c:v>39.36</c:v>
                </c:pt>
                <c:pt idx="28">
                  <c:v>38.54</c:v>
                </c:pt>
                <c:pt idx="29">
                  <c:v>39.03</c:v>
                </c:pt>
                <c:pt idx="30">
                  <c:v>38.96</c:v>
                </c:pt>
                <c:pt idx="31">
                  <c:v>38.96</c:v>
                </c:pt>
                <c:pt idx="32">
                  <c:v>38.520000000000003</c:v>
                </c:pt>
                <c:pt idx="33">
                  <c:v>40.21</c:v>
                </c:pt>
                <c:pt idx="34">
                  <c:v>40.53</c:v>
                </c:pt>
                <c:pt idx="35">
                  <c:v>40.1</c:v>
                </c:pt>
                <c:pt idx="36">
                  <c:v>39.979999999999997</c:v>
                </c:pt>
                <c:pt idx="37">
                  <c:v>40.98</c:v>
                </c:pt>
                <c:pt idx="38">
                  <c:v>39.56</c:v>
                </c:pt>
                <c:pt idx="39">
                  <c:v>40.21</c:v>
                </c:pt>
                <c:pt idx="40">
                  <c:v>38.119999999999997</c:v>
                </c:pt>
                <c:pt idx="41">
                  <c:v>37.369999999999997</c:v>
                </c:pt>
                <c:pt idx="42">
                  <c:v>36.369999999999997</c:v>
                </c:pt>
                <c:pt idx="43">
                  <c:v>35.58</c:v>
                </c:pt>
                <c:pt idx="44">
                  <c:v>35.619999999999997</c:v>
                </c:pt>
                <c:pt idx="45">
                  <c:v>36.770000000000003</c:v>
                </c:pt>
                <c:pt idx="46">
                  <c:v>36.43</c:v>
                </c:pt>
                <c:pt idx="47">
                  <c:v>36.24</c:v>
                </c:pt>
                <c:pt idx="48">
                  <c:v>34.67</c:v>
                </c:pt>
                <c:pt idx="49">
                  <c:v>33.36</c:v>
                </c:pt>
                <c:pt idx="50">
                  <c:v>35.18</c:v>
                </c:pt>
                <c:pt idx="51">
                  <c:v>38.31</c:v>
                </c:pt>
                <c:pt idx="52">
                  <c:v>38.549999999999997</c:v>
                </c:pt>
                <c:pt idx="53">
                  <c:v>38.67</c:v>
                </c:pt>
                <c:pt idx="54">
                  <c:v>38.090000000000003</c:v>
                </c:pt>
                <c:pt idx="55">
                  <c:v>38.01</c:v>
                </c:pt>
                <c:pt idx="56">
                  <c:v>38.020000000000003</c:v>
                </c:pt>
                <c:pt idx="57">
                  <c:v>38.89</c:v>
                </c:pt>
                <c:pt idx="58">
                  <c:v>39.11</c:v>
                </c:pt>
                <c:pt idx="59">
                  <c:v>40.57</c:v>
                </c:pt>
                <c:pt idx="60">
                  <c:v>42.04</c:v>
                </c:pt>
                <c:pt idx="61">
                  <c:v>42.4</c:v>
                </c:pt>
                <c:pt idx="62">
                  <c:v>41.85</c:v>
                </c:pt>
                <c:pt idx="63">
                  <c:v>42.1</c:v>
                </c:pt>
                <c:pt idx="64">
                  <c:v>41.28</c:v>
                </c:pt>
                <c:pt idx="65">
                  <c:v>41.57</c:v>
                </c:pt>
                <c:pt idx="66">
                  <c:v>42.45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572616"/>
        <c:axId val="515573008"/>
      </c:lineChart>
      <c:dateAx>
        <c:axId val="515572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73008"/>
        <c:crosses val="autoZero"/>
        <c:auto val="1"/>
        <c:lblOffset val="100"/>
        <c:baseTimeUnit val="days"/>
      </c:dateAx>
      <c:valAx>
        <c:axId val="515573008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7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42615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42608</c:v>
                </c:pt>
                <c:pt idx="6">
                  <c:v>42607</c:v>
                </c:pt>
                <c:pt idx="7">
                  <c:v>42606</c:v>
                </c:pt>
                <c:pt idx="8">
                  <c:v>42605</c:v>
                </c:pt>
                <c:pt idx="9">
                  <c:v>42604</c:v>
                </c:pt>
                <c:pt idx="10">
                  <c:v>42601</c:v>
                </c:pt>
                <c:pt idx="11">
                  <c:v>42600</c:v>
                </c:pt>
                <c:pt idx="12">
                  <c:v>42599</c:v>
                </c:pt>
                <c:pt idx="13">
                  <c:v>42598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42592</c:v>
                </c:pt>
                <c:pt idx="18">
                  <c:v>42591</c:v>
                </c:pt>
                <c:pt idx="19">
                  <c:v>42590</c:v>
                </c:pt>
                <c:pt idx="20">
                  <c:v>42587</c:v>
                </c:pt>
                <c:pt idx="21">
                  <c:v>42586</c:v>
                </c:pt>
                <c:pt idx="22">
                  <c:v>42585</c:v>
                </c:pt>
                <c:pt idx="23">
                  <c:v>42584</c:v>
                </c:pt>
                <c:pt idx="24">
                  <c:v>42583</c:v>
                </c:pt>
                <c:pt idx="25">
                  <c:v>42580</c:v>
                </c:pt>
                <c:pt idx="26">
                  <c:v>42579</c:v>
                </c:pt>
                <c:pt idx="27">
                  <c:v>42578</c:v>
                </c:pt>
                <c:pt idx="28">
                  <c:v>42577</c:v>
                </c:pt>
                <c:pt idx="29">
                  <c:v>42576</c:v>
                </c:pt>
                <c:pt idx="30">
                  <c:v>42573</c:v>
                </c:pt>
                <c:pt idx="31">
                  <c:v>42572</c:v>
                </c:pt>
                <c:pt idx="32">
                  <c:v>42571</c:v>
                </c:pt>
                <c:pt idx="33">
                  <c:v>42570</c:v>
                </c:pt>
                <c:pt idx="34">
                  <c:v>42569</c:v>
                </c:pt>
                <c:pt idx="35">
                  <c:v>42566</c:v>
                </c:pt>
                <c:pt idx="36">
                  <c:v>42565</c:v>
                </c:pt>
                <c:pt idx="37">
                  <c:v>42564</c:v>
                </c:pt>
                <c:pt idx="38">
                  <c:v>42563</c:v>
                </c:pt>
                <c:pt idx="39">
                  <c:v>42562</c:v>
                </c:pt>
                <c:pt idx="40">
                  <c:v>42559</c:v>
                </c:pt>
                <c:pt idx="41">
                  <c:v>42558</c:v>
                </c:pt>
                <c:pt idx="42">
                  <c:v>42558</c:v>
                </c:pt>
                <c:pt idx="43">
                  <c:v>42557</c:v>
                </c:pt>
                <c:pt idx="44">
                  <c:v>42556</c:v>
                </c:pt>
                <c:pt idx="45">
                  <c:v>42552</c:v>
                </c:pt>
                <c:pt idx="46">
                  <c:v>42551</c:v>
                </c:pt>
                <c:pt idx="47">
                  <c:v>42550</c:v>
                </c:pt>
                <c:pt idx="48">
                  <c:v>42549</c:v>
                </c:pt>
                <c:pt idx="49">
                  <c:v>42548</c:v>
                </c:pt>
                <c:pt idx="50">
                  <c:v>42545</c:v>
                </c:pt>
                <c:pt idx="51">
                  <c:v>42544</c:v>
                </c:pt>
                <c:pt idx="52">
                  <c:v>42543</c:v>
                </c:pt>
                <c:pt idx="53">
                  <c:v>42542</c:v>
                </c:pt>
                <c:pt idx="54">
                  <c:v>42541</c:v>
                </c:pt>
                <c:pt idx="55">
                  <c:v>42538</c:v>
                </c:pt>
                <c:pt idx="56">
                  <c:v>42537</c:v>
                </c:pt>
                <c:pt idx="57">
                  <c:v>42536</c:v>
                </c:pt>
                <c:pt idx="58">
                  <c:v>42535</c:v>
                </c:pt>
                <c:pt idx="59">
                  <c:v>42534</c:v>
                </c:pt>
                <c:pt idx="60">
                  <c:v>42531</c:v>
                </c:pt>
                <c:pt idx="61">
                  <c:v>42530</c:v>
                </c:pt>
                <c:pt idx="62">
                  <c:v>42529</c:v>
                </c:pt>
                <c:pt idx="63">
                  <c:v>42528</c:v>
                </c:pt>
                <c:pt idx="64">
                  <c:v>42527</c:v>
                </c:pt>
                <c:pt idx="65">
                  <c:v>42524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94.42</c:v>
                </c:pt>
                <c:pt idx="1">
                  <c:v>94.26</c:v>
                </c:pt>
                <c:pt idx="2">
                  <c:v>94.46</c:v>
                </c:pt>
                <c:pt idx="3">
                  <c:v>94.86</c:v>
                </c:pt>
                <c:pt idx="4">
                  <c:v>94.87</c:v>
                </c:pt>
                <c:pt idx="5">
                  <c:v>95.21</c:v>
                </c:pt>
                <c:pt idx="6">
                  <c:v>95.55</c:v>
                </c:pt>
                <c:pt idx="7">
                  <c:v>95.82</c:v>
                </c:pt>
                <c:pt idx="8">
                  <c:v>95.97</c:v>
                </c:pt>
                <c:pt idx="9">
                  <c:v>95.87</c:v>
                </c:pt>
                <c:pt idx="10">
                  <c:v>96.39</c:v>
                </c:pt>
                <c:pt idx="11">
                  <c:v>96.65</c:v>
                </c:pt>
                <c:pt idx="12">
                  <c:v>96.87</c:v>
                </c:pt>
                <c:pt idx="13">
                  <c:v>96.88</c:v>
                </c:pt>
                <c:pt idx="14">
                  <c:v>97.1</c:v>
                </c:pt>
                <c:pt idx="15">
                  <c:v>96.84</c:v>
                </c:pt>
                <c:pt idx="16">
                  <c:v>97.77</c:v>
                </c:pt>
                <c:pt idx="17">
                  <c:v>97.86</c:v>
                </c:pt>
                <c:pt idx="18">
                  <c:v>96.67</c:v>
                </c:pt>
                <c:pt idx="19">
                  <c:v>95.75</c:v>
                </c:pt>
                <c:pt idx="20">
                  <c:v>95.83</c:v>
                </c:pt>
                <c:pt idx="21">
                  <c:v>95.16</c:v>
                </c:pt>
                <c:pt idx="22">
                  <c:v>96.09</c:v>
                </c:pt>
                <c:pt idx="23">
                  <c:v>95.01</c:v>
                </c:pt>
                <c:pt idx="24">
                  <c:v>95.54</c:v>
                </c:pt>
                <c:pt idx="25">
                  <c:v>95.95</c:v>
                </c:pt>
                <c:pt idx="26">
                  <c:v>95.91</c:v>
                </c:pt>
                <c:pt idx="27">
                  <c:v>96.33</c:v>
                </c:pt>
                <c:pt idx="28">
                  <c:v>96.69</c:v>
                </c:pt>
                <c:pt idx="29">
                  <c:v>97.39</c:v>
                </c:pt>
                <c:pt idx="30">
                  <c:v>97.71</c:v>
                </c:pt>
                <c:pt idx="31">
                  <c:v>98.01</c:v>
                </c:pt>
                <c:pt idx="32">
                  <c:v>98.22</c:v>
                </c:pt>
                <c:pt idx="33">
                  <c:v>99.47</c:v>
                </c:pt>
                <c:pt idx="34">
                  <c:v>100.15</c:v>
                </c:pt>
                <c:pt idx="35">
                  <c:v>99.8</c:v>
                </c:pt>
                <c:pt idx="36">
                  <c:v>99.97</c:v>
                </c:pt>
                <c:pt idx="37">
                  <c:v>99.88</c:v>
                </c:pt>
                <c:pt idx="38">
                  <c:v>100.2</c:v>
                </c:pt>
                <c:pt idx="39">
                  <c:v>99.98</c:v>
                </c:pt>
                <c:pt idx="40">
                  <c:v>99.62</c:v>
                </c:pt>
                <c:pt idx="41">
                  <c:v>98.41</c:v>
                </c:pt>
                <c:pt idx="43">
                  <c:v>98.45</c:v>
                </c:pt>
                <c:pt idx="44">
                  <c:v>97.66</c:v>
                </c:pt>
                <c:pt idx="45">
                  <c:v>98.03</c:v>
                </c:pt>
                <c:pt idx="46">
                  <c:v>97.82</c:v>
                </c:pt>
                <c:pt idx="47">
                  <c:v>96.98</c:v>
                </c:pt>
                <c:pt idx="48">
                  <c:v>96.05</c:v>
                </c:pt>
                <c:pt idx="49">
                  <c:v>94.38</c:v>
                </c:pt>
                <c:pt idx="50">
                  <c:v>95.72</c:v>
                </c:pt>
                <c:pt idx="51">
                  <c:v>99.02</c:v>
                </c:pt>
                <c:pt idx="52">
                  <c:v>98.79</c:v>
                </c:pt>
                <c:pt idx="53">
                  <c:v>98.82</c:v>
                </c:pt>
                <c:pt idx="54">
                  <c:v>99.57</c:v>
                </c:pt>
                <c:pt idx="55">
                  <c:v>99</c:v>
                </c:pt>
                <c:pt idx="56">
                  <c:v>98.38</c:v>
                </c:pt>
                <c:pt idx="57">
                  <c:v>98.27</c:v>
                </c:pt>
                <c:pt idx="58">
                  <c:v>98.4</c:v>
                </c:pt>
                <c:pt idx="59">
                  <c:v>97.57</c:v>
                </c:pt>
                <c:pt idx="60">
                  <c:v>97.34</c:v>
                </c:pt>
                <c:pt idx="61">
                  <c:v>97.84</c:v>
                </c:pt>
                <c:pt idx="62">
                  <c:v>98.04</c:v>
                </c:pt>
                <c:pt idx="63">
                  <c:v>98.35</c:v>
                </c:pt>
                <c:pt idx="64">
                  <c:v>98.78</c:v>
                </c:pt>
                <c:pt idx="65">
                  <c:v>98.75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569872"/>
        <c:axId val="515574576"/>
      </c:lineChart>
      <c:dateAx>
        <c:axId val="515569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74576"/>
        <c:crosses val="autoZero"/>
        <c:auto val="1"/>
        <c:lblOffset val="100"/>
        <c:baseTimeUnit val="days"/>
      </c:dateAx>
      <c:valAx>
        <c:axId val="51557457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69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42615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42608</c:v>
                </c:pt>
                <c:pt idx="6">
                  <c:v>42607</c:v>
                </c:pt>
                <c:pt idx="7">
                  <c:v>42606</c:v>
                </c:pt>
                <c:pt idx="8">
                  <c:v>42605</c:v>
                </c:pt>
                <c:pt idx="9">
                  <c:v>42604</c:v>
                </c:pt>
                <c:pt idx="10">
                  <c:v>42601</c:v>
                </c:pt>
                <c:pt idx="11">
                  <c:v>42600</c:v>
                </c:pt>
                <c:pt idx="12">
                  <c:v>42599</c:v>
                </c:pt>
                <c:pt idx="13">
                  <c:v>42598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42592</c:v>
                </c:pt>
                <c:pt idx="18">
                  <c:v>42591</c:v>
                </c:pt>
                <c:pt idx="19">
                  <c:v>42590</c:v>
                </c:pt>
                <c:pt idx="20">
                  <c:v>42587</c:v>
                </c:pt>
                <c:pt idx="21">
                  <c:v>42586</c:v>
                </c:pt>
                <c:pt idx="22">
                  <c:v>42585</c:v>
                </c:pt>
                <c:pt idx="23">
                  <c:v>42584</c:v>
                </c:pt>
                <c:pt idx="24">
                  <c:v>42583</c:v>
                </c:pt>
                <c:pt idx="25">
                  <c:v>42580</c:v>
                </c:pt>
                <c:pt idx="26">
                  <c:v>42579</c:v>
                </c:pt>
                <c:pt idx="27">
                  <c:v>42578</c:v>
                </c:pt>
                <c:pt idx="28">
                  <c:v>42577</c:v>
                </c:pt>
                <c:pt idx="29">
                  <c:v>42576</c:v>
                </c:pt>
                <c:pt idx="30">
                  <c:v>42573</c:v>
                </c:pt>
                <c:pt idx="31">
                  <c:v>42572</c:v>
                </c:pt>
                <c:pt idx="32">
                  <c:v>42571</c:v>
                </c:pt>
                <c:pt idx="33">
                  <c:v>42570</c:v>
                </c:pt>
                <c:pt idx="34">
                  <c:v>42569</c:v>
                </c:pt>
                <c:pt idx="35">
                  <c:v>42566</c:v>
                </c:pt>
                <c:pt idx="36">
                  <c:v>42565</c:v>
                </c:pt>
                <c:pt idx="37">
                  <c:v>42564</c:v>
                </c:pt>
                <c:pt idx="38">
                  <c:v>42563</c:v>
                </c:pt>
                <c:pt idx="39">
                  <c:v>42562</c:v>
                </c:pt>
                <c:pt idx="40">
                  <c:v>42559</c:v>
                </c:pt>
                <c:pt idx="41">
                  <c:v>42558</c:v>
                </c:pt>
                <c:pt idx="42">
                  <c:v>42557</c:v>
                </c:pt>
                <c:pt idx="43">
                  <c:v>42556</c:v>
                </c:pt>
                <c:pt idx="44">
                  <c:v>42552</c:v>
                </c:pt>
                <c:pt idx="45">
                  <c:v>42551</c:v>
                </c:pt>
                <c:pt idx="46">
                  <c:v>42550</c:v>
                </c:pt>
                <c:pt idx="47">
                  <c:v>42549</c:v>
                </c:pt>
                <c:pt idx="48">
                  <c:v>42548</c:v>
                </c:pt>
                <c:pt idx="49">
                  <c:v>42545</c:v>
                </c:pt>
                <c:pt idx="50">
                  <c:v>42544</c:v>
                </c:pt>
                <c:pt idx="51">
                  <c:v>42543</c:v>
                </c:pt>
                <c:pt idx="52">
                  <c:v>42542</c:v>
                </c:pt>
                <c:pt idx="53">
                  <c:v>42541</c:v>
                </c:pt>
                <c:pt idx="54">
                  <c:v>42538</c:v>
                </c:pt>
                <c:pt idx="55">
                  <c:v>42537</c:v>
                </c:pt>
                <c:pt idx="56">
                  <c:v>42536</c:v>
                </c:pt>
                <c:pt idx="57">
                  <c:v>42535</c:v>
                </c:pt>
                <c:pt idx="58">
                  <c:v>42534</c:v>
                </c:pt>
                <c:pt idx="59">
                  <c:v>42534</c:v>
                </c:pt>
                <c:pt idx="60">
                  <c:v>42531</c:v>
                </c:pt>
                <c:pt idx="61">
                  <c:v>42530</c:v>
                </c:pt>
                <c:pt idx="62">
                  <c:v>42529</c:v>
                </c:pt>
                <c:pt idx="63">
                  <c:v>42528</c:v>
                </c:pt>
                <c:pt idx="64">
                  <c:v>42527</c:v>
                </c:pt>
                <c:pt idx="65">
                  <c:v>42524</c:v>
                </c:pt>
                <c:pt idx="66">
                  <c:v>42523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4.5599999999999996</c:v>
                </c:pt>
                <c:pt idx="1">
                  <c:v>4.54</c:v>
                </c:pt>
                <c:pt idx="2">
                  <c:v>4.5999999999999996</c:v>
                </c:pt>
                <c:pt idx="3">
                  <c:v>4.63</c:v>
                </c:pt>
                <c:pt idx="4">
                  <c:v>4.66</c:v>
                </c:pt>
                <c:pt idx="5">
                  <c:v>4.6100000000000003</c:v>
                </c:pt>
                <c:pt idx="6">
                  <c:v>4.62</c:v>
                </c:pt>
                <c:pt idx="7">
                  <c:v>4.66</c:v>
                </c:pt>
                <c:pt idx="8">
                  <c:v>4.6500000000000004</c:v>
                </c:pt>
                <c:pt idx="9">
                  <c:v>4.6399999999999997</c:v>
                </c:pt>
                <c:pt idx="10">
                  <c:v>4.6900000000000004</c:v>
                </c:pt>
                <c:pt idx="11">
                  <c:v>4.78</c:v>
                </c:pt>
                <c:pt idx="12">
                  <c:v>4.72</c:v>
                </c:pt>
                <c:pt idx="13">
                  <c:v>4.8499999999999996</c:v>
                </c:pt>
                <c:pt idx="14">
                  <c:v>4.9000000000000004</c:v>
                </c:pt>
                <c:pt idx="15">
                  <c:v>4.8499999999999996</c:v>
                </c:pt>
                <c:pt idx="16">
                  <c:v>4.8499999999999996</c:v>
                </c:pt>
                <c:pt idx="17">
                  <c:v>4.88</c:v>
                </c:pt>
                <c:pt idx="18">
                  <c:v>4.95</c:v>
                </c:pt>
                <c:pt idx="19">
                  <c:v>4.93</c:v>
                </c:pt>
                <c:pt idx="20">
                  <c:v>4.8600000000000003</c:v>
                </c:pt>
                <c:pt idx="21">
                  <c:v>4.93</c:v>
                </c:pt>
                <c:pt idx="22">
                  <c:v>4.82</c:v>
                </c:pt>
                <c:pt idx="23">
                  <c:v>4.8499999999999996</c:v>
                </c:pt>
                <c:pt idx="24">
                  <c:v>5.08</c:v>
                </c:pt>
                <c:pt idx="25">
                  <c:v>5.2</c:v>
                </c:pt>
                <c:pt idx="26">
                  <c:v>5.09</c:v>
                </c:pt>
                <c:pt idx="27">
                  <c:v>5.09</c:v>
                </c:pt>
                <c:pt idx="28">
                  <c:v>5.15</c:v>
                </c:pt>
                <c:pt idx="29">
                  <c:v>5.13</c:v>
                </c:pt>
                <c:pt idx="30">
                  <c:v>5.17</c:v>
                </c:pt>
                <c:pt idx="31">
                  <c:v>5.0999999999999996</c:v>
                </c:pt>
                <c:pt idx="32">
                  <c:v>5.04</c:v>
                </c:pt>
                <c:pt idx="33">
                  <c:v>5.0199999999999996</c:v>
                </c:pt>
                <c:pt idx="34">
                  <c:v>5.2</c:v>
                </c:pt>
                <c:pt idx="35">
                  <c:v>5.17</c:v>
                </c:pt>
                <c:pt idx="36">
                  <c:v>5.1100000000000003</c:v>
                </c:pt>
                <c:pt idx="37">
                  <c:v>5.0599999999999996</c:v>
                </c:pt>
                <c:pt idx="38">
                  <c:v>5.04</c:v>
                </c:pt>
                <c:pt idx="39">
                  <c:v>4.92</c:v>
                </c:pt>
                <c:pt idx="40">
                  <c:v>4.97</c:v>
                </c:pt>
                <c:pt idx="41">
                  <c:v>4.91</c:v>
                </c:pt>
                <c:pt idx="42">
                  <c:v>4.88</c:v>
                </c:pt>
                <c:pt idx="43">
                  <c:v>4.9800000000000004</c:v>
                </c:pt>
                <c:pt idx="44">
                  <c:v>4.96</c:v>
                </c:pt>
                <c:pt idx="45">
                  <c:v>4.9400000000000004</c:v>
                </c:pt>
                <c:pt idx="46">
                  <c:v>4.8499999999999996</c:v>
                </c:pt>
                <c:pt idx="47">
                  <c:v>4.74</c:v>
                </c:pt>
                <c:pt idx="48">
                  <c:v>4.5999999999999996</c:v>
                </c:pt>
                <c:pt idx="49">
                  <c:v>4.87</c:v>
                </c:pt>
                <c:pt idx="50">
                  <c:v>5.0999999999999996</c:v>
                </c:pt>
                <c:pt idx="51">
                  <c:v>5.09</c:v>
                </c:pt>
                <c:pt idx="52">
                  <c:v>5.21</c:v>
                </c:pt>
                <c:pt idx="53">
                  <c:v>5.17</c:v>
                </c:pt>
                <c:pt idx="54">
                  <c:v>5.1100000000000003</c:v>
                </c:pt>
                <c:pt idx="55">
                  <c:v>5.04</c:v>
                </c:pt>
                <c:pt idx="56">
                  <c:v>4.8600000000000003</c:v>
                </c:pt>
                <c:pt idx="57">
                  <c:v>4.83</c:v>
                </c:pt>
                <c:pt idx="58">
                  <c:v>4.87</c:v>
                </c:pt>
                <c:pt idx="60">
                  <c:v>5.1100000000000003</c:v>
                </c:pt>
                <c:pt idx="61">
                  <c:v>5.12</c:v>
                </c:pt>
                <c:pt idx="62">
                  <c:v>5.2</c:v>
                </c:pt>
                <c:pt idx="63">
                  <c:v>5.21</c:v>
                </c:pt>
                <c:pt idx="64">
                  <c:v>5.19</c:v>
                </c:pt>
                <c:pt idx="65">
                  <c:v>5.23</c:v>
                </c:pt>
                <c:pt idx="66">
                  <c:v>5.16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576536"/>
        <c:axId val="515578888"/>
      </c:lineChart>
      <c:dateAx>
        <c:axId val="5155765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78888"/>
        <c:crosses val="autoZero"/>
        <c:auto val="1"/>
        <c:lblOffset val="100"/>
        <c:baseTimeUnit val="days"/>
      </c:dateAx>
      <c:valAx>
        <c:axId val="515578888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76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2-Sep-16</c:v>
                </c:pt>
                <c:pt idx="1">
                  <c:v>1-Sep-16</c:v>
                </c:pt>
                <c:pt idx="2">
                  <c:v>31-Aug-16</c:v>
                </c:pt>
                <c:pt idx="3">
                  <c:v>30-Aug-16</c:v>
                </c:pt>
                <c:pt idx="4">
                  <c:v>29-Aug-16</c:v>
                </c:pt>
                <c:pt idx="5">
                  <c:v>26-Aug-16</c:v>
                </c:pt>
                <c:pt idx="6">
                  <c:v>25-Aug-16</c:v>
                </c:pt>
                <c:pt idx="7">
                  <c:v>24-Aug-16</c:v>
                </c:pt>
                <c:pt idx="8">
                  <c:v>23-Aug-16</c:v>
                </c:pt>
                <c:pt idx="9">
                  <c:v>22-Aug-16</c:v>
                </c:pt>
                <c:pt idx="10">
                  <c:v>19-Aug-16</c:v>
                </c:pt>
                <c:pt idx="11">
                  <c:v>18-Aug-16</c:v>
                </c:pt>
                <c:pt idx="12">
                  <c:v>17-Aug-16</c:v>
                </c:pt>
                <c:pt idx="13">
                  <c:v>16-Aug-16</c:v>
                </c:pt>
                <c:pt idx="14">
                  <c:v>15-Aug-16</c:v>
                </c:pt>
                <c:pt idx="15">
                  <c:v>12-Aug-16</c:v>
                </c:pt>
                <c:pt idx="16">
                  <c:v>11-Aug-16</c:v>
                </c:pt>
                <c:pt idx="17">
                  <c:v>10-Aug-16</c:v>
                </c:pt>
                <c:pt idx="18">
                  <c:v>9-Aug-16</c:v>
                </c:pt>
                <c:pt idx="19">
                  <c:v>8-Aug-16</c:v>
                </c:pt>
                <c:pt idx="20">
                  <c:v>5-Aug-16</c:v>
                </c:pt>
                <c:pt idx="21">
                  <c:v>4-Aug-16</c:v>
                </c:pt>
                <c:pt idx="22">
                  <c:v>3-Aug-16</c:v>
                </c:pt>
                <c:pt idx="23">
                  <c:v>2-Aug-16</c:v>
                </c:pt>
                <c:pt idx="24">
                  <c:v>1-Aug-16</c:v>
                </c:pt>
                <c:pt idx="25">
                  <c:v>29-Jul-16</c:v>
                </c:pt>
                <c:pt idx="26">
                  <c:v>28-Jul-16</c:v>
                </c:pt>
                <c:pt idx="27">
                  <c:v>27-Jul-16</c:v>
                </c:pt>
                <c:pt idx="28">
                  <c:v>26-Jul-16</c:v>
                </c:pt>
                <c:pt idx="29">
                  <c:v>25-Jul-16</c:v>
                </c:pt>
                <c:pt idx="30">
                  <c:v>22-Jul-16</c:v>
                </c:pt>
                <c:pt idx="31">
                  <c:v>21-Jul-16</c:v>
                </c:pt>
                <c:pt idx="32">
                  <c:v>20-Jul-16</c:v>
                </c:pt>
                <c:pt idx="33">
                  <c:v>19-Jul-16</c:v>
                </c:pt>
                <c:pt idx="34">
                  <c:v>18-Jul-16</c:v>
                </c:pt>
                <c:pt idx="35">
                  <c:v>15-Jul-16</c:v>
                </c:pt>
                <c:pt idx="36">
                  <c:v>14-Jul-16</c:v>
                </c:pt>
                <c:pt idx="37">
                  <c:v>13-Jul-16</c:v>
                </c:pt>
                <c:pt idx="38">
                  <c:v>12-Jul-16</c:v>
                </c:pt>
                <c:pt idx="39">
                  <c:v>11-Jul-16</c:v>
                </c:pt>
                <c:pt idx="40">
                  <c:v>8-Jul-16</c:v>
                </c:pt>
                <c:pt idx="41">
                  <c:v>7-Jul-16</c:v>
                </c:pt>
                <c:pt idx="42">
                  <c:v>6-Jul-16</c:v>
                </c:pt>
                <c:pt idx="43">
                  <c:v>5-Jul-16</c:v>
                </c:pt>
                <c:pt idx="44">
                  <c:v>1-Jul-16</c:v>
                </c:pt>
                <c:pt idx="45">
                  <c:v>30-Jun-16</c:v>
                </c:pt>
                <c:pt idx="46">
                  <c:v>29-Jun-16</c:v>
                </c:pt>
                <c:pt idx="47">
                  <c:v>28-Jun-16</c:v>
                </c:pt>
                <c:pt idx="48">
                  <c:v>27-Jun-16</c:v>
                </c:pt>
                <c:pt idx="49">
                  <c:v>24-Jun-16</c:v>
                </c:pt>
                <c:pt idx="50">
                  <c:v>23-Jun-16</c:v>
                </c:pt>
                <c:pt idx="51">
                  <c:v>22-Jun-16</c:v>
                </c:pt>
                <c:pt idx="52">
                  <c:v>21-Jun-16</c:v>
                </c:pt>
                <c:pt idx="53">
                  <c:v>20-Jun-16</c:v>
                </c:pt>
                <c:pt idx="54">
                  <c:v>17-Jun-16</c:v>
                </c:pt>
                <c:pt idx="55">
                  <c:v>16-Jun-16</c:v>
                </c:pt>
                <c:pt idx="56">
                  <c:v>15-Jun-16</c:v>
                </c:pt>
                <c:pt idx="57">
                  <c:v>14-Jun-16</c:v>
                </c:pt>
                <c:pt idx="58">
                  <c:v>14-Jun-16</c:v>
                </c:pt>
                <c:pt idx="59">
                  <c:v>13-Jun-16</c:v>
                </c:pt>
                <c:pt idx="60">
                  <c:v>10-Jun-16</c:v>
                </c:pt>
                <c:pt idx="61">
                  <c:v>9-Jun-16</c:v>
                </c:pt>
                <c:pt idx="62">
                  <c:v>8-Jun-16</c:v>
                </c:pt>
                <c:pt idx="63">
                  <c:v>7-Jun-16</c:v>
                </c:pt>
                <c:pt idx="64">
                  <c:v>6-Jun-16</c:v>
                </c:pt>
                <c:pt idx="65">
                  <c:v>3-Jun-16</c:v>
                </c:pt>
                <c:pt idx="66">
                  <c:v>2-Jun-16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76.89</c:v>
                </c:pt>
                <c:pt idx="1">
                  <c:v>77.42</c:v>
                </c:pt>
                <c:pt idx="2">
                  <c:v>78.38</c:v>
                </c:pt>
                <c:pt idx="3">
                  <c:v>77.92</c:v>
                </c:pt>
                <c:pt idx="4">
                  <c:v>78.17</c:v>
                </c:pt>
                <c:pt idx="5">
                  <c:v>79.77</c:v>
                </c:pt>
                <c:pt idx="6">
                  <c:v>80.08</c:v>
                </c:pt>
                <c:pt idx="7">
                  <c:v>80.5</c:v>
                </c:pt>
                <c:pt idx="8">
                  <c:v>81.47</c:v>
                </c:pt>
                <c:pt idx="9">
                  <c:v>80.92</c:v>
                </c:pt>
                <c:pt idx="10">
                  <c:v>81</c:v>
                </c:pt>
                <c:pt idx="11">
                  <c:v>80.59</c:v>
                </c:pt>
                <c:pt idx="12">
                  <c:v>80.7</c:v>
                </c:pt>
                <c:pt idx="13">
                  <c:v>79.25</c:v>
                </c:pt>
                <c:pt idx="14">
                  <c:v>79.650000000000006</c:v>
                </c:pt>
                <c:pt idx="15">
                  <c:v>79.66</c:v>
                </c:pt>
                <c:pt idx="16">
                  <c:v>79.569999999999993</c:v>
                </c:pt>
                <c:pt idx="17">
                  <c:v>78.900000000000006</c:v>
                </c:pt>
                <c:pt idx="18">
                  <c:v>79.33</c:v>
                </c:pt>
                <c:pt idx="19">
                  <c:v>79.739999999999995</c:v>
                </c:pt>
                <c:pt idx="20">
                  <c:v>80.41</c:v>
                </c:pt>
                <c:pt idx="21">
                  <c:v>79.77</c:v>
                </c:pt>
                <c:pt idx="22">
                  <c:v>80.09</c:v>
                </c:pt>
                <c:pt idx="23">
                  <c:v>79.569999999999993</c:v>
                </c:pt>
                <c:pt idx="24">
                  <c:v>80.459999999999994</c:v>
                </c:pt>
                <c:pt idx="25">
                  <c:v>79.47</c:v>
                </c:pt>
                <c:pt idx="26">
                  <c:v>81.239999999999995</c:v>
                </c:pt>
                <c:pt idx="27">
                  <c:v>81.790000000000006</c:v>
                </c:pt>
                <c:pt idx="28">
                  <c:v>81.05</c:v>
                </c:pt>
                <c:pt idx="29">
                  <c:v>88.55</c:v>
                </c:pt>
                <c:pt idx="30">
                  <c:v>86.55</c:v>
                </c:pt>
                <c:pt idx="31">
                  <c:v>87.24</c:v>
                </c:pt>
                <c:pt idx="32">
                  <c:v>86.66</c:v>
                </c:pt>
                <c:pt idx="33">
                  <c:v>85.44</c:v>
                </c:pt>
                <c:pt idx="34">
                  <c:v>86.93</c:v>
                </c:pt>
                <c:pt idx="35">
                  <c:v>86.67</c:v>
                </c:pt>
                <c:pt idx="36">
                  <c:v>85.54</c:v>
                </c:pt>
                <c:pt idx="37">
                  <c:v>85.75</c:v>
                </c:pt>
                <c:pt idx="38">
                  <c:v>86.63</c:v>
                </c:pt>
                <c:pt idx="39">
                  <c:v>86.25</c:v>
                </c:pt>
                <c:pt idx="40">
                  <c:v>86.55</c:v>
                </c:pt>
                <c:pt idx="41">
                  <c:v>85.47</c:v>
                </c:pt>
                <c:pt idx="42">
                  <c:v>85.73</c:v>
                </c:pt>
                <c:pt idx="43">
                  <c:v>83.89</c:v>
                </c:pt>
                <c:pt idx="44">
                  <c:v>84.86</c:v>
                </c:pt>
                <c:pt idx="45">
                  <c:v>83.42</c:v>
                </c:pt>
                <c:pt idx="46">
                  <c:v>82.27</c:v>
                </c:pt>
                <c:pt idx="47">
                  <c:v>82.31</c:v>
                </c:pt>
                <c:pt idx="48">
                  <c:v>78.25</c:v>
                </c:pt>
                <c:pt idx="49">
                  <c:v>80.47</c:v>
                </c:pt>
                <c:pt idx="50">
                  <c:v>83.37</c:v>
                </c:pt>
                <c:pt idx="51">
                  <c:v>82.45</c:v>
                </c:pt>
                <c:pt idx="52">
                  <c:v>81.790000000000006</c:v>
                </c:pt>
                <c:pt idx="53">
                  <c:v>82.99</c:v>
                </c:pt>
                <c:pt idx="54">
                  <c:v>82.65</c:v>
                </c:pt>
                <c:pt idx="55">
                  <c:v>83.51</c:v>
                </c:pt>
                <c:pt idx="56">
                  <c:v>83.04</c:v>
                </c:pt>
                <c:pt idx="57">
                  <c:v>83.57</c:v>
                </c:pt>
                <c:pt idx="59">
                  <c:v>83.98</c:v>
                </c:pt>
                <c:pt idx="60">
                  <c:v>84.45</c:v>
                </c:pt>
                <c:pt idx="61">
                  <c:v>85.77</c:v>
                </c:pt>
                <c:pt idx="62">
                  <c:v>87.42</c:v>
                </c:pt>
                <c:pt idx="63">
                  <c:v>87.5</c:v>
                </c:pt>
                <c:pt idx="64">
                  <c:v>87.6</c:v>
                </c:pt>
                <c:pt idx="65">
                  <c:v>86.15</c:v>
                </c:pt>
                <c:pt idx="66">
                  <c:v>86.72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568304"/>
        <c:axId val="682732424"/>
      </c:lineChart>
      <c:catAx>
        <c:axId val="5155683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732424"/>
        <c:crosses val="autoZero"/>
        <c:auto val="1"/>
        <c:lblAlgn val="ctr"/>
        <c:lblOffset val="100"/>
        <c:noMultiLvlLbl val="0"/>
      </c:catAx>
      <c:valAx>
        <c:axId val="682732424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68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42615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42608</c:v>
                </c:pt>
                <c:pt idx="6">
                  <c:v>42607</c:v>
                </c:pt>
                <c:pt idx="7">
                  <c:v>42606</c:v>
                </c:pt>
                <c:pt idx="8">
                  <c:v>42605</c:v>
                </c:pt>
                <c:pt idx="9">
                  <c:v>42604</c:v>
                </c:pt>
                <c:pt idx="10">
                  <c:v>42601</c:v>
                </c:pt>
                <c:pt idx="11">
                  <c:v>42600</c:v>
                </c:pt>
                <c:pt idx="12">
                  <c:v>42599</c:v>
                </c:pt>
                <c:pt idx="13">
                  <c:v>42598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42593</c:v>
                </c:pt>
                <c:pt idx="18">
                  <c:v>42592</c:v>
                </c:pt>
                <c:pt idx="19">
                  <c:v>42591</c:v>
                </c:pt>
                <c:pt idx="20">
                  <c:v>42590</c:v>
                </c:pt>
                <c:pt idx="21">
                  <c:v>42587</c:v>
                </c:pt>
                <c:pt idx="22">
                  <c:v>42586</c:v>
                </c:pt>
                <c:pt idx="23">
                  <c:v>42585</c:v>
                </c:pt>
                <c:pt idx="24">
                  <c:v>42584</c:v>
                </c:pt>
                <c:pt idx="25">
                  <c:v>42583</c:v>
                </c:pt>
                <c:pt idx="26">
                  <c:v>42580</c:v>
                </c:pt>
                <c:pt idx="27">
                  <c:v>42579</c:v>
                </c:pt>
                <c:pt idx="28">
                  <c:v>42578</c:v>
                </c:pt>
                <c:pt idx="29">
                  <c:v>42577</c:v>
                </c:pt>
                <c:pt idx="30">
                  <c:v>42576</c:v>
                </c:pt>
                <c:pt idx="31">
                  <c:v>42573</c:v>
                </c:pt>
                <c:pt idx="32">
                  <c:v>42572</c:v>
                </c:pt>
                <c:pt idx="33">
                  <c:v>42571</c:v>
                </c:pt>
                <c:pt idx="34">
                  <c:v>42570</c:v>
                </c:pt>
                <c:pt idx="35">
                  <c:v>42569</c:v>
                </c:pt>
                <c:pt idx="36">
                  <c:v>42566</c:v>
                </c:pt>
                <c:pt idx="37">
                  <c:v>42565</c:v>
                </c:pt>
                <c:pt idx="38">
                  <c:v>42564</c:v>
                </c:pt>
                <c:pt idx="39">
                  <c:v>42563</c:v>
                </c:pt>
                <c:pt idx="40">
                  <c:v>42562</c:v>
                </c:pt>
                <c:pt idx="41">
                  <c:v>42559</c:v>
                </c:pt>
                <c:pt idx="42">
                  <c:v>42558</c:v>
                </c:pt>
                <c:pt idx="43">
                  <c:v>42557</c:v>
                </c:pt>
                <c:pt idx="44">
                  <c:v>42556</c:v>
                </c:pt>
                <c:pt idx="45">
                  <c:v>42552</c:v>
                </c:pt>
                <c:pt idx="46">
                  <c:v>42551</c:v>
                </c:pt>
                <c:pt idx="47">
                  <c:v>42550</c:v>
                </c:pt>
                <c:pt idx="48">
                  <c:v>42549</c:v>
                </c:pt>
                <c:pt idx="49">
                  <c:v>42548</c:v>
                </c:pt>
                <c:pt idx="50">
                  <c:v>42545</c:v>
                </c:pt>
                <c:pt idx="51">
                  <c:v>42544</c:v>
                </c:pt>
                <c:pt idx="52">
                  <c:v>42543</c:v>
                </c:pt>
                <c:pt idx="53">
                  <c:v>42542</c:v>
                </c:pt>
                <c:pt idx="54">
                  <c:v>42541</c:v>
                </c:pt>
                <c:pt idx="55">
                  <c:v>42538</c:v>
                </c:pt>
                <c:pt idx="56">
                  <c:v>42537</c:v>
                </c:pt>
                <c:pt idx="57">
                  <c:v>42536</c:v>
                </c:pt>
                <c:pt idx="58">
                  <c:v>42535</c:v>
                </c:pt>
                <c:pt idx="59">
                  <c:v>42534</c:v>
                </c:pt>
                <c:pt idx="60">
                  <c:v>42531</c:v>
                </c:pt>
                <c:pt idx="61">
                  <c:v>42530</c:v>
                </c:pt>
                <c:pt idx="62">
                  <c:v>42529</c:v>
                </c:pt>
                <c:pt idx="63">
                  <c:v>42528</c:v>
                </c:pt>
                <c:pt idx="64">
                  <c:v>42527</c:v>
                </c:pt>
                <c:pt idx="65">
                  <c:v>42524</c:v>
                </c:pt>
                <c:pt idx="66">
                  <c:v>42523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62.99</c:v>
                </c:pt>
                <c:pt idx="1">
                  <c:v>62.72</c:v>
                </c:pt>
                <c:pt idx="2">
                  <c:v>62.91</c:v>
                </c:pt>
                <c:pt idx="3">
                  <c:v>63.02</c:v>
                </c:pt>
                <c:pt idx="4">
                  <c:v>62.37</c:v>
                </c:pt>
                <c:pt idx="5">
                  <c:v>61.94</c:v>
                </c:pt>
                <c:pt idx="6">
                  <c:v>61.53</c:v>
                </c:pt>
                <c:pt idx="7">
                  <c:v>62.1</c:v>
                </c:pt>
                <c:pt idx="8">
                  <c:v>62.11</c:v>
                </c:pt>
                <c:pt idx="9">
                  <c:v>61.78</c:v>
                </c:pt>
                <c:pt idx="10">
                  <c:v>61.23</c:v>
                </c:pt>
                <c:pt idx="11">
                  <c:v>60.46</c:v>
                </c:pt>
                <c:pt idx="12">
                  <c:v>59.8</c:v>
                </c:pt>
                <c:pt idx="13">
                  <c:v>60.38</c:v>
                </c:pt>
                <c:pt idx="14">
                  <c:v>59.35</c:v>
                </c:pt>
                <c:pt idx="15">
                  <c:v>59.66</c:v>
                </c:pt>
                <c:pt idx="17">
                  <c:v>59.29</c:v>
                </c:pt>
                <c:pt idx="18">
                  <c:v>59.58</c:v>
                </c:pt>
                <c:pt idx="19">
                  <c:v>59.21</c:v>
                </c:pt>
                <c:pt idx="20">
                  <c:v>58.93</c:v>
                </c:pt>
                <c:pt idx="21">
                  <c:v>58.44</c:v>
                </c:pt>
                <c:pt idx="22">
                  <c:v>58.13</c:v>
                </c:pt>
                <c:pt idx="23">
                  <c:v>57.35</c:v>
                </c:pt>
                <c:pt idx="24">
                  <c:v>58.48</c:v>
                </c:pt>
                <c:pt idx="25">
                  <c:v>58.54</c:v>
                </c:pt>
                <c:pt idx="26">
                  <c:v>58.36</c:v>
                </c:pt>
                <c:pt idx="27">
                  <c:v>58.52</c:v>
                </c:pt>
                <c:pt idx="28">
                  <c:v>58.32</c:v>
                </c:pt>
                <c:pt idx="29">
                  <c:v>57.69</c:v>
                </c:pt>
                <c:pt idx="30">
                  <c:v>57.86</c:v>
                </c:pt>
                <c:pt idx="31">
                  <c:v>57.65</c:v>
                </c:pt>
                <c:pt idx="32">
                  <c:v>59.42</c:v>
                </c:pt>
                <c:pt idx="33">
                  <c:v>59.3</c:v>
                </c:pt>
                <c:pt idx="34">
                  <c:v>59.37</c:v>
                </c:pt>
                <c:pt idx="35">
                  <c:v>59.81</c:v>
                </c:pt>
                <c:pt idx="36">
                  <c:v>59.68</c:v>
                </c:pt>
                <c:pt idx="37">
                  <c:v>59.87</c:v>
                </c:pt>
                <c:pt idx="38">
                  <c:v>59.87</c:v>
                </c:pt>
                <c:pt idx="39">
                  <c:v>59.33</c:v>
                </c:pt>
                <c:pt idx="40">
                  <c:v>58.76</c:v>
                </c:pt>
                <c:pt idx="41">
                  <c:v>57.18</c:v>
                </c:pt>
                <c:pt idx="42">
                  <c:v>56.8</c:v>
                </c:pt>
                <c:pt idx="43">
                  <c:v>56.53</c:v>
                </c:pt>
                <c:pt idx="44">
                  <c:v>57.91</c:v>
                </c:pt>
                <c:pt idx="45">
                  <c:v>57.64</c:v>
                </c:pt>
                <c:pt idx="46">
                  <c:v>56.06</c:v>
                </c:pt>
                <c:pt idx="47">
                  <c:v>54.51</c:v>
                </c:pt>
                <c:pt idx="48">
                  <c:v>53.52</c:v>
                </c:pt>
                <c:pt idx="49">
                  <c:v>55.67</c:v>
                </c:pt>
                <c:pt idx="50">
                  <c:v>59.2</c:v>
                </c:pt>
                <c:pt idx="51">
                  <c:v>58.2</c:v>
                </c:pt>
                <c:pt idx="52">
                  <c:v>58.45</c:v>
                </c:pt>
                <c:pt idx="53">
                  <c:v>58.49</c:v>
                </c:pt>
                <c:pt idx="54">
                  <c:v>57.87</c:v>
                </c:pt>
                <c:pt idx="55">
                  <c:v>57.8</c:v>
                </c:pt>
                <c:pt idx="56">
                  <c:v>57.31</c:v>
                </c:pt>
                <c:pt idx="57">
                  <c:v>56.84</c:v>
                </c:pt>
                <c:pt idx="58">
                  <c:v>56.77</c:v>
                </c:pt>
                <c:pt idx="59">
                  <c:v>57.96</c:v>
                </c:pt>
                <c:pt idx="60">
                  <c:v>59.13</c:v>
                </c:pt>
                <c:pt idx="61">
                  <c:v>59.39</c:v>
                </c:pt>
                <c:pt idx="62">
                  <c:v>58.84</c:v>
                </c:pt>
                <c:pt idx="63">
                  <c:v>58.64</c:v>
                </c:pt>
                <c:pt idx="64">
                  <c:v>57.72</c:v>
                </c:pt>
                <c:pt idx="65">
                  <c:v>57.86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737520"/>
        <c:axId val="682740264"/>
      </c:lineChart>
      <c:dateAx>
        <c:axId val="682737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740264"/>
        <c:crosses val="autoZero"/>
        <c:auto val="1"/>
        <c:lblOffset val="100"/>
        <c:baseTimeUnit val="days"/>
      </c:dateAx>
      <c:valAx>
        <c:axId val="68274026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737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2-Sep-16</c:v>
                </c:pt>
                <c:pt idx="1">
                  <c:v>1-Sep-16</c:v>
                </c:pt>
                <c:pt idx="2">
                  <c:v>31-Aug-16</c:v>
                </c:pt>
                <c:pt idx="3">
                  <c:v>30-Aug-16</c:v>
                </c:pt>
                <c:pt idx="4">
                  <c:v>29-Aug-16</c:v>
                </c:pt>
                <c:pt idx="5">
                  <c:v>26-Aug-16</c:v>
                </c:pt>
                <c:pt idx="6">
                  <c:v>25-Aug-16</c:v>
                </c:pt>
                <c:pt idx="7">
                  <c:v>24-Aug-16</c:v>
                </c:pt>
                <c:pt idx="8">
                  <c:v>23-Aug-16</c:v>
                </c:pt>
                <c:pt idx="9">
                  <c:v>22-Aug-16</c:v>
                </c:pt>
                <c:pt idx="10">
                  <c:v>19-Aug-16</c:v>
                </c:pt>
                <c:pt idx="11">
                  <c:v>18-Aug-16</c:v>
                </c:pt>
                <c:pt idx="12">
                  <c:v>17-Aug-16</c:v>
                </c:pt>
                <c:pt idx="13">
                  <c:v>16-Aug-16</c:v>
                </c:pt>
                <c:pt idx="14">
                  <c:v>15-Aug-16</c:v>
                </c:pt>
                <c:pt idx="15">
                  <c:v>12-Aug-16</c:v>
                </c:pt>
                <c:pt idx="16">
                  <c:v>11-Aug-16</c:v>
                </c:pt>
                <c:pt idx="17">
                  <c:v>10-Aug-16</c:v>
                </c:pt>
                <c:pt idx="18">
                  <c:v>9-Aug-16</c:v>
                </c:pt>
                <c:pt idx="19">
                  <c:v>8-Aug-16</c:v>
                </c:pt>
                <c:pt idx="20">
                  <c:v>5-Aug-16</c:v>
                </c:pt>
                <c:pt idx="21">
                  <c:v>4-Aug-16</c:v>
                </c:pt>
                <c:pt idx="22">
                  <c:v>3-Aug-16</c:v>
                </c:pt>
                <c:pt idx="23">
                  <c:v>2-Aug-16</c:v>
                </c:pt>
                <c:pt idx="24">
                  <c:v>1-Aug-16</c:v>
                </c:pt>
                <c:pt idx="25">
                  <c:v>29-Jul-16</c:v>
                </c:pt>
                <c:pt idx="26">
                  <c:v>28-Jul-16</c:v>
                </c:pt>
                <c:pt idx="27">
                  <c:v>27-Jul-16</c:v>
                </c:pt>
                <c:pt idx="28">
                  <c:v>26-Jul-16</c:v>
                </c:pt>
                <c:pt idx="29">
                  <c:v>25-Jul-16</c:v>
                </c:pt>
                <c:pt idx="30">
                  <c:v>22-Jul-16</c:v>
                </c:pt>
                <c:pt idx="31">
                  <c:v>21-Jul-16</c:v>
                </c:pt>
                <c:pt idx="32">
                  <c:v>20-Jul-16</c:v>
                </c:pt>
                <c:pt idx="33">
                  <c:v>19-Jul-16</c:v>
                </c:pt>
                <c:pt idx="34">
                  <c:v>18-Jul-16</c:v>
                </c:pt>
                <c:pt idx="35">
                  <c:v>15-Jul-16</c:v>
                </c:pt>
                <c:pt idx="36">
                  <c:v>14-Jul-16</c:v>
                </c:pt>
                <c:pt idx="37">
                  <c:v>13-Jul-16</c:v>
                </c:pt>
                <c:pt idx="38">
                  <c:v>12-Jul-16</c:v>
                </c:pt>
                <c:pt idx="39">
                  <c:v>11-Jul-16</c:v>
                </c:pt>
                <c:pt idx="40">
                  <c:v>8-Jul-16</c:v>
                </c:pt>
                <c:pt idx="41">
                  <c:v>7-Jul-16</c:v>
                </c:pt>
                <c:pt idx="42">
                  <c:v>7-Jul-16</c:v>
                </c:pt>
                <c:pt idx="43">
                  <c:v>6-Jul-16</c:v>
                </c:pt>
                <c:pt idx="44">
                  <c:v>5-Jul-16</c:v>
                </c:pt>
                <c:pt idx="45">
                  <c:v>1-Jul-16</c:v>
                </c:pt>
                <c:pt idx="46">
                  <c:v>30-Jun-16</c:v>
                </c:pt>
                <c:pt idx="47">
                  <c:v>29-Jun-16</c:v>
                </c:pt>
                <c:pt idx="48">
                  <c:v>28-Jun-16</c:v>
                </c:pt>
                <c:pt idx="49">
                  <c:v>27-Jun-16</c:v>
                </c:pt>
                <c:pt idx="50">
                  <c:v>24-Jun-16</c:v>
                </c:pt>
                <c:pt idx="51">
                  <c:v>23-Jun-16</c:v>
                </c:pt>
                <c:pt idx="52">
                  <c:v>22-Jun-16</c:v>
                </c:pt>
                <c:pt idx="53">
                  <c:v>21-Jun-16</c:v>
                </c:pt>
                <c:pt idx="54">
                  <c:v>20-Jun-16</c:v>
                </c:pt>
                <c:pt idx="55">
                  <c:v>17-Jun-16</c:v>
                </c:pt>
                <c:pt idx="56">
                  <c:v>16-Jun-16</c:v>
                </c:pt>
                <c:pt idx="57">
                  <c:v>15-Jun-16</c:v>
                </c:pt>
                <c:pt idx="58">
                  <c:v>14-Jun-16</c:v>
                </c:pt>
                <c:pt idx="59">
                  <c:v>13-Jun-16</c:v>
                </c:pt>
                <c:pt idx="60">
                  <c:v>10-Jun-16</c:v>
                </c:pt>
                <c:pt idx="61">
                  <c:v>9-Jun-16</c:v>
                </c:pt>
                <c:pt idx="62">
                  <c:v>8-Jun-16</c:v>
                </c:pt>
                <c:pt idx="63">
                  <c:v>7-Jun-16</c:v>
                </c:pt>
                <c:pt idx="64">
                  <c:v>6-Jun-16</c:v>
                </c:pt>
                <c:pt idx="65">
                  <c:v>3-Jun-16</c:v>
                </c:pt>
                <c:pt idx="66">
                  <c:v>2-Jun-16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70.94</c:v>
                </c:pt>
                <c:pt idx="1">
                  <c:v>70.11</c:v>
                </c:pt>
                <c:pt idx="2">
                  <c:v>70.819999999999993</c:v>
                </c:pt>
                <c:pt idx="3">
                  <c:v>70.510000000000005</c:v>
                </c:pt>
                <c:pt idx="4">
                  <c:v>71.42</c:v>
                </c:pt>
                <c:pt idx="5">
                  <c:v>70.87</c:v>
                </c:pt>
                <c:pt idx="6">
                  <c:v>71.39</c:v>
                </c:pt>
                <c:pt idx="7">
                  <c:v>71</c:v>
                </c:pt>
                <c:pt idx="8">
                  <c:v>71.099999999999994</c:v>
                </c:pt>
                <c:pt idx="9">
                  <c:v>71.56</c:v>
                </c:pt>
                <c:pt idx="10">
                  <c:v>71.45</c:v>
                </c:pt>
                <c:pt idx="11">
                  <c:v>71.27</c:v>
                </c:pt>
                <c:pt idx="12">
                  <c:v>70.56</c:v>
                </c:pt>
                <c:pt idx="13">
                  <c:v>70.5</c:v>
                </c:pt>
                <c:pt idx="14">
                  <c:v>71.040000000000006</c:v>
                </c:pt>
                <c:pt idx="15">
                  <c:v>71.17</c:v>
                </c:pt>
                <c:pt idx="16">
                  <c:v>71.069999999999993</c:v>
                </c:pt>
                <c:pt idx="17">
                  <c:v>71.06</c:v>
                </c:pt>
                <c:pt idx="18">
                  <c:v>70.930000000000007</c:v>
                </c:pt>
                <c:pt idx="19">
                  <c:v>70.63</c:v>
                </c:pt>
                <c:pt idx="20">
                  <c:v>70.55</c:v>
                </c:pt>
                <c:pt idx="21">
                  <c:v>70.489999999999995</c:v>
                </c:pt>
                <c:pt idx="22">
                  <c:v>69.78</c:v>
                </c:pt>
                <c:pt idx="23">
                  <c:v>70.97</c:v>
                </c:pt>
                <c:pt idx="24">
                  <c:v>71.63</c:v>
                </c:pt>
                <c:pt idx="25">
                  <c:v>71.89</c:v>
                </c:pt>
                <c:pt idx="26">
                  <c:v>71.34</c:v>
                </c:pt>
                <c:pt idx="27">
                  <c:v>70.55</c:v>
                </c:pt>
                <c:pt idx="28">
                  <c:v>71.28</c:v>
                </c:pt>
                <c:pt idx="29">
                  <c:v>71.69</c:v>
                </c:pt>
                <c:pt idx="30">
                  <c:v>71.22</c:v>
                </c:pt>
                <c:pt idx="31">
                  <c:v>71.209999999999994</c:v>
                </c:pt>
                <c:pt idx="32">
                  <c:v>71.7</c:v>
                </c:pt>
                <c:pt idx="33">
                  <c:v>72.64</c:v>
                </c:pt>
                <c:pt idx="34">
                  <c:v>72.28</c:v>
                </c:pt>
                <c:pt idx="35">
                  <c:v>72.02</c:v>
                </c:pt>
                <c:pt idx="36">
                  <c:v>72.09</c:v>
                </c:pt>
                <c:pt idx="37">
                  <c:v>71.94</c:v>
                </c:pt>
                <c:pt idx="38">
                  <c:v>71.42</c:v>
                </c:pt>
                <c:pt idx="39">
                  <c:v>71.81</c:v>
                </c:pt>
                <c:pt idx="40">
                  <c:v>72.459999999999994</c:v>
                </c:pt>
                <c:pt idx="41">
                  <c:v>72.02</c:v>
                </c:pt>
                <c:pt idx="43">
                  <c:v>72.56</c:v>
                </c:pt>
                <c:pt idx="44">
                  <c:v>72.11</c:v>
                </c:pt>
                <c:pt idx="45">
                  <c:v>71.94</c:v>
                </c:pt>
                <c:pt idx="46">
                  <c:v>71.319999999999993</c:v>
                </c:pt>
                <c:pt idx="47">
                  <c:v>67.86</c:v>
                </c:pt>
                <c:pt idx="48">
                  <c:v>65.760000000000005</c:v>
                </c:pt>
                <c:pt idx="49">
                  <c:v>66.19</c:v>
                </c:pt>
                <c:pt idx="50">
                  <c:v>66.14</c:v>
                </c:pt>
                <c:pt idx="51">
                  <c:v>66.77</c:v>
                </c:pt>
                <c:pt idx="52">
                  <c:v>66.400000000000006</c:v>
                </c:pt>
                <c:pt idx="53">
                  <c:v>66.52</c:v>
                </c:pt>
                <c:pt idx="54">
                  <c:v>65.88</c:v>
                </c:pt>
                <c:pt idx="55">
                  <c:v>65.81</c:v>
                </c:pt>
                <c:pt idx="56">
                  <c:v>65.78</c:v>
                </c:pt>
                <c:pt idx="57">
                  <c:v>64.89</c:v>
                </c:pt>
                <c:pt idx="58">
                  <c:v>65.040000000000006</c:v>
                </c:pt>
                <c:pt idx="59">
                  <c:v>64.849999999999994</c:v>
                </c:pt>
                <c:pt idx="60">
                  <c:v>65.41</c:v>
                </c:pt>
                <c:pt idx="61">
                  <c:v>65.34</c:v>
                </c:pt>
                <c:pt idx="62">
                  <c:v>64.42</c:v>
                </c:pt>
                <c:pt idx="63">
                  <c:v>64.02</c:v>
                </c:pt>
                <c:pt idx="64">
                  <c:v>63.58</c:v>
                </c:pt>
                <c:pt idx="65">
                  <c:v>63.69</c:v>
                </c:pt>
                <c:pt idx="66">
                  <c:v>63.23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734384"/>
        <c:axId val="682732032"/>
      </c:lineChart>
      <c:catAx>
        <c:axId val="6827343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732032"/>
        <c:crosses val="autoZero"/>
        <c:auto val="1"/>
        <c:lblAlgn val="ctr"/>
        <c:lblOffset val="100"/>
        <c:noMultiLvlLbl val="0"/>
      </c:catAx>
      <c:valAx>
        <c:axId val="682732032"/>
        <c:scaling>
          <c:orientation val="minMax"/>
          <c:min val="5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734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2-Sep-16</c:v>
                </c:pt>
                <c:pt idx="1">
                  <c:v>1-Sep-16</c:v>
                </c:pt>
                <c:pt idx="2">
                  <c:v>31-Aug-16</c:v>
                </c:pt>
                <c:pt idx="3">
                  <c:v>30-Aug-16</c:v>
                </c:pt>
                <c:pt idx="4">
                  <c:v>29-Aug-16</c:v>
                </c:pt>
                <c:pt idx="5">
                  <c:v>26-Aug-16</c:v>
                </c:pt>
                <c:pt idx="6">
                  <c:v>25-Aug-16</c:v>
                </c:pt>
                <c:pt idx="7">
                  <c:v>24-Aug-16</c:v>
                </c:pt>
                <c:pt idx="8">
                  <c:v>23-Aug-16</c:v>
                </c:pt>
                <c:pt idx="9">
                  <c:v>22-Aug-16</c:v>
                </c:pt>
                <c:pt idx="10">
                  <c:v>19-Aug-16</c:v>
                </c:pt>
                <c:pt idx="11">
                  <c:v>18-Aug-16</c:v>
                </c:pt>
                <c:pt idx="12">
                  <c:v>17-Aug-16</c:v>
                </c:pt>
                <c:pt idx="13">
                  <c:v>16-Aug-16</c:v>
                </c:pt>
                <c:pt idx="14">
                  <c:v>15-Aug-16</c:v>
                </c:pt>
                <c:pt idx="15">
                  <c:v>12-Aug-16</c:v>
                </c:pt>
                <c:pt idx="16">
                  <c:v>11-Aug-16</c:v>
                </c:pt>
                <c:pt idx="17">
                  <c:v>10-Aug-16</c:v>
                </c:pt>
                <c:pt idx="18">
                  <c:v>9-Aug-16</c:v>
                </c:pt>
                <c:pt idx="19">
                  <c:v>8-Aug-16</c:v>
                </c:pt>
                <c:pt idx="20">
                  <c:v>5-Aug-16</c:v>
                </c:pt>
                <c:pt idx="21">
                  <c:v>4-Aug-16</c:v>
                </c:pt>
                <c:pt idx="22">
                  <c:v>3-Aug-16</c:v>
                </c:pt>
                <c:pt idx="23">
                  <c:v>2-Aug-16</c:v>
                </c:pt>
                <c:pt idx="24">
                  <c:v>1-Aug-16</c:v>
                </c:pt>
                <c:pt idx="25">
                  <c:v>29-Jul-16</c:v>
                </c:pt>
                <c:pt idx="26">
                  <c:v>28-Jul-16</c:v>
                </c:pt>
                <c:pt idx="27">
                  <c:v>27-Jul-16</c:v>
                </c:pt>
                <c:pt idx="28">
                  <c:v>26-Jul-16</c:v>
                </c:pt>
                <c:pt idx="29">
                  <c:v>25-Jul-16</c:v>
                </c:pt>
                <c:pt idx="30">
                  <c:v>22-Jul-16</c:v>
                </c:pt>
                <c:pt idx="31">
                  <c:v>21-Jul-16</c:v>
                </c:pt>
                <c:pt idx="32">
                  <c:v>20-Jul-16</c:v>
                </c:pt>
                <c:pt idx="33">
                  <c:v>19-Jul-16</c:v>
                </c:pt>
                <c:pt idx="34">
                  <c:v>18-Jul-16</c:v>
                </c:pt>
                <c:pt idx="35">
                  <c:v>15-Jul-16</c:v>
                </c:pt>
                <c:pt idx="36">
                  <c:v>14-Jul-16</c:v>
                </c:pt>
                <c:pt idx="37">
                  <c:v>13-Jul-16</c:v>
                </c:pt>
                <c:pt idx="38">
                  <c:v>12-Jul-16</c:v>
                </c:pt>
                <c:pt idx="39">
                  <c:v>11-Jul-16</c:v>
                </c:pt>
                <c:pt idx="40">
                  <c:v>8-Jul-16</c:v>
                </c:pt>
                <c:pt idx="41">
                  <c:v>7-Jul-16</c:v>
                </c:pt>
                <c:pt idx="42">
                  <c:v>6-Jul-16</c:v>
                </c:pt>
                <c:pt idx="43">
                  <c:v>5-Jul-16</c:v>
                </c:pt>
                <c:pt idx="44">
                  <c:v>1-Jul-16</c:v>
                </c:pt>
                <c:pt idx="45">
                  <c:v>30-Jun-16</c:v>
                </c:pt>
                <c:pt idx="46">
                  <c:v>29-Jun-16</c:v>
                </c:pt>
                <c:pt idx="47">
                  <c:v>28-Jun-16</c:v>
                </c:pt>
                <c:pt idx="48">
                  <c:v>27-Jun-16</c:v>
                </c:pt>
                <c:pt idx="49">
                  <c:v>24-Jun-16</c:v>
                </c:pt>
                <c:pt idx="50">
                  <c:v>23-Jun-16</c:v>
                </c:pt>
                <c:pt idx="51">
                  <c:v>22-Jun-16</c:v>
                </c:pt>
                <c:pt idx="52">
                  <c:v>21-Jun-16</c:v>
                </c:pt>
                <c:pt idx="53">
                  <c:v>20-Jun-16</c:v>
                </c:pt>
                <c:pt idx="54">
                  <c:v>17-Jun-16</c:v>
                </c:pt>
                <c:pt idx="55">
                  <c:v>16-Jun-16</c:v>
                </c:pt>
                <c:pt idx="56">
                  <c:v>15-Jun-16</c:v>
                </c:pt>
                <c:pt idx="57">
                  <c:v>14-Jun-16</c:v>
                </c:pt>
                <c:pt idx="58">
                  <c:v>13-Jun-16</c:v>
                </c:pt>
                <c:pt idx="59">
                  <c:v>10-Jun-16</c:v>
                </c:pt>
                <c:pt idx="60">
                  <c:v>9-Jun-16</c:v>
                </c:pt>
                <c:pt idx="61">
                  <c:v>8-Jun-16</c:v>
                </c:pt>
                <c:pt idx="62">
                  <c:v>8-Jun-16</c:v>
                </c:pt>
                <c:pt idx="63">
                  <c:v>7-Jun-16</c:v>
                </c:pt>
                <c:pt idx="64">
                  <c:v>6-Jun-16</c:v>
                </c:pt>
                <c:pt idx="65">
                  <c:v>3-Jun-16</c:v>
                </c:pt>
                <c:pt idx="66">
                  <c:v>2-Jun-16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32.159999999999997</c:v>
                </c:pt>
                <c:pt idx="1">
                  <c:v>31.8</c:v>
                </c:pt>
                <c:pt idx="2">
                  <c:v>31.92</c:v>
                </c:pt>
                <c:pt idx="3">
                  <c:v>31.67</c:v>
                </c:pt>
                <c:pt idx="4">
                  <c:v>31.81</c:v>
                </c:pt>
                <c:pt idx="5">
                  <c:v>31.53</c:v>
                </c:pt>
                <c:pt idx="6">
                  <c:v>31.54</c:v>
                </c:pt>
                <c:pt idx="7">
                  <c:v>31.78</c:v>
                </c:pt>
                <c:pt idx="8">
                  <c:v>31.9</c:v>
                </c:pt>
                <c:pt idx="9">
                  <c:v>31.87</c:v>
                </c:pt>
                <c:pt idx="10">
                  <c:v>31.83</c:v>
                </c:pt>
                <c:pt idx="11">
                  <c:v>31.55</c:v>
                </c:pt>
                <c:pt idx="12">
                  <c:v>31.85</c:v>
                </c:pt>
                <c:pt idx="13">
                  <c:v>31.71</c:v>
                </c:pt>
                <c:pt idx="14">
                  <c:v>31.86</c:v>
                </c:pt>
                <c:pt idx="15">
                  <c:v>31.57</c:v>
                </c:pt>
                <c:pt idx="16">
                  <c:v>31.75</c:v>
                </c:pt>
                <c:pt idx="17">
                  <c:v>31.25</c:v>
                </c:pt>
                <c:pt idx="18">
                  <c:v>31.07</c:v>
                </c:pt>
                <c:pt idx="19">
                  <c:v>30.88</c:v>
                </c:pt>
                <c:pt idx="20">
                  <c:v>30.8</c:v>
                </c:pt>
                <c:pt idx="21">
                  <c:v>30.34</c:v>
                </c:pt>
                <c:pt idx="22">
                  <c:v>30.24</c:v>
                </c:pt>
                <c:pt idx="23">
                  <c:v>29.93</c:v>
                </c:pt>
                <c:pt idx="24">
                  <c:v>31.3</c:v>
                </c:pt>
                <c:pt idx="25">
                  <c:v>31.54</c:v>
                </c:pt>
                <c:pt idx="26">
                  <c:v>30.99</c:v>
                </c:pt>
                <c:pt idx="27">
                  <c:v>32.020000000000003</c:v>
                </c:pt>
                <c:pt idx="28">
                  <c:v>32.15</c:v>
                </c:pt>
                <c:pt idx="29">
                  <c:v>32.06</c:v>
                </c:pt>
                <c:pt idx="30">
                  <c:v>32.159999999999997</c:v>
                </c:pt>
                <c:pt idx="31">
                  <c:v>32.03</c:v>
                </c:pt>
                <c:pt idx="32">
                  <c:v>31.49</c:v>
                </c:pt>
                <c:pt idx="33">
                  <c:v>31.25</c:v>
                </c:pt>
                <c:pt idx="34">
                  <c:v>30.87</c:v>
                </c:pt>
                <c:pt idx="35">
                  <c:v>30.77</c:v>
                </c:pt>
                <c:pt idx="36">
                  <c:v>30.76</c:v>
                </c:pt>
                <c:pt idx="37">
                  <c:v>30.63</c:v>
                </c:pt>
                <c:pt idx="38">
                  <c:v>30.6</c:v>
                </c:pt>
                <c:pt idx="39">
                  <c:v>30.13</c:v>
                </c:pt>
                <c:pt idx="40">
                  <c:v>29.66</c:v>
                </c:pt>
                <c:pt idx="41">
                  <c:v>28.74</c:v>
                </c:pt>
                <c:pt idx="42">
                  <c:v>28.4</c:v>
                </c:pt>
                <c:pt idx="43">
                  <c:v>28.17</c:v>
                </c:pt>
                <c:pt idx="44">
                  <c:v>28.89</c:v>
                </c:pt>
                <c:pt idx="45">
                  <c:v>28.3</c:v>
                </c:pt>
                <c:pt idx="46">
                  <c:v>28.17</c:v>
                </c:pt>
                <c:pt idx="47">
                  <c:v>27.74</c:v>
                </c:pt>
                <c:pt idx="48">
                  <c:v>27.51</c:v>
                </c:pt>
                <c:pt idx="49">
                  <c:v>28.35</c:v>
                </c:pt>
                <c:pt idx="50">
                  <c:v>29.82</c:v>
                </c:pt>
                <c:pt idx="51">
                  <c:v>29.32</c:v>
                </c:pt>
                <c:pt idx="52">
                  <c:v>29.51</c:v>
                </c:pt>
                <c:pt idx="53">
                  <c:v>29.65</c:v>
                </c:pt>
                <c:pt idx="54">
                  <c:v>29.23</c:v>
                </c:pt>
                <c:pt idx="55">
                  <c:v>29.02</c:v>
                </c:pt>
                <c:pt idx="56">
                  <c:v>28.86</c:v>
                </c:pt>
                <c:pt idx="57">
                  <c:v>28.83</c:v>
                </c:pt>
                <c:pt idx="58">
                  <c:v>29.08</c:v>
                </c:pt>
                <c:pt idx="59">
                  <c:v>29.06</c:v>
                </c:pt>
                <c:pt idx="60">
                  <c:v>29.36</c:v>
                </c:pt>
                <c:pt idx="61">
                  <c:v>29.57</c:v>
                </c:pt>
                <c:pt idx="63">
                  <c:v>30.23</c:v>
                </c:pt>
                <c:pt idx="64">
                  <c:v>29.99</c:v>
                </c:pt>
                <c:pt idx="65">
                  <c:v>29.6</c:v>
                </c:pt>
                <c:pt idx="66">
                  <c:v>30.26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735168"/>
        <c:axId val="682735560"/>
      </c:lineChart>
      <c:catAx>
        <c:axId val="6827351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735560"/>
        <c:crosses val="autoZero"/>
        <c:auto val="1"/>
        <c:lblAlgn val="ctr"/>
        <c:lblOffset val="100"/>
        <c:noMultiLvlLbl val="0"/>
      </c:catAx>
      <c:valAx>
        <c:axId val="68273556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735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2-Sep-16</c:v>
                </c:pt>
                <c:pt idx="1">
                  <c:v>1-Sep-16</c:v>
                </c:pt>
                <c:pt idx="2">
                  <c:v>31-Aug-16</c:v>
                </c:pt>
                <c:pt idx="3">
                  <c:v>30-Aug-16</c:v>
                </c:pt>
                <c:pt idx="4">
                  <c:v>29-Aug-16</c:v>
                </c:pt>
                <c:pt idx="5">
                  <c:v>26-Aug-16</c:v>
                </c:pt>
                <c:pt idx="6">
                  <c:v>25-Aug-16</c:v>
                </c:pt>
                <c:pt idx="7">
                  <c:v>24-Aug-16</c:v>
                </c:pt>
                <c:pt idx="8">
                  <c:v>23-Aug-16</c:v>
                </c:pt>
                <c:pt idx="9">
                  <c:v>22-Aug-16</c:v>
                </c:pt>
                <c:pt idx="10">
                  <c:v>19-Aug-16</c:v>
                </c:pt>
                <c:pt idx="11">
                  <c:v>18-Aug-16</c:v>
                </c:pt>
                <c:pt idx="12">
                  <c:v>17-Aug-16</c:v>
                </c:pt>
                <c:pt idx="13">
                  <c:v>16-Aug-16</c:v>
                </c:pt>
                <c:pt idx="14">
                  <c:v>15-Aug-16</c:v>
                </c:pt>
                <c:pt idx="15">
                  <c:v>12-Aug-16</c:v>
                </c:pt>
                <c:pt idx="16">
                  <c:v>11-Aug-16</c:v>
                </c:pt>
                <c:pt idx="17">
                  <c:v>10-Aug-16</c:v>
                </c:pt>
                <c:pt idx="18">
                  <c:v>9-Aug-16</c:v>
                </c:pt>
                <c:pt idx="19">
                  <c:v>8-Aug-16</c:v>
                </c:pt>
                <c:pt idx="20">
                  <c:v>5-Aug-16</c:v>
                </c:pt>
                <c:pt idx="21">
                  <c:v>4-Aug-16</c:v>
                </c:pt>
                <c:pt idx="22">
                  <c:v>3-Aug-16</c:v>
                </c:pt>
                <c:pt idx="23">
                  <c:v>2-Aug-16</c:v>
                </c:pt>
                <c:pt idx="24">
                  <c:v>1-Aug-16</c:v>
                </c:pt>
                <c:pt idx="25">
                  <c:v>29-Jul-16</c:v>
                </c:pt>
                <c:pt idx="26">
                  <c:v>28-Jul-16</c:v>
                </c:pt>
                <c:pt idx="27">
                  <c:v>27-Jul-16</c:v>
                </c:pt>
                <c:pt idx="28">
                  <c:v>26-Jul-16</c:v>
                </c:pt>
                <c:pt idx="29">
                  <c:v>25-Jul-16</c:v>
                </c:pt>
                <c:pt idx="30">
                  <c:v>22-Jul-16</c:v>
                </c:pt>
                <c:pt idx="31">
                  <c:v>21-Jul-16</c:v>
                </c:pt>
                <c:pt idx="32">
                  <c:v>20-Jul-16</c:v>
                </c:pt>
                <c:pt idx="33">
                  <c:v>19-Jul-16</c:v>
                </c:pt>
                <c:pt idx="34">
                  <c:v>18-Jul-16</c:v>
                </c:pt>
                <c:pt idx="35">
                  <c:v>15-Jul-16</c:v>
                </c:pt>
                <c:pt idx="36">
                  <c:v>14-Jul-16</c:v>
                </c:pt>
                <c:pt idx="37">
                  <c:v>13-Jul-16</c:v>
                </c:pt>
                <c:pt idx="38">
                  <c:v>12-Jul-16</c:v>
                </c:pt>
                <c:pt idx="39">
                  <c:v>11-Jul-16</c:v>
                </c:pt>
                <c:pt idx="40">
                  <c:v>8-Jul-16</c:v>
                </c:pt>
                <c:pt idx="41">
                  <c:v>7-Jul-16</c:v>
                </c:pt>
                <c:pt idx="42">
                  <c:v>6-Jul-16</c:v>
                </c:pt>
                <c:pt idx="43">
                  <c:v>5-Jul-16</c:v>
                </c:pt>
                <c:pt idx="44">
                  <c:v>1-Jul-16</c:v>
                </c:pt>
                <c:pt idx="45">
                  <c:v>30-Jun-16</c:v>
                </c:pt>
                <c:pt idx="46">
                  <c:v>29-Jun-16</c:v>
                </c:pt>
                <c:pt idx="47">
                  <c:v>28-Jun-16</c:v>
                </c:pt>
                <c:pt idx="48">
                  <c:v>27-Jun-16</c:v>
                </c:pt>
                <c:pt idx="49">
                  <c:v>24-Jun-16</c:v>
                </c:pt>
                <c:pt idx="50">
                  <c:v>23-Jun-16</c:v>
                </c:pt>
                <c:pt idx="51">
                  <c:v>22-Jun-16</c:v>
                </c:pt>
                <c:pt idx="52">
                  <c:v>21-Jun-16</c:v>
                </c:pt>
                <c:pt idx="53">
                  <c:v>20-Jun-16</c:v>
                </c:pt>
                <c:pt idx="54">
                  <c:v>17-Jun-16</c:v>
                </c:pt>
                <c:pt idx="55">
                  <c:v>16-Jun-16</c:v>
                </c:pt>
                <c:pt idx="56">
                  <c:v>15-Jun-16</c:v>
                </c:pt>
                <c:pt idx="57">
                  <c:v>14-Jun-16</c:v>
                </c:pt>
                <c:pt idx="58">
                  <c:v>13-Jun-16</c:v>
                </c:pt>
                <c:pt idx="59">
                  <c:v>13-Jun-16</c:v>
                </c:pt>
                <c:pt idx="60">
                  <c:v>10-Jun-16</c:v>
                </c:pt>
                <c:pt idx="61">
                  <c:v>9-Jun-16</c:v>
                </c:pt>
                <c:pt idx="62">
                  <c:v>8-Jun-16</c:v>
                </c:pt>
                <c:pt idx="63">
                  <c:v>7-Jun-16</c:v>
                </c:pt>
                <c:pt idx="64">
                  <c:v>6-Jun-16</c:v>
                </c:pt>
                <c:pt idx="65">
                  <c:v>3-Jun-16</c:v>
                </c:pt>
                <c:pt idx="66">
                  <c:v>2-Jun-16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151.18</c:v>
                </c:pt>
                <c:pt idx="1">
                  <c:v>150.94999999999999</c:v>
                </c:pt>
                <c:pt idx="2">
                  <c:v>152.19</c:v>
                </c:pt>
                <c:pt idx="3">
                  <c:v>153.16</c:v>
                </c:pt>
                <c:pt idx="4">
                  <c:v>153.51</c:v>
                </c:pt>
                <c:pt idx="5">
                  <c:v>152.36000000000001</c:v>
                </c:pt>
                <c:pt idx="6">
                  <c:v>151.35</c:v>
                </c:pt>
                <c:pt idx="7">
                  <c:v>151.26</c:v>
                </c:pt>
                <c:pt idx="8">
                  <c:v>154.55000000000001</c:v>
                </c:pt>
                <c:pt idx="9">
                  <c:v>153.99</c:v>
                </c:pt>
                <c:pt idx="10">
                  <c:v>153.58000000000001</c:v>
                </c:pt>
                <c:pt idx="11">
                  <c:v>153.35</c:v>
                </c:pt>
                <c:pt idx="12">
                  <c:v>154.66999999999999</c:v>
                </c:pt>
                <c:pt idx="13">
                  <c:v>154.97</c:v>
                </c:pt>
                <c:pt idx="14">
                  <c:v>155.97</c:v>
                </c:pt>
                <c:pt idx="15">
                  <c:v>155.49</c:v>
                </c:pt>
                <c:pt idx="16">
                  <c:v>157.46</c:v>
                </c:pt>
                <c:pt idx="17">
                  <c:v>156.01</c:v>
                </c:pt>
                <c:pt idx="18">
                  <c:v>156.68</c:v>
                </c:pt>
                <c:pt idx="19">
                  <c:v>156.52000000000001</c:v>
                </c:pt>
                <c:pt idx="20">
                  <c:v>157.51</c:v>
                </c:pt>
                <c:pt idx="21">
                  <c:v>156.41999999999999</c:v>
                </c:pt>
                <c:pt idx="22">
                  <c:v>156</c:v>
                </c:pt>
                <c:pt idx="23">
                  <c:v>156.44</c:v>
                </c:pt>
                <c:pt idx="24">
                  <c:v>159.56</c:v>
                </c:pt>
                <c:pt idx="25">
                  <c:v>158.84</c:v>
                </c:pt>
                <c:pt idx="26">
                  <c:v>158.82</c:v>
                </c:pt>
                <c:pt idx="27">
                  <c:v>158.9</c:v>
                </c:pt>
                <c:pt idx="28">
                  <c:v>158.88999999999999</c:v>
                </c:pt>
                <c:pt idx="29">
                  <c:v>156.97999999999999</c:v>
                </c:pt>
                <c:pt idx="30">
                  <c:v>156.88999999999999</c:v>
                </c:pt>
                <c:pt idx="31">
                  <c:v>156.19999999999999</c:v>
                </c:pt>
                <c:pt idx="32">
                  <c:v>157.69</c:v>
                </c:pt>
                <c:pt idx="33">
                  <c:v>156.63999999999999</c:v>
                </c:pt>
                <c:pt idx="34">
                  <c:v>157.05000000000001</c:v>
                </c:pt>
                <c:pt idx="35">
                  <c:v>157.04</c:v>
                </c:pt>
                <c:pt idx="36">
                  <c:v>157.72999999999999</c:v>
                </c:pt>
                <c:pt idx="37">
                  <c:v>154.80000000000001</c:v>
                </c:pt>
                <c:pt idx="38">
                  <c:v>154.38</c:v>
                </c:pt>
                <c:pt idx="39">
                  <c:v>152.34</c:v>
                </c:pt>
                <c:pt idx="40">
                  <c:v>152.69</c:v>
                </c:pt>
                <c:pt idx="41">
                  <c:v>149.06</c:v>
                </c:pt>
                <c:pt idx="42">
                  <c:v>149.11000000000001</c:v>
                </c:pt>
                <c:pt idx="43">
                  <c:v>147.25</c:v>
                </c:pt>
                <c:pt idx="44">
                  <c:v>149.22999999999999</c:v>
                </c:pt>
                <c:pt idx="45">
                  <c:v>147.76</c:v>
                </c:pt>
                <c:pt idx="46">
                  <c:v>145.16</c:v>
                </c:pt>
                <c:pt idx="47">
                  <c:v>143.15</c:v>
                </c:pt>
                <c:pt idx="48">
                  <c:v>140.93</c:v>
                </c:pt>
                <c:pt idx="49">
                  <c:v>145.35</c:v>
                </c:pt>
                <c:pt idx="50">
                  <c:v>152.13999999999999</c:v>
                </c:pt>
                <c:pt idx="51">
                  <c:v>149.85</c:v>
                </c:pt>
                <c:pt idx="52">
                  <c:v>148.91</c:v>
                </c:pt>
                <c:pt idx="53">
                  <c:v>148.37</c:v>
                </c:pt>
                <c:pt idx="54">
                  <c:v>146.24</c:v>
                </c:pt>
                <c:pt idx="55">
                  <c:v>147.22999999999999</c:v>
                </c:pt>
                <c:pt idx="56">
                  <c:v>147.41</c:v>
                </c:pt>
                <c:pt idx="57">
                  <c:v>147.97999999999999</c:v>
                </c:pt>
                <c:pt idx="58">
                  <c:v>150.52000000000001</c:v>
                </c:pt>
                <c:pt idx="60">
                  <c:v>151.80000000000001</c:v>
                </c:pt>
                <c:pt idx="61">
                  <c:v>154.15</c:v>
                </c:pt>
                <c:pt idx="62">
                  <c:v>154.13999999999999</c:v>
                </c:pt>
                <c:pt idx="63">
                  <c:v>152.69</c:v>
                </c:pt>
                <c:pt idx="64">
                  <c:v>153.19</c:v>
                </c:pt>
                <c:pt idx="65">
                  <c:v>152.87</c:v>
                </c:pt>
                <c:pt idx="66">
                  <c:v>153.55000000000001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736736"/>
        <c:axId val="682738304"/>
      </c:lineChart>
      <c:catAx>
        <c:axId val="6827367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738304"/>
        <c:crosses val="autoZero"/>
        <c:auto val="1"/>
        <c:lblAlgn val="ctr"/>
        <c:lblOffset val="100"/>
        <c:noMultiLvlLbl val="0"/>
      </c:catAx>
      <c:valAx>
        <c:axId val="68273830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736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2-Sep-16</c:v>
                </c:pt>
                <c:pt idx="1">
                  <c:v>1-Sep-16</c:v>
                </c:pt>
                <c:pt idx="2">
                  <c:v>31-Aug-16</c:v>
                </c:pt>
                <c:pt idx="3">
                  <c:v>30-Aug-16</c:v>
                </c:pt>
                <c:pt idx="4">
                  <c:v>29-Aug-16</c:v>
                </c:pt>
                <c:pt idx="5">
                  <c:v>26-Aug-16</c:v>
                </c:pt>
                <c:pt idx="6">
                  <c:v>25-Aug-16</c:v>
                </c:pt>
                <c:pt idx="7">
                  <c:v>24-Aug-16</c:v>
                </c:pt>
                <c:pt idx="8">
                  <c:v>23-Aug-16</c:v>
                </c:pt>
                <c:pt idx="9">
                  <c:v>22-Aug-16</c:v>
                </c:pt>
                <c:pt idx="10">
                  <c:v>19-Aug-16</c:v>
                </c:pt>
                <c:pt idx="11">
                  <c:v>18-Aug-16</c:v>
                </c:pt>
                <c:pt idx="12">
                  <c:v>17-Aug-16</c:v>
                </c:pt>
                <c:pt idx="13">
                  <c:v>16-Aug-16</c:v>
                </c:pt>
                <c:pt idx="14">
                  <c:v>15-Aug-16</c:v>
                </c:pt>
                <c:pt idx="15">
                  <c:v>12-Aug-16</c:v>
                </c:pt>
                <c:pt idx="16">
                  <c:v>11-Aug-16</c:v>
                </c:pt>
                <c:pt idx="17">
                  <c:v>11-Aug-16</c:v>
                </c:pt>
                <c:pt idx="18">
                  <c:v>10-Aug-16</c:v>
                </c:pt>
                <c:pt idx="19">
                  <c:v>9-Aug-16</c:v>
                </c:pt>
                <c:pt idx="20">
                  <c:v>8-Aug-16</c:v>
                </c:pt>
                <c:pt idx="21">
                  <c:v>5-Aug-16</c:v>
                </c:pt>
                <c:pt idx="22">
                  <c:v>4-Aug-16</c:v>
                </c:pt>
                <c:pt idx="23">
                  <c:v>3-Aug-16</c:v>
                </c:pt>
                <c:pt idx="24">
                  <c:v>2-Aug-16</c:v>
                </c:pt>
                <c:pt idx="25">
                  <c:v>1-Aug-16</c:v>
                </c:pt>
                <c:pt idx="26">
                  <c:v>29-Jul-16</c:v>
                </c:pt>
                <c:pt idx="27">
                  <c:v>28-Jul-16</c:v>
                </c:pt>
                <c:pt idx="28">
                  <c:v>27-Jul-16</c:v>
                </c:pt>
                <c:pt idx="29">
                  <c:v>26-Jul-16</c:v>
                </c:pt>
                <c:pt idx="30">
                  <c:v>25-Jul-16</c:v>
                </c:pt>
                <c:pt idx="31">
                  <c:v>22-Jul-16</c:v>
                </c:pt>
                <c:pt idx="32">
                  <c:v>21-Jul-16</c:v>
                </c:pt>
                <c:pt idx="33">
                  <c:v>20-Jul-16</c:v>
                </c:pt>
                <c:pt idx="34">
                  <c:v>19-Jul-16</c:v>
                </c:pt>
                <c:pt idx="35">
                  <c:v>18-Jul-16</c:v>
                </c:pt>
                <c:pt idx="36">
                  <c:v>15-Jul-16</c:v>
                </c:pt>
                <c:pt idx="37">
                  <c:v>14-Jul-16</c:v>
                </c:pt>
                <c:pt idx="38">
                  <c:v>13-Jul-16</c:v>
                </c:pt>
                <c:pt idx="39">
                  <c:v>12-Jul-16</c:v>
                </c:pt>
                <c:pt idx="40">
                  <c:v>11-Jul-16</c:v>
                </c:pt>
                <c:pt idx="41">
                  <c:v>8-Jul-16</c:v>
                </c:pt>
                <c:pt idx="42">
                  <c:v>7-Jul-16</c:v>
                </c:pt>
                <c:pt idx="43">
                  <c:v>6-Jul-16</c:v>
                </c:pt>
                <c:pt idx="44">
                  <c:v>5-Jul-16</c:v>
                </c:pt>
                <c:pt idx="45">
                  <c:v>1-Jul-16</c:v>
                </c:pt>
                <c:pt idx="46">
                  <c:v>30-Jun-16</c:v>
                </c:pt>
                <c:pt idx="47">
                  <c:v>29-Jun-16</c:v>
                </c:pt>
                <c:pt idx="48">
                  <c:v>28-Jun-16</c:v>
                </c:pt>
                <c:pt idx="49">
                  <c:v>27-Jun-16</c:v>
                </c:pt>
                <c:pt idx="50">
                  <c:v>24-Jun-16</c:v>
                </c:pt>
                <c:pt idx="51">
                  <c:v>23-Jun-16</c:v>
                </c:pt>
                <c:pt idx="52">
                  <c:v>22-Jun-16</c:v>
                </c:pt>
                <c:pt idx="53">
                  <c:v>21-Jun-16</c:v>
                </c:pt>
                <c:pt idx="54">
                  <c:v>20-Jun-16</c:v>
                </c:pt>
                <c:pt idx="55">
                  <c:v>17-Jun-16</c:v>
                </c:pt>
                <c:pt idx="56">
                  <c:v>16-Jun-16</c:v>
                </c:pt>
                <c:pt idx="57">
                  <c:v>15-Jun-16</c:v>
                </c:pt>
                <c:pt idx="58">
                  <c:v>14-Jun-16</c:v>
                </c:pt>
                <c:pt idx="59">
                  <c:v>13-Jun-16</c:v>
                </c:pt>
                <c:pt idx="60">
                  <c:v>10-Jun-16</c:v>
                </c:pt>
                <c:pt idx="61">
                  <c:v>9-Jun-16</c:v>
                </c:pt>
                <c:pt idx="62">
                  <c:v>8-Jun-16</c:v>
                </c:pt>
                <c:pt idx="63">
                  <c:v>7-Jun-16</c:v>
                </c:pt>
                <c:pt idx="64">
                  <c:v>6-Jun-16</c:v>
                </c:pt>
                <c:pt idx="65">
                  <c:v>3-Jun-16</c:v>
                </c:pt>
                <c:pt idx="66">
                  <c:v>2-Jun-16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33.950000000000003</c:v>
                </c:pt>
                <c:pt idx="1">
                  <c:v>33.700000000000003</c:v>
                </c:pt>
                <c:pt idx="2">
                  <c:v>33.869999999999997</c:v>
                </c:pt>
                <c:pt idx="3">
                  <c:v>34.380000000000003</c:v>
                </c:pt>
                <c:pt idx="4">
                  <c:v>34.380000000000003</c:v>
                </c:pt>
                <c:pt idx="5">
                  <c:v>34.15</c:v>
                </c:pt>
                <c:pt idx="6">
                  <c:v>34.200000000000003</c:v>
                </c:pt>
                <c:pt idx="7">
                  <c:v>34.07</c:v>
                </c:pt>
                <c:pt idx="8">
                  <c:v>34.299999999999997</c:v>
                </c:pt>
                <c:pt idx="9">
                  <c:v>33.64</c:v>
                </c:pt>
                <c:pt idx="10">
                  <c:v>33.72</c:v>
                </c:pt>
                <c:pt idx="11">
                  <c:v>33.6</c:v>
                </c:pt>
                <c:pt idx="12">
                  <c:v>33.630000000000003</c:v>
                </c:pt>
                <c:pt idx="13">
                  <c:v>33.54</c:v>
                </c:pt>
                <c:pt idx="14">
                  <c:v>33.72</c:v>
                </c:pt>
                <c:pt idx="15">
                  <c:v>33.520000000000003</c:v>
                </c:pt>
                <c:pt idx="16">
                  <c:v>33.880000000000003</c:v>
                </c:pt>
                <c:pt idx="18">
                  <c:v>33.729999999999997</c:v>
                </c:pt>
                <c:pt idx="19">
                  <c:v>33.880000000000003</c:v>
                </c:pt>
                <c:pt idx="20">
                  <c:v>34.159999999999997</c:v>
                </c:pt>
                <c:pt idx="21">
                  <c:v>34.01</c:v>
                </c:pt>
                <c:pt idx="22">
                  <c:v>33.36</c:v>
                </c:pt>
                <c:pt idx="23">
                  <c:v>33.42</c:v>
                </c:pt>
                <c:pt idx="24">
                  <c:v>33.340000000000003</c:v>
                </c:pt>
                <c:pt idx="25">
                  <c:v>33.61</c:v>
                </c:pt>
                <c:pt idx="26">
                  <c:v>33.450000000000003</c:v>
                </c:pt>
                <c:pt idx="27">
                  <c:v>33.35</c:v>
                </c:pt>
                <c:pt idx="28">
                  <c:v>32.409999999999997</c:v>
                </c:pt>
                <c:pt idx="29">
                  <c:v>31.99</c:v>
                </c:pt>
                <c:pt idx="30">
                  <c:v>31.13</c:v>
                </c:pt>
                <c:pt idx="31">
                  <c:v>31.06</c:v>
                </c:pt>
                <c:pt idx="32">
                  <c:v>30.88</c:v>
                </c:pt>
                <c:pt idx="33">
                  <c:v>31.6</c:v>
                </c:pt>
                <c:pt idx="34">
                  <c:v>31.53</c:v>
                </c:pt>
                <c:pt idx="35">
                  <c:v>31.7</c:v>
                </c:pt>
                <c:pt idx="36">
                  <c:v>31.73</c:v>
                </c:pt>
                <c:pt idx="37">
                  <c:v>31.52</c:v>
                </c:pt>
                <c:pt idx="38">
                  <c:v>31.53</c:v>
                </c:pt>
                <c:pt idx="39">
                  <c:v>31.82</c:v>
                </c:pt>
                <c:pt idx="40">
                  <c:v>31.28</c:v>
                </c:pt>
                <c:pt idx="41">
                  <c:v>30.7</c:v>
                </c:pt>
                <c:pt idx="42">
                  <c:v>30</c:v>
                </c:pt>
                <c:pt idx="43">
                  <c:v>30.11</c:v>
                </c:pt>
                <c:pt idx="44">
                  <c:v>30.02</c:v>
                </c:pt>
                <c:pt idx="45">
                  <c:v>30.9</c:v>
                </c:pt>
                <c:pt idx="46">
                  <c:v>30.66</c:v>
                </c:pt>
                <c:pt idx="47">
                  <c:v>29.72</c:v>
                </c:pt>
                <c:pt idx="48">
                  <c:v>29.58</c:v>
                </c:pt>
                <c:pt idx="49">
                  <c:v>28.97</c:v>
                </c:pt>
                <c:pt idx="50">
                  <c:v>30.44</c:v>
                </c:pt>
                <c:pt idx="51">
                  <c:v>33.46</c:v>
                </c:pt>
                <c:pt idx="52">
                  <c:v>32.630000000000003</c:v>
                </c:pt>
                <c:pt idx="53">
                  <c:v>32.659999999999997</c:v>
                </c:pt>
                <c:pt idx="54">
                  <c:v>33.36</c:v>
                </c:pt>
                <c:pt idx="55">
                  <c:v>32.92</c:v>
                </c:pt>
                <c:pt idx="56">
                  <c:v>32.49</c:v>
                </c:pt>
                <c:pt idx="57">
                  <c:v>32.44</c:v>
                </c:pt>
                <c:pt idx="58">
                  <c:v>32.520000000000003</c:v>
                </c:pt>
                <c:pt idx="59">
                  <c:v>32.909999999999997</c:v>
                </c:pt>
                <c:pt idx="60">
                  <c:v>33.44</c:v>
                </c:pt>
                <c:pt idx="61">
                  <c:v>34.090000000000003</c:v>
                </c:pt>
                <c:pt idx="62">
                  <c:v>34.380000000000003</c:v>
                </c:pt>
                <c:pt idx="63">
                  <c:v>34.270000000000003</c:v>
                </c:pt>
                <c:pt idx="64">
                  <c:v>33.94</c:v>
                </c:pt>
                <c:pt idx="65">
                  <c:v>33.56</c:v>
                </c:pt>
                <c:pt idx="66">
                  <c:v>33.799999999999997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739088"/>
        <c:axId val="682730464"/>
      </c:lineChart>
      <c:catAx>
        <c:axId val="6827390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730464"/>
        <c:crosses val="autoZero"/>
        <c:auto val="1"/>
        <c:lblAlgn val="ctr"/>
        <c:lblOffset val="100"/>
        <c:noMultiLvlLbl val="0"/>
      </c:catAx>
      <c:valAx>
        <c:axId val="68273046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73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42615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42608</c:v>
                </c:pt>
                <c:pt idx="6">
                  <c:v>42607</c:v>
                </c:pt>
                <c:pt idx="7">
                  <c:v>42606</c:v>
                </c:pt>
                <c:pt idx="8">
                  <c:v>42605</c:v>
                </c:pt>
                <c:pt idx="9">
                  <c:v>42604</c:v>
                </c:pt>
                <c:pt idx="10">
                  <c:v>42601</c:v>
                </c:pt>
                <c:pt idx="11">
                  <c:v>42600</c:v>
                </c:pt>
                <c:pt idx="12">
                  <c:v>42599</c:v>
                </c:pt>
                <c:pt idx="13">
                  <c:v>42599</c:v>
                </c:pt>
                <c:pt idx="14">
                  <c:v>42598</c:v>
                </c:pt>
                <c:pt idx="15">
                  <c:v>42597</c:v>
                </c:pt>
                <c:pt idx="16">
                  <c:v>42594</c:v>
                </c:pt>
                <c:pt idx="17">
                  <c:v>42593</c:v>
                </c:pt>
                <c:pt idx="18">
                  <c:v>42592</c:v>
                </c:pt>
                <c:pt idx="19">
                  <c:v>42591</c:v>
                </c:pt>
                <c:pt idx="20">
                  <c:v>42590</c:v>
                </c:pt>
                <c:pt idx="21">
                  <c:v>42587</c:v>
                </c:pt>
                <c:pt idx="22">
                  <c:v>42586</c:v>
                </c:pt>
                <c:pt idx="23">
                  <c:v>42585</c:v>
                </c:pt>
                <c:pt idx="24">
                  <c:v>42584</c:v>
                </c:pt>
                <c:pt idx="25">
                  <c:v>42583</c:v>
                </c:pt>
                <c:pt idx="26">
                  <c:v>42580</c:v>
                </c:pt>
                <c:pt idx="27">
                  <c:v>42579</c:v>
                </c:pt>
                <c:pt idx="28">
                  <c:v>42578</c:v>
                </c:pt>
                <c:pt idx="29">
                  <c:v>42577</c:v>
                </c:pt>
                <c:pt idx="30">
                  <c:v>42576</c:v>
                </c:pt>
                <c:pt idx="31">
                  <c:v>42573</c:v>
                </c:pt>
                <c:pt idx="32">
                  <c:v>42572</c:v>
                </c:pt>
                <c:pt idx="33">
                  <c:v>42571</c:v>
                </c:pt>
                <c:pt idx="34">
                  <c:v>42570</c:v>
                </c:pt>
                <c:pt idx="35">
                  <c:v>42569</c:v>
                </c:pt>
                <c:pt idx="36">
                  <c:v>42566</c:v>
                </c:pt>
                <c:pt idx="37">
                  <c:v>42565</c:v>
                </c:pt>
                <c:pt idx="38">
                  <c:v>42564</c:v>
                </c:pt>
                <c:pt idx="39">
                  <c:v>42563</c:v>
                </c:pt>
                <c:pt idx="40">
                  <c:v>42562</c:v>
                </c:pt>
                <c:pt idx="41">
                  <c:v>42559</c:v>
                </c:pt>
                <c:pt idx="42">
                  <c:v>42558</c:v>
                </c:pt>
                <c:pt idx="43">
                  <c:v>42557</c:v>
                </c:pt>
                <c:pt idx="44">
                  <c:v>42556</c:v>
                </c:pt>
                <c:pt idx="45">
                  <c:v>42552</c:v>
                </c:pt>
                <c:pt idx="46">
                  <c:v>42551</c:v>
                </c:pt>
                <c:pt idx="47">
                  <c:v>42550</c:v>
                </c:pt>
                <c:pt idx="48">
                  <c:v>42549</c:v>
                </c:pt>
                <c:pt idx="49">
                  <c:v>42548</c:v>
                </c:pt>
                <c:pt idx="50">
                  <c:v>42545</c:v>
                </c:pt>
                <c:pt idx="51">
                  <c:v>42544</c:v>
                </c:pt>
                <c:pt idx="52">
                  <c:v>42543</c:v>
                </c:pt>
                <c:pt idx="53">
                  <c:v>42542</c:v>
                </c:pt>
                <c:pt idx="54">
                  <c:v>42541</c:v>
                </c:pt>
                <c:pt idx="55">
                  <c:v>42538</c:v>
                </c:pt>
                <c:pt idx="56">
                  <c:v>42537</c:v>
                </c:pt>
                <c:pt idx="57">
                  <c:v>42536</c:v>
                </c:pt>
                <c:pt idx="58">
                  <c:v>42535</c:v>
                </c:pt>
                <c:pt idx="59">
                  <c:v>42534</c:v>
                </c:pt>
                <c:pt idx="60">
                  <c:v>42531</c:v>
                </c:pt>
                <c:pt idx="61">
                  <c:v>42530</c:v>
                </c:pt>
                <c:pt idx="62">
                  <c:v>42529</c:v>
                </c:pt>
                <c:pt idx="63">
                  <c:v>42528</c:v>
                </c:pt>
                <c:pt idx="64">
                  <c:v>42527</c:v>
                </c:pt>
                <c:pt idx="65">
                  <c:v>42524</c:v>
                </c:pt>
                <c:pt idx="66">
                  <c:v>42523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106.93</c:v>
                </c:pt>
                <c:pt idx="1">
                  <c:v>106.72</c:v>
                </c:pt>
                <c:pt idx="2">
                  <c:v>106.43</c:v>
                </c:pt>
                <c:pt idx="3">
                  <c:v>107.35</c:v>
                </c:pt>
                <c:pt idx="4">
                  <c:v>107.97</c:v>
                </c:pt>
                <c:pt idx="5">
                  <c:v>107.31</c:v>
                </c:pt>
                <c:pt idx="6">
                  <c:v>107.72</c:v>
                </c:pt>
                <c:pt idx="7">
                  <c:v>107.96</c:v>
                </c:pt>
                <c:pt idx="8">
                  <c:v>108</c:v>
                </c:pt>
                <c:pt idx="9">
                  <c:v>108.5</c:v>
                </c:pt>
                <c:pt idx="10">
                  <c:v>109.14</c:v>
                </c:pt>
                <c:pt idx="11">
                  <c:v>109.33</c:v>
                </c:pt>
                <c:pt idx="12">
                  <c:v>108.94</c:v>
                </c:pt>
                <c:pt idx="14">
                  <c:v>109.16</c:v>
                </c:pt>
                <c:pt idx="15">
                  <c:v>109.69</c:v>
                </c:pt>
                <c:pt idx="16">
                  <c:v>108.87</c:v>
                </c:pt>
                <c:pt idx="17">
                  <c:v>109.18</c:v>
                </c:pt>
                <c:pt idx="18">
                  <c:v>108.12</c:v>
                </c:pt>
                <c:pt idx="19">
                  <c:v>108.34</c:v>
                </c:pt>
                <c:pt idx="20">
                  <c:v>107.79</c:v>
                </c:pt>
                <c:pt idx="21">
                  <c:v>107.74</c:v>
                </c:pt>
                <c:pt idx="22">
                  <c:v>106.36</c:v>
                </c:pt>
                <c:pt idx="23">
                  <c:v>106.29</c:v>
                </c:pt>
                <c:pt idx="24">
                  <c:v>106.27</c:v>
                </c:pt>
                <c:pt idx="25">
                  <c:v>106.94</c:v>
                </c:pt>
                <c:pt idx="26">
                  <c:v>107.65</c:v>
                </c:pt>
                <c:pt idx="27">
                  <c:v>107.58</c:v>
                </c:pt>
                <c:pt idx="28">
                  <c:v>107.69</c:v>
                </c:pt>
                <c:pt idx="29">
                  <c:v>107.89</c:v>
                </c:pt>
                <c:pt idx="30">
                  <c:v>104.65</c:v>
                </c:pt>
                <c:pt idx="31">
                  <c:v>105.13</c:v>
                </c:pt>
                <c:pt idx="32">
                  <c:v>105.85</c:v>
                </c:pt>
                <c:pt idx="33">
                  <c:v>106.04</c:v>
                </c:pt>
                <c:pt idx="34">
                  <c:v>105.62</c:v>
                </c:pt>
                <c:pt idx="35">
                  <c:v>105.49</c:v>
                </c:pt>
                <c:pt idx="36">
                  <c:v>105.5</c:v>
                </c:pt>
                <c:pt idx="37">
                  <c:v>105.14</c:v>
                </c:pt>
                <c:pt idx="38">
                  <c:v>105.09</c:v>
                </c:pt>
                <c:pt idx="39">
                  <c:v>104.5</c:v>
                </c:pt>
                <c:pt idx="40">
                  <c:v>103.96</c:v>
                </c:pt>
                <c:pt idx="41">
                  <c:v>103.66</c:v>
                </c:pt>
                <c:pt idx="42">
                  <c:v>101.97</c:v>
                </c:pt>
                <c:pt idx="43">
                  <c:v>101.38</c:v>
                </c:pt>
                <c:pt idx="44">
                  <c:v>100.62</c:v>
                </c:pt>
                <c:pt idx="45">
                  <c:v>102.73</c:v>
                </c:pt>
                <c:pt idx="46">
                  <c:v>102.55</c:v>
                </c:pt>
                <c:pt idx="47">
                  <c:v>100.47</c:v>
                </c:pt>
                <c:pt idx="48">
                  <c:v>99.03</c:v>
                </c:pt>
                <c:pt idx="49">
                  <c:v>97.21</c:v>
                </c:pt>
                <c:pt idx="50">
                  <c:v>98.89</c:v>
                </c:pt>
                <c:pt idx="51">
                  <c:v>102.33</c:v>
                </c:pt>
                <c:pt idx="52">
                  <c:v>101.35</c:v>
                </c:pt>
                <c:pt idx="53">
                  <c:v>101.57</c:v>
                </c:pt>
                <c:pt idx="54">
                  <c:v>101.7</c:v>
                </c:pt>
                <c:pt idx="55">
                  <c:v>101.2</c:v>
                </c:pt>
                <c:pt idx="56">
                  <c:v>101.12</c:v>
                </c:pt>
                <c:pt idx="57">
                  <c:v>100.54</c:v>
                </c:pt>
                <c:pt idx="58">
                  <c:v>101.19</c:v>
                </c:pt>
                <c:pt idx="59">
                  <c:v>101.21</c:v>
                </c:pt>
                <c:pt idx="60">
                  <c:v>102</c:v>
                </c:pt>
                <c:pt idx="61">
                  <c:v>102.32</c:v>
                </c:pt>
                <c:pt idx="62">
                  <c:v>102.07</c:v>
                </c:pt>
                <c:pt idx="63">
                  <c:v>101.45</c:v>
                </c:pt>
                <c:pt idx="64">
                  <c:v>101.36</c:v>
                </c:pt>
                <c:pt idx="65">
                  <c:v>100.43</c:v>
                </c:pt>
                <c:pt idx="66">
                  <c:v>100.79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744968"/>
        <c:axId val="682750064"/>
      </c:lineChart>
      <c:dateAx>
        <c:axId val="6827449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750064"/>
        <c:crosses val="autoZero"/>
        <c:auto val="1"/>
        <c:lblOffset val="100"/>
        <c:baseTimeUnit val="days"/>
      </c:dateAx>
      <c:valAx>
        <c:axId val="68275006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744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42615</c:v>
                </c:pt>
                <c:pt idx="1">
                  <c:v>42614</c:v>
                </c:pt>
                <c:pt idx="2">
                  <c:v>42613</c:v>
                </c:pt>
                <c:pt idx="3">
                  <c:v>42612</c:v>
                </c:pt>
                <c:pt idx="4">
                  <c:v>42611</c:v>
                </c:pt>
                <c:pt idx="5">
                  <c:v>42608</c:v>
                </c:pt>
                <c:pt idx="6">
                  <c:v>42607</c:v>
                </c:pt>
                <c:pt idx="7">
                  <c:v>42606</c:v>
                </c:pt>
                <c:pt idx="8">
                  <c:v>42605</c:v>
                </c:pt>
                <c:pt idx="9">
                  <c:v>42604</c:v>
                </c:pt>
                <c:pt idx="10">
                  <c:v>42601</c:v>
                </c:pt>
                <c:pt idx="11">
                  <c:v>42600</c:v>
                </c:pt>
                <c:pt idx="12">
                  <c:v>42599</c:v>
                </c:pt>
                <c:pt idx="13">
                  <c:v>42598</c:v>
                </c:pt>
                <c:pt idx="14">
                  <c:v>42597</c:v>
                </c:pt>
                <c:pt idx="15">
                  <c:v>42594</c:v>
                </c:pt>
                <c:pt idx="16">
                  <c:v>42593</c:v>
                </c:pt>
                <c:pt idx="17">
                  <c:v>42592</c:v>
                </c:pt>
                <c:pt idx="18">
                  <c:v>42591</c:v>
                </c:pt>
                <c:pt idx="19">
                  <c:v>42590</c:v>
                </c:pt>
                <c:pt idx="20">
                  <c:v>42587</c:v>
                </c:pt>
                <c:pt idx="21">
                  <c:v>42586</c:v>
                </c:pt>
                <c:pt idx="22">
                  <c:v>42585</c:v>
                </c:pt>
                <c:pt idx="23">
                  <c:v>42584</c:v>
                </c:pt>
                <c:pt idx="24">
                  <c:v>42583</c:v>
                </c:pt>
                <c:pt idx="25">
                  <c:v>42580</c:v>
                </c:pt>
                <c:pt idx="26">
                  <c:v>42579</c:v>
                </c:pt>
                <c:pt idx="27">
                  <c:v>42578</c:v>
                </c:pt>
                <c:pt idx="28">
                  <c:v>42577</c:v>
                </c:pt>
                <c:pt idx="29">
                  <c:v>42576</c:v>
                </c:pt>
                <c:pt idx="30">
                  <c:v>42573</c:v>
                </c:pt>
                <c:pt idx="31">
                  <c:v>42572</c:v>
                </c:pt>
                <c:pt idx="32">
                  <c:v>42571</c:v>
                </c:pt>
                <c:pt idx="33">
                  <c:v>42570</c:v>
                </c:pt>
                <c:pt idx="34">
                  <c:v>42569</c:v>
                </c:pt>
                <c:pt idx="35">
                  <c:v>42566</c:v>
                </c:pt>
                <c:pt idx="36">
                  <c:v>42565</c:v>
                </c:pt>
                <c:pt idx="37">
                  <c:v>42564</c:v>
                </c:pt>
                <c:pt idx="38">
                  <c:v>42563</c:v>
                </c:pt>
                <c:pt idx="39">
                  <c:v>42562</c:v>
                </c:pt>
                <c:pt idx="40">
                  <c:v>42559</c:v>
                </c:pt>
                <c:pt idx="41">
                  <c:v>42558</c:v>
                </c:pt>
                <c:pt idx="42">
                  <c:v>42557</c:v>
                </c:pt>
                <c:pt idx="43">
                  <c:v>42556</c:v>
                </c:pt>
                <c:pt idx="44">
                  <c:v>42552</c:v>
                </c:pt>
                <c:pt idx="45">
                  <c:v>42551</c:v>
                </c:pt>
                <c:pt idx="46">
                  <c:v>42550</c:v>
                </c:pt>
                <c:pt idx="47">
                  <c:v>42549</c:v>
                </c:pt>
                <c:pt idx="48">
                  <c:v>42548</c:v>
                </c:pt>
                <c:pt idx="49">
                  <c:v>42545</c:v>
                </c:pt>
                <c:pt idx="50">
                  <c:v>42544</c:v>
                </c:pt>
                <c:pt idx="51">
                  <c:v>42543</c:v>
                </c:pt>
                <c:pt idx="52">
                  <c:v>42542</c:v>
                </c:pt>
                <c:pt idx="53">
                  <c:v>42541</c:v>
                </c:pt>
                <c:pt idx="54">
                  <c:v>42538</c:v>
                </c:pt>
                <c:pt idx="55">
                  <c:v>42537</c:v>
                </c:pt>
                <c:pt idx="56">
                  <c:v>42536</c:v>
                </c:pt>
                <c:pt idx="57">
                  <c:v>42536</c:v>
                </c:pt>
                <c:pt idx="58">
                  <c:v>42535</c:v>
                </c:pt>
                <c:pt idx="59">
                  <c:v>42534</c:v>
                </c:pt>
                <c:pt idx="60">
                  <c:v>42531</c:v>
                </c:pt>
                <c:pt idx="61">
                  <c:v>42530</c:v>
                </c:pt>
                <c:pt idx="62">
                  <c:v>42529</c:v>
                </c:pt>
                <c:pt idx="63">
                  <c:v>42528</c:v>
                </c:pt>
                <c:pt idx="64">
                  <c:v>42527</c:v>
                </c:pt>
                <c:pt idx="65">
                  <c:v>42524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136.61000000000001</c:v>
                </c:pt>
                <c:pt idx="1">
                  <c:v>135.74</c:v>
                </c:pt>
                <c:pt idx="2">
                  <c:v>136.05000000000001</c:v>
                </c:pt>
                <c:pt idx="3">
                  <c:v>136.87</c:v>
                </c:pt>
                <c:pt idx="4">
                  <c:v>137.27000000000001</c:v>
                </c:pt>
                <c:pt idx="5">
                  <c:v>136.62</c:v>
                </c:pt>
                <c:pt idx="6">
                  <c:v>137.30000000000001</c:v>
                </c:pt>
                <c:pt idx="7">
                  <c:v>139.87</c:v>
                </c:pt>
                <c:pt idx="8">
                  <c:v>142.01</c:v>
                </c:pt>
                <c:pt idx="9">
                  <c:v>142.09</c:v>
                </c:pt>
                <c:pt idx="10">
                  <c:v>142.04</c:v>
                </c:pt>
                <c:pt idx="11">
                  <c:v>142.16999999999999</c:v>
                </c:pt>
                <c:pt idx="12">
                  <c:v>141.71</c:v>
                </c:pt>
                <c:pt idx="13">
                  <c:v>141.08000000000001</c:v>
                </c:pt>
                <c:pt idx="14">
                  <c:v>141.62</c:v>
                </c:pt>
                <c:pt idx="15">
                  <c:v>142.88</c:v>
                </c:pt>
                <c:pt idx="16">
                  <c:v>142.63</c:v>
                </c:pt>
                <c:pt idx="17">
                  <c:v>142.19</c:v>
                </c:pt>
                <c:pt idx="18">
                  <c:v>141.82</c:v>
                </c:pt>
                <c:pt idx="19">
                  <c:v>142.13</c:v>
                </c:pt>
                <c:pt idx="20">
                  <c:v>142.99</c:v>
                </c:pt>
                <c:pt idx="21">
                  <c:v>142.71</c:v>
                </c:pt>
                <c:pt idx="22">
                  <c:v>142.88</c:v>
                </c:pt>
                <c:pt idx="23">
                  <c:v>143.16999999999999</c:v>
                </c:pt>
                <c:pt idx="24">
                  <c:v>143.51</c:v>
                </c:pt>
                <c:pt idx="25">
                  <c:v>143.19999999999999</c:v>
                </c:pt>
                <c:pt idx="26">
                  <c:v>142.76</c:v>
                </c:pt>
                <c:pt idx="27">
                  <c:v>141.68</c:v>
                </c:pt>
                <c:pt idx="28">
                  <c:v>141.69999999999999</c:v>
                </c:pt>
                <c:pt idx="29">
                  <c:v>141.72999999999999</c:v>
                </c:pt>
                <c:pt idx="30">
                  <c:v>143.69</c:v>
                </c:pt>
                <c:pt idx="31">
                  <c:v>142.87</c:v>
                </c:pt>
                <c:pt idx="32">
                  <c:v>143.02000000000001</c:v>
                </c:pt>
                <c:pt idx="33">
                  <c:v>142.59</c:v>
                </c:pt>
                <c:pt idx="34">
                  <c:v>140.75</c:v>
                </c:pt>
                <c:pt idx="35">
                  <c:v>141.33000000000001</c:v>
                </c:pt>
                <c:pt idx="36">
                  <c:v>140.84</c:v>
                </c:pt>
                <c:pt idx="37">
                  <c:v>141.47999999999999</c:v>
                </c:pt>
                <c:pt idx="38">
                  <c:v>139.86000000000001</c:v>
                </c:pt>
                <c:pt idx="39">
                  <c:v>140.32</c:v>
                </c:pt>
                <c:pt idx="40">
                  <c:v>141.27000000000001</c:v>
                </c:pt>
                <c:pt idx="41">
                  <c:v>140.80000000000001</c:v>
                </c:pt>
                <c:pt idx="42">
                  <c:v>142.38</c:v>
                </c:pt>
                <c:pt idx="43">
                  <c:v>141.56</c:v>
                </c:pt>
                <c:pt idx="44">
                  <c:v>140.86000000000001</c:v>
                </c:pt>
                <c:pt idx="45">
                  <c:v>141.19999999999999</c:v>
                </c:pt>
                <c:pt idx="46">
                  <c:v>140.52000000000001</c:v>
                </c:pt>
                <c:pt idx="47">
                  <c:v>138.71</c:v>
                </c:pt>
                <c:pt idx="48">
                  <c:v>137.11000000000001</c:v>
                </c:pt>
                <c:pt idx="49">
                  <c:v>137.29</c:v>
                </c:pt>
                <c:pt idx="50">
                  <c:v>139.19</c:v>
                </c:pt>
                <c:pt idx="51">
                  <c:v>137.9</c:v>
                </c:pt>
                <c:pt idx="52">
                  <c:v>138.19</c:v>
                </c:pt>
                <c:pt idx="53">
                  <c:v>138.52000000000001</c:v>
                </c:pt>
                <c:pt idx="54">
                  <c:v>137.69</c:v>
                </c:pt>
                <c:pt idx="55">
                  <c:v>138.66</c:v>
                </c:pt>
                <c:pt idx="56">
                  <c:v>137.26</c:v>
                </c:pt>
                <c:pt idx="58">
                  <c:v>137.87</c:v>
                </c:pt>
                <c:pt idx="59">
                  <c:v>138.09</c:v>
                </c:pt>
                <c:pt idx="60">
                  <c:v>139.24</c:v>
                </c:pt>
                <c:pt idx="61">
                  <c:v>140.68</c:v>
                </c:pt>
                <c:pt idx="62">
                  <c:v>140.4</c:v>
                </c:pt>
                <c:pt idx="63">
                  <c:v>136.94</c:v>
                </c:pt>
                <c:pt idx="64">
                  <c:v>138.15</c:v>
                </c:pt>
                <c:pt idx="65">
                  <c:v>136.84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742616"/>
        <c:axId val="682750456"/>
      </c:lineChart>
      <c:dateAx>
        <c:axId val="6827426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750456"/>
        <c:crosses val="autoZero"/>
        <c:auto val="1"/>
        <c:lblOffset val="100"/>
        <c:baseTimeUnit val="days"/>
      </c:dateAx>
      <c:valAx>
        <c:axId val="68275045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74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.gi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5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8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9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0.xml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300037</xdr:colOff>
      <xdr:row>30</xdr:row>
      <xdr:rowOff>9525</xdr:rowOff>
    </xdr:from>
    <xdr:to>
      <xdr:col>39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266700</xdr:colOff>
      <xdr:row>15</xdr:row>
      <xdr:rowOff>47625</xdr:rowOff>
    </xdr:from>
    <xdr:to>
      <xdr:col>39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276225</xdr:colOff>
      <xdr:row>0</xdr:row>
      <xdr:rowOff>28575</xdr:rowOff>
    </xdr:from>
    <xdr:to>
      <xdr:col>39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323850</xdr:colOff>
      <xdr:row>45</xdr:row>
      <xdr:rowOff>114300</xdr:rowOff>
    </xdr:from>
    <xdr:to>
      <xdr:col>40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152400</xdr:rowOff>
    </xdr:from>
    <xdr:to>
      <xdr:col>2</xdr:col>
      <xdr:colOff>504825</xdr:colOff>
      <xdr:row>22</xdr:row>
      <xdr:rowOff>132013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244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14</xdr:row>
      <xdr:rowOff>161925</xdr:rowOff>
    </xdr:from>
    <xdr:to>
      <xdr:col>20</xdr:col>
      <xdr:colOff>1123950</xdr:colOff>
      <xdr:row>40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20</xdr:col>
      <xdr:colOff>685799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connectionId="7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connectionId="88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adjustColumnWidth="0" connectionId="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" connectionId="8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3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connectionId="72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dg" backgroundRefresh="0" adjustColumnWidth="0" connectionId="9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dg" connectionId="9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SPY+Historical+Prices" adjustColumnWidth="0" connectionId="6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SPY" connectionId="7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connectionId="9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92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CF&amp;a=00&amp;b=1&amp;c=2016&amp;d=06&amp;e=1&amp;f=2016&amp;g=d" adjustColumnWidth="0" connectionId="79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CF" connectionId="40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luv&amp;ql=1" connectionId="8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LUV" adjustColumnWidth="0" connectionId="8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AKAM+Historical+Prices" backgroundRefresh="0" adjustColumnWidth="0" connectionId="86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AKAM" connectionId="87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MRO" adjustColumnWidth="0" connectionId="4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mro" connectionId="8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F" backgroundRefresh="0" adjustColumnWidth="0" connectionId="6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F" backgroundRefresh="0" adjustColumnWidth="0" connectionId="66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MOS+Historical+Prices" backgroundRefresh="0" adjustColumnWidth="0" connectionId="7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MOS" connectionId="39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vgk" connectionId="8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vgk" connectionId="8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MU" connectionId="73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MU" adjustColumnWidth="0" connectionId="5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IP" backgroundRefresh="0" adjustColumnWidth="0" connectionId="5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IP" backgroundRefresh="0" connectionId="5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HES" backgroundRefresh="0" adjustColumnWidth="0" connectionId="9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HES" backgroundRefresh="0" connectionId="82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SPY" connectionId="7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SPY+Historical+Prices" adjustColumnWidth="0" connectionId="67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SWKS" backgroundRefresh="0" connectionId="6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SWKS" backgroundRefresh="0" adjustColumnWidth="0" connectionId="6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CNI" backgroundRefresh="0" adjustColumnWidth="0" connectionId="53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WFC" connectionId="6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WFC" backgroundRefresh="0" adjustColumnWidth="0" connectionId="62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NWL" backgroundRefresh="0" adjustColumnWidth="0" connectionId="57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NWL" backgroundRefresh="0" connectionId="59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ALL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ALL" backgroundRefresh="0" connectionId="58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DAL" backgroundRefresh="0" adjustColumnWidth="0" connectionId="64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DAL" backgroundRefresh="0" adjustColumnWidth="0" connectionId="55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FTR" backgroundRefresh="0" adjustColumnWidth="0" connectionId="49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GIS" connectionId="69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GIS_1" connectionId="74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tmo" backgroundRefresh="0" connectionId="54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4.xml"/><Relationship Id="rId4" Type="http://schemas.openxmlformats.org/officeDocument/2006/relationships/queryTable" Target="../queryTables/queryTable4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6.xml"/><Relationship Id="rId4" Type="http://schemas.openxmlformats.org/officeDocument/2006/relationships/queryTable" Target="../queryTables/queryTable5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queryTable" Target="../queryTables/queryTable57.xml"/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5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7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6.xml"/><Relationship Id="rId2" Type="http://schemas.openxmlformats.org/officeDocument/2006/relationships/queryTable" Target="../queryTables/queryTable75.xml"/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queryTable" Target="../queryTables/queryTable77.xml"/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queryTable" Target="../queryTables/queryTable81.xml"/><Relationship Id="rId1" Type="http://schemas.openxmlformats.org/officeDocument/2006/relationships/drawing" Target="../drawings/drawing44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5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6.xml"/><Relationship Id="rId2" Type="http://schemas.openxmlformats.org/officeDocument/2006/relationships/queryTable" Target="../queryTables/queryTable85.xml"/><Relationship Id="rId1" Type="http://schemas.openxmlformats.org/officeDocument/2006/relationships/drawing" Target="../drawings/drawing4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9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9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4.xml"/><Relationship Id="rId2" Type="http://schemas.openxmlformats.org/officeDocument/2006/relationships/queryTable" Target="../queryTables/queryTable93.xml"/><Relationship Id="rId1" Type="http://schemas.openxmlformats.org/officeDocument/2006/relationships/drawing" Target="../drawings/drawing5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F266"/>
  <sheetViews>
    <sheetView zoomScaleNormal="100" workbookViewId="0">
      <pane ySplit="1" topLeftCell="A245" activePane="bottomLeft" state="frozen"/>
      <selection pane="bottomLeft" activeCell="P269" sqref="P269"/>
    </sheetView>
  </sheetViews>
  <sheetFormatPr defaultRowHeight="20.100000000000001" customHeight="1" x14ac:dyDescent="0.25"/>
  <cols>
    <col min="1" max="1" width="10.7109375" style="170" bestFit="1" customWidth="1"/>
    <col min="2" max="2" width="15.42578125" style="181" bestFit="1" customWidth="1"/>
    <col min="3" max="3" width="11.42578125" style="170" bestFit="1" customWidth="1"/>
    <col min="4" max="4" width="12.5703125" style="182" bestFit="1" customWidth="1"/>
    <col min="5" max="5" width="13.7109375" style="182" bestFit="1" customWidth="1"/>
    <col min="6" max="6" width="11.28515625" style="182" customWidth="1"/>
    <col min="7" max="7" width="16" style="182" bestFit="1" customWidth="1"/>
    <col min="8" max="8" width="16.5703125" style="182" bestFit="1" customWidth="1"/>
    <col min="9" max="9" width="14.7109375" style="228" bestFit="1" customWidth="1"/>
    <col min="10" max="10" width="14.7109375" style="170" bestFit="1" customWidth="1"/>
    <col min="11" max="11" width="11.42578125" style="170" bestFit="1" customWidth="1"/>
    <col min="12" max="12" width="10" style="170" bestFit="1" customWidth="1"/>
    <col min="13" max="13" width="14" style="218" bestFit="1" customWidth="1"/>
    <col min="14" max="14" width="11.42578125" style="190" customWidth="1"/>
    <col min="15" max="15" width="11.42578125" style="217" customWidth="1"/>
    <col min="16" max="16" width="11.5703125" style="344" bestFit="1" customWidth="1"/>
    <col min="17" max="17" width="15" style="344" bestFit="1" customWidth="1"/>
    <col min="18" max="20" width="12" style="344" customWidth="1"/>
    <col min="21" max="22" width="11.42578125" style="190" customWidth="1"/>
    <col min="23" max="23" width="11.42578125" style="170" bestFit="1" customWidth="1"/>
    <col min="24" max="24" width="9.140625" style="170"/>
    <col min="25" max="25" width="11.42578125" style="170" bestFit="1" customWidth="1"/>
    <col min="26" max="16384" width="9.140625" style="170"/>
  </cols>
  <sheetData>
    <row r="1" spans="1:32" ht="20.100000000000001" customHeight="1" x14ac:dyDescent="0.25">
      <c r="A1" s="348"/>
      <c r="B1" s="349" t="s">
        <v>86</v>
      </c>
      <c r="C1" s="348" t="s">
        <v>138</v>
      </c>
      <c r="D1" s="350" t="s">
        <v>140</v>
      </c>
      <c r="E1" s="350" t="s">
        <v>144</v>
      </c>
      <c r="F1" s="350" t="s">
        <v>157</v>
      </c>
      <c r="G1" s="350" t="s">
        <v>158</v>
      </c>
      <c r="H1" s="350" t="s">
        <v>159</v>
      </c>
      <c r="I1" s="348" t="s">
        <v>85</v>
      </c>
      <c r="J1" s="348" t="s">
        <v>87</v>
      </c>
      <c r="K1" s="348" t="s">
        <v>137</v>
      </c>
      <c r="L1" s="348" t="s">
        <v>139</v>
      </c>
      <c r="M1" s="351" t="s">
        <v>96</v>
      </c>
      <c r="N1" s="351" t="s">
        <v>76</v>
      </c>
      <c r="O1" s="348" t="s">
        <v>153</v>
      </c>
      <c r="P1" s="352" t="s">
        <v>197</v>
      </c>
      <c r="Q1" s="352" t="s">
        <v>198</v>
      </c>
      <c r="R1" s="352" t="s">
        <v>199</v>
      </c>
      <c r="S1" s="352" t="s">
        <v>233</v>
      </c>
      <c r="T1" s="352" t="s">
        <v>234</v>
      </c>
      <c r="U1" s="351" t="s">
        <v>251</v>
      </c>
      <c r="V1" s="351" t="s">
        <v>252</v>
      </c>
      <c r="W1" s="219" t="s">
        <v>154</v>
      </c>
      <c r="X1" s="168"/>
      <c r="Y1" s="169"/>
      <c r="Z1" s="168"/>
      <c r="AA1" s="169"/>
      <c r="AB1" s="169"/>
      <c r="AC1" s="167"/>
      <c r="AD1" s="167"/>
      <c r="AE1" s="167"/>
      <c r="AF1" s="167"/>
    </row>
    <row r="2" spans="1:3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5"/>
      <c r="R2" s="345"/>
      <c r="S2" s="345"/>
      <c r="T2" s="345"/>
      <c r="U2" s="188"/>
      <c r="V2" s="188"/>
      <c r="W2" s="343">
        <f>LOOKUP(2,1/(M:M&lt;&gt;""),M:M)</f>
        <v>-17072.200000000012</v>
      </c>
      <c r="X2" s="168"/>
      <c r="Y2" s="169"/>
      <c r="Z2" s="168"/>
      <c r="AA2" s="169"/>
      <c r="AB2" s="169"/>
      <c r="AC2" s="167"/>
      <c r="AD2" s="167"/>
      <c r="AE2" s="167"/>
      <c r="AF2" s="167"/>
    </row>
    <row r="3" spans="1:3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5"/>
      <c r="R3" s="345"/>
      <c r="S3" s="345"/>
      <c r="T3" s="345"/>
      <c r="U3" s="188"/>
      <c r="V3" s="188"/>
      <c r="X3" s="168"/>
      <c r="Y3" s="169"/>
      <c r="Z3" s="168"/>
      <c r="AA3" s="169"/>
      <c r="AB3" s="169"/>
      <c r="AC3" s="167"/>
      <c r="AD3" s="167"/>
      <c r="AE3" s="167"/>
      <c r="AF3" s="167"/>
    </row>
    <row r="4" spans="1:32" ht="20.100000000000001" customHeight="1" x14ac:dyDescent="0.25">
      <c r="A4" s="167"/>
      <c r="B4" s="171">
        <v>42235</v>
      </c>
      <c r="C4" s="205">
        <v>2079.61</v>
      </c>
      <c r="D4" s="175">
        <f t="shared" ref="D4:D67" si="4">(C4-C3)/C3</f>
        <v>-8.254964424012334E-3</v>
      </c>
      <c r="E4" s="206">
        <f t="shared" ref="E4:E43" si="5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6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7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5"/>
      <c r="R4" s="345"/>
      <c r="S4" s="345"/>
      <c r="T4" s="345"/>
      <c r="U4" s="188">
        <f>STDEV(D$2:D4)*SQRT(252)</f>
        <v>6.3190347694703594E-2</v>
      </c>
      <c r="V4" s="188">
        <f>STDEV(L$2:L4)*SQRT(252)</f>
        <v>0.19577179003677936</v>
      </c>
      <c r="W4" s="167"/>
      <c r="X4" s="168"/>
      <c r="Y4" s="169"/>
      <c r="Z4" s="168"/>
      <c r="AA4" s="169"/>
      <c r="AB4" s="169"/>
      <c r="AC4" s="167"/>
      <c r="AD4" s="167"/>
      <c r="AE4" s="167"/>
      <c r="AF4" s="167"/>
    </row>
    <row r="5" spans="1:32" ht="20.100000000000001" customHeight="1" x14ac:dyDescent="0.25">
      <c r="A5" s="167"/>
      <c r="B5" s="171">
        <v>42236</v>
      </c>
      <c r="C5" s="205">
        <v>2035.73</v>
      </c>
      <c r="D5" s="175">
        <f t="shared" si="4"/>
        <v>-2.1100110116800797E-2</v>
      </c>
      <c r="E5" s="206">
        <f t="shared" si="5"/>
        <v>-3.1729799661345884E-2</v>
      </c>
      <c r="F5" s="222">
        <v>4877.49</v>
      </c>
      <c r="G5" s="175">
        <f t="shared" si="2"/>
        <v>-2.8204540699933334E-2</v>
      </c>
      <c r="H5" s="206">
        <f t="shared" si="6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7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5"/>
      <c r="R5" s="345"/>
      <c r="S5" s="345"/>
      <c r="T5" s="345"/>
      <c r="U5" s="188">
        <f>STDEV(D$2:D5)*SQRT(252)</f>
        <v>0.15031949910961184</v>
      </c>
      <c r="V5" s="188">
        <f>STDEV(L$2:L5)*SQRT(252)</f>
        <v>0.20008182112239786</v>
      </c>
      <c r="W5" s="167"/>
      <c r="X5" s="168"/>
      <c r="Y5" s="169"/>
      <c r="Z5" s="168"/>
      <c r="AA5" s="169"/>
      <c r="AB5" s="169"/>
      <c r="AC5" s="167"/>
      <c r="AD5" s="167"/>
      <c r="AE5" s="167"/>
      <c r="AF5" s="167"/>
    </row>
    <row r="6" spans="1:32" ht="20.100000000000001" customHeight="1" x14ac:dyDescent="0.25">
      <c r="A6" s="167"/>
      <c r="B6" s="171">
        <v>42237</v>
      </c>
      <c r="C6" s="205">
        <v>1970.89</v>
      </c>
      <c r="D6" s="175">
        <f t="shared" si="4"/>
        <v>-3.1850982202944356E-2</v>
      </c>
      <c r="E6" s="206">
        <f t="shared" si="5"/>
        <v>-6.2570156579973724E-2</v>
      </c>
      <c r="F6" s="222">
        <v>4706.04</v>
      </c>
      <c r="G6" s="175">
        <f t="shared" si="2"/>
        <v>-3.5151276578732057E-2</v>
      </c>
      <c r="H6" s="206">
        <f t="shared" si="6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7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5"/>
      <c r="R6" s="345"/>
      <c r="S6" s="345"/>
      <c r="T6" s="345"/>
      <c r="U6" s="188">
        <f>STDEV(D$2:D6)*SQRT(252)</f>
        <v>0.20821641331654633</v>
      </c>
      <c r="V6" s="188">
        <f>STDEV(L$2:L6)*SQRT(252)</f>
        <v>0.16336924292253127</v>
      </c>
      <c r="W6" s="167"/>
      <c r="X6" s="168"/>
      <c r="Y6" s="169"/>
      <c r="Z6" s="168"/>
      <c r="AA6" s="169"/>
      <c r="AB6" s="169"/>
      <c r="AC6" s="167"/>
      <c r="AD6" s="167"/>
      <c r="AE6" s="167"/>
      <c r="AF6" s="167"/>
    </row>
    <row r="7" spans="1:32" ht="20.100000000000001" customHeight="1" x14ac:dyDescent="0.25">
      <c r="A7" s="167"/>
      <c r="B7" s="176">
        <v>42240</v>
      </c>
      <c r="C7" s="207">
        <v>1893.21</v>
      </c>
      <c r="D7" s="175">
        <f t="shared" si="4"/>
        <v>-3.9413665907280494E-2</v>
      </c>
      <c r="E7" s="208">
        <f t="shared" si="5"/>
        <v>-9.95177032400449E-2</v>
      </c>
      <c r="F7" s="223">
        <v>4526.25</v>
      </c>
      <c r="G7" s="175">
        <f t="shared" si="2"/>
        <v>-3.8204095162812035E-2</v>
      </c>
      <c r="H7" s="208">
        <f t="shared" si="6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7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8">L7&gt;D7</f>
        <v>0</v>
      </c>
      <c r="P7" s="189">
        <f>COUNTIF(O$2:O7, TRUE)/(COUNTIF(O$2:O7,FALSE) + COUNTIF(O$2:O7, TRUE))</f>
        <v>0.16666666666666666</v>
      </c>
      <c r="Q7" s="346"/>
      <c r="R7" s="346"/>
      <c r="S7" s="346"/>
      <c r="T7" s="346"/>
      <c r="U7" s="189">
        <f>STDEV(D$2:D7)*SQRT(252)</f>
        <v>0.24544711494961968</v>
      </c>
      <c r="V7" s="189">
        <f>STDEV(L$2:L7)*SQRT(252)</f>
        <v>0.19389190476539761</v>
      </c>
      <c r="W7" s="167"/>
      <c r="X7" s="168"/>
      <c r="Y7" s="169"/>
      <c r="Z7" s="168"/>
      <c r="AA7" s="169"/>
      <c r="AB7" s="169"/>
      <c r="AC7" s="167"/>
      <c r="AD7" s="167"/>
      <c r="AE7" s="167"/>
      <c r="AF7" s="167"/>
    </row>
    <row r="8" spans="1:32" ht="20.100000000000001" customHeight="1" x14ac:dyDescent="0.25">
      <c r="A8" s="167"/>
      <c r="B8" s="176">
        <v>42241</v>
      </c>
      <c r="C8" s="207">
        <v>1867.61</v>
      </c>
      <c r="D8" s="175">
        <f t="shared" si="4"/>
        <v>-1.3522007595565277E-2</v>
      </c>
      <c r="E8" s="208">
        <f t="shared" si="5"/>
        <v>-0.11169403169650509</v>
      </c>
      <c r="F8" s="223">
        <v>4506.49</v>
      </c>
      <c r="G8" s="175">
        <f t="shared" si="2"/>
        <v>-4.3656448494891397E-3</v>
      </c>
      <c r="H8" s="208">
        <f t="shared" si="6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7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8"/>
        <v>0</v>
      </c>
      <c r="P8" s="189">
        <f>COUNTIF(O$2:O8, TRUE)/(COUNTIF(O$2:O8,FALSE) + COUNTIF(O$2:O8, TRUE))</f>
        <v>0.14285714285714285</v>
      </c>
      <c r="Q8" s="346"/>
      <c r="R8" s="346"/>
      <c r="S8" s="346"/>
      <c r="T8" s="346"/>
      <c r="U8" s="189">
        <f>STDEV(D$2:D8)*SQRT(252)</f>
        <v>0.22434082778798065</v>
      </c>
      <c r="V8" s="189">
        <f>STDEV(L$2:L8)*SQRT(252)</f>
        <v>0.17533735395795544</v>
      </c>
      <c r="W8" s="167"/>
      <c r="X8" s="168"/>
      <c r="Y8" s="169"/>
      <c r="Z8" s="168"/>
      <c r="AA8" s="169"/>
      <c r="AB8" s="169"/>
      <c r="AC8" s="167"/>
      <c r="AD8" s="167"/>
      <c r="AE8" s="167"/>
      <c r="AF8" s="167"/>
    </row>
    <row r="9" spans="1:32" ht="20.100000000000001" customHeight="1" x14ac:dyDescent="0.25">
      <c r="A9" s="167"/>
      <c r="B9" s="176">
        <v>42242</v>
      </c>
      <c r="C9" s="207">
        <v>1940.51</v>
      </c>
      <c r="D9" s="175">
        <f t="shared" si="4"/>
        <v>3.9033845395987435E-2</v>
      </c>
      <c r="E9" s="208">
        <f t="shared" si="5"/>
        <v>-7.7020033865413548E-2</v>
      </c>
      <c r="F9" s="223">
        <v>4697.54</v>
      </c>
      <c r="G9" s="175">
        <f t="shared" si="2"/>
        <v>4.239441339046579E-2</v>
      </c>
      <c r="H9" s="208">
        <f t="shared" si="6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7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8"/>
        <v>0</v>
      </c>
      <c r="P9" s="189">
        <f>COUNTIF(O$2:O9, TRUE)/(COUNTIF(O$2:O9,FALSE) + COUNTIF(O$2:O9, TRUE))</f>
        <v>0.125</v>
      </c>
      <c r="Q9" s="346"/>
      <c r="R9" s="346"/>
      <c r="S9" s="346"/>
      <c r="T9" s="346"/>
      <c r="U9" s="189">
        <f>STDEV(D$2:D9)*SQRT(252)</f>
        <v>0.40635063731985605</v>
      </c>
      <c r="V9" s="189">
        <f>STDEV(L$2:L9)*SQRT(252)</f>
        <v>0.35891083910893234</v>
      </c>
      <c r="W9" s="167"/>
      <c r="X9" s="168"/>
      <c r="Y9" s="169"/>
      <c r="Z9" s="168"/>
      <c r="AA9" s="169"/>
      <c r="AB9" s="169"/>
      <c r="AC9" s="167"/>
      <c r="AD9" s="167"/>
      <c r="AE9" s="167"/>
      <c r="AF9" s="167"/>
    </row>
    <row r="10" spans="1:32" ht="20.100000000000001" customHeight="1" x14ac:dyDescent="0.25">
      <c r="A10" s="167"/>
      <c r="B10" s="176">
        <v>42243</v>
      </c>
      <c r="C10" s="207">
        <v>1987.66</v>
      </c>
      <c r="D10" s="175">
        <f t="shared" si="4"/>
        <v>2.429773616214299E-2</v>
      </c>
      <c r="E10" s="208">
        <f t="shared" si="5"/>
        <v>-5.4593710165331696E-2</v>
      </c>
      <c r="F10" s="223">
        <v>4812.71</v>
      </c>
      <c r="G10" s="175">
        <f t="shared" si="2"/>
        <v>2.4517087667161978E-2</v>
      </c>
      <c r="H10" s="208">
        <f t="shared" si="6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7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8"/>
        <v>1</v>
      </c>
      <c r="P10" s="189">
        <f>COUNTIF(O$2:O10, TRUE)/(COUNTIF(O$2:O10,FALSE) + COUNTIF(O$2:O10, TRUE))</f>
        <v>0.22222222222222221</v>
      </c>
      <c r="Q10" s="346"/>
      <c r="R10" s="346"/>
      <c r="S10" s="346"/>
      <c r="T10" s="346"/>
      <c r="U10" s="189">
        <f>STDEV(D$2:D10)*SQRT(252)</f>
        <v>0.42545538355052082</v>
      </c>
      <c r="V10" s="189">
        <f>STDEV(L$2:L10)*SQRT(252)</f>
        <v>0.52868202794227925</v>
      </c>
      <c r="W10" s="167" t="s">
        <v>125</v>
      </c>
      <c r="X10" s="168"/>
      <c r="Y10" s="169"/>
      <c r="Z10" s="168"/>
      <c r="AA10" s="169"/>
      <c r="AB10" s="169"/>
      <c r="AC10" s="167"/>
      <c r="AD10" s="167"/>
      <c r="AE10" s="167"/>
      <c r="AF10" s="167"/>
    </row>
    <row r="11" spans="1:32" ht="20.100000000000001" customHeight="1" x14ac:dyDescent="0.25">
      <c r="A11" s="167"/>
      <c r="B11" s="176">
        <v>42244</v>
      </c>
      <c r="C11" s="207">
        <v>1988.87</v>
      </c>
      <c r="D11" s="175">
        <f t="shared" si="4"/>
        <v>6.0875602467213154E-4</v>
      </c>
      <c r="E11" s="208">
        <f t="shared" si="5"/>
        <v>-5.401818839063191E-2</v>
      </c>
      <c r="F11" s="223">
        <v>4828.32</v>
      </c>
      <c r="G11" s="175">
        <f t="shared" si="2"/>
        <v>3.2434948293164709E-3</v>
      </c>
      <c r="H11" s="208">
        <f t="shared" si="6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7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8"/>
        <v>1</v>
      </c>
      <c r="P11" s="189">
        <f>COUNTIF(O$2:O11, TRUE)/(COUNTIF(O$2:O11,FALSE) + COUNTIF(O$2:O11, TRUE))</f>
        <v>0.3</v>
      </c>
      <c r="Q11" s="346"/>
      <c r="R11" s="346"/>
      <c r="S11" s="346"/>
      <c r="T11" s="346"/>
      <c r="U11" s="189">
        <f>STDEV(D$2:D11)*SQRT(252)</f>
        <v>0.39984128605241964</v>
      </c>
      <c r="V11" s="189">
        <f>STDEV(L$2:L11)*SQRT(252)</f>
        <v>0.52303521027280186</v>
      </c>
      <c r="W11" s="167"/>
      <c r="X11" s="168"/>
      <c r="Y11" s="169"/>
      <c r="Z11" s="168"/>
      <c r="AA11" s="169"/>
      <c r="AB11" s="169"/>
      <c r="AC11" s="167"/>
      <c r="AD11" s="167"/>
      <c r="AE11" s="167"/>
      <c r="AF11" s="167"/>
    </row>
    <row r="12" spans="1:32" ht="20.100000000000001" customHeight="1" x14ac:dyDescent="0.25">
      <c r="A12" s="167"/>
      <c r="B12" s="171">
        <v>42247</v>
      </c>
      <c r="C12" s="205">
        <v>1972.18</v>
      </c>
      <c r="D12" s="175">
        <f t="shared" si="4"/>
        <v>-8.391699809439445E-3</v>
      </c>
      <c r="E12" s="206">
        <f t="shared" si="5"/>
        <v>-6.1956583778847427E-2</v>
      </c>
      <c r="F12" s="222">
        <v>4776.51</v>
      </c>
      <c r="G12" s="175">
        <f t="shared" si="2"/>
        <v>-1.0730440401630277E-2</v>
      </c>
      <c r="H12" s="206">
        <f t="shared" si="6"/>
        <v>-6.1902704401280442E-2</v>
      </c>
      <c r="I12" s="514">
        <v>311200.71000000002</v>
      </c>
      <c r="J12" s="173">
        <v>360000</v>
      </c>
      <c r="K12" s="173">
        <f t="shared" si="3"/>
        <v>3259.6500000000233</v>
      </c>
      <c r="L12" s="175">
        <f t="shared" si="7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8"/>
        <v>1</v>
      </c>
      <c r="P12" s="188">
        <f>COUNTIF(O$2:O12, TRUE)/(COUNTIF(O$2:O12,FALSE) + COUNTIF(O$2:O12, TRUE))</f>
        <v>0.36363636363636365</v>
      </c>
      <c r="Q12" s="345"/>
      <c r="R12" s="345"/>
      <c r="S12" s="345"/>
      <c r="T12" s="345"/>
      <c r="U12" s="188">
        <f>STDEV(D$2:D12)*SQRT(252)</f>
        <v>0.37718652016375942</v>
      </c>
      <c r="V12" s="188">
        <f>STDEV(L$2:L12)*SQRT(252)</f>
        <v>0.49903486890486387</v>
      </c>
      <c r="W12" s="167"/>
      <c r="X12" s="168"/>
      <c r="Y12" s="169"/>
      <c r="Z12" s="168"/>
      <c r="AA12" s="169"/>
      <c r="AB12" s="169"/>
      <c r="AC12" s="167"/>
      <c r="AD12" s="167"/>
      <c r="AE12" s="167"/>
      <c r="AF12" s="167"/>
    </row>
    <row r="13" spans="1:32" ht="20.100000000000001" customHeight="1" x14ac:dyDescent="0.25">
      <c r="A13" s="167"/>
      <c r="B13" s="171">
        <v>42248</v>
      </c>
      <c r="C13" s="205">
        <v>1913.85</v>
      </c>
      <c r="D13" s="175">
        <f t="shared" si="4"/>
        <v>-2.9576407832956501E-2</v>
      </c>
      <c r="E13" s="206">
        <f t="shared" si="5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6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7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8"/>
        <v>1</v>
      </c>
      <c r="P13" s="188">
        <f>COUNTIF(O$2:O13, TRUE)/(COUNTIF(O$2:O13,FALSE) + COUNTIF(O$2:O13, TRUE))</f>
        <v>0.41666666666666669</v>
      </c>
      <c r="Q13" s="345"/>
      <c r="R13" s="345"/>
      <c r="S13" s="345"/>
      <c r="T13" s="345"/>
      <c r="U13" s="188">
        <f>STDEV(D$2:D13)*SQRT(252)</f>
        <v>0.37502713989732378</v>
      </c>
      <c r="V13" s="188">
        <f>STDEV(L$2:L13)*SQRT(252)</f>
        <v>0.48831680410668976</v>
      </c>
      <c r="W13" s="167"/>
      <c r="X13" s="168"/>
      <c r="Y13" s="169"/>
      <c r="Z13" s="168"/>
      <c r="AA13" s="169"/>
      <c r="AB13" s="169"/>
      <c r="AC13" s="167"/>
      <c r="AD13" s="167"/>
      <c r="AE13" s="167"/>
      <c r="AF13" s="167"/>
    </row>
    <row r="14" spans="1:32" ht="20.100000000000001" customHeight="1" x14ac:dyDescent="0.25">
      <c r="A14" s="167"/>
      <c r="B14" s="171">
        <v>42249</v>
      </c>
      <c r="C14" s="205">
        <v>1948.86</v>
      </c>
      <c r="D14" s="175">
        <f t="shared" si="4"/>
        <v>1.829296966846931E-2</v>
      </c>
      <c r="E14" s="206">
        <f t="shared" si="5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6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7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8"/>
        <v>0</v>
      </c>
      <c r="P14" s="188">
        <f>COUNTIF(O$2:O14, TRUE)/(COUNTIF(O$2:O14,FALSE) + COUNTIF(O$2:O14, TRUE))</f>
        <v>0.38461538461538464</v>
      </c>
      <c r="Q14" s="345"/>
      <c r="R14" s="345"/>
      <c r="S14" s="345"/>
      <c r="T14" s="345"/>
      <c r="U14" s="188">
        <f>STDEV(D$2:D14)*SQRT(252)</f>
        <v>0.37770238456909672</v>
      </c>
      <c r="V14" s="188">
        <f>STDEV(L$2:L14)*SQRT(252)</f>
        <v>0.47214016149480637</v>
      </c>
      <c r="X14" s="168"/>
      <c r="Y14" s="169"/>
      <c r="Z14" s="168"/>
      <c r="AA14" s="169"/>
      <c r="AB14" s="169"/>
      <c r="AC14" s="167"/>
      <c r="AD14" s="167"/>
      <c r="AE14" s="167"/>
      <c r="AF14" s="167"/>
    </row>
    <row r="15" spans="1:32" ht="20.100000000000001" customHeight="1" x14ac:dyDescent="0.25">
      <c r="A15" s="167"/>
      <c r="B15" s="171">
        <v>42250</v>
      </c>
      <c r="C15" s="205">
        <v>1951.13</v>
      </c>
      <c r="D15" s="175">
        <f t="shared" si="4"/>
        <v>1.1647835144649741E-3</v>
      </c>
      <c r="E15" s="206">
        <f t="shared" si="5"/>
        <v>-7.1968760107303867E-2</v>
      </c>
      <c r="F15" s="222">
        <v>4733.5</v>
      </c>
      <c r="G15" s="175">
        <f t="shared" si="2"/>
        <v>-3.469488292582193E-3</v>
      </c>
      <c r="H15" s="206">
        <f t="shared" si="6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7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8"/>
        <v>1</v>
      </c>
      <c r="P15" s="188">
        <f>COUNTIF(O$2:O15, TRUE)/(COUNTIF(O$2:O15,FALSE) + COUNTIF(O$2:O15, TRUE))</f>
        <v>0.42857142857142855</v>
      </c>
      <c r="Q15" s="345"/>
      <c r="R15" s="345"/>
      <c r="S15" s="345"/>
      <c r="T15" s="345"/>
      <c r="U15" s="188">
        <f>STDEV(D$2:D15)*SQRT(252)</f>
        <v>0.3630118196770083</v>
      </c>
      <c r="V15" s="188">
        <f>STDEV(L$2:L15)*SQRT(252)</f>
        <v>0.45448950679382538</v>
      </c>
      <c r="W15" s="167"/>
      <c r="X15" s="168"/>
      <c r="Y15" s="169"/>
      <c r="Z15" s="168"/>
      <c r="AA15" s="169"/>
      <c r="AB15" s="169"/>
      <c r="AC15" s="167"/>
      <c r="AD15" s="167"/>
      <c r="AE15" s="167"/>
      <c r="AF15" s="167"/>
    </row>
    <row r="16" spans="1:32" ht="20.100000000000001" customHeight="1" x14ac:dyDescent="0.25">
      <c r="A16" s="167"/>
      <c r="B16" s="171">
        <v>42251</v>
      </c>
      <c r="C16" s="205">
        <v>1921.22</v>
      </c>
      <c r="D16" s="175">
        <f t="shared" si="4"/>
        <v>-1.5329578244402004E-2</v>
      </c>
      <c r="E16" s="206">
        <f t="shared" si="5"/>
        <v>-8.6195087612488355E-2</v>
      </c>
      <c r="F16" s="222">
        <v>4683.92</v>
      </c>
      <c r="G16" s="175">
        <f t="shared" si="2"/>
        <v>-1.0474279074680454E-2</v>
      </c>
      <c r="H16" s="206">
        <f t="shared" si="6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7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8"/>
        <v>1</v>
      </c>
      <c r="P16" s="188">
        <f>COUNTIF(O$2:O16, TRUE)/(COUNTIF(O$2:O16,FALSE) + COUNTIF(O$2:O16, TRUE))</f>
        <v>0.46666666666666667</v>
      </c>
      <c r="Q16" s="345"/>
      <c r="R16" s="345"/>
      <c r="S16" s="345"/>
      <c r="T16" s="345"/>
      <c r="U16" s="188">
        <f>STDEV(D$2:D16)*SQRT(252)</f>
        <v>0.35126122417304334</v>
      </c>
      <c r="V16" s="188">
        <f>STDEV(L$2:L16)*SQRT(252)</f>
        <v>0.43762621603032426</v>
      </c>
      <c r="W16" s="167"/>
      <c r="X16" s="168"/>
      <c r="Y16" s="169"/>
      <c r="Z16" s="168"/>
      <c r="AA16" s="169"/>
      <c r="AB16" s="169"/>
      <c r="AC16" s="167"/>
      <c r="AD16" s="167"/>
      <c r="AE16" s="167"/>
      <c r="AF16" s="167"/>
    </row>
    <row r="17" spans="1:32" ht="20.100000000000001" customHeight="1" x14ac:dyDescent="0.25">
      <c r="A17" s="167"/>
      <c r="B17" s="176">
        <v>42255</v>
      </c>
      <c r="C17" s="207">
        <v>1969.41</v>
      </c>
      <c r="D17" s="175">
        <f t="shared" si="4"/>
        <v>2.5083020164270647E-2</v>
      </c>
      <c r="E17" s="208">
        <f t="shared" si="5"/>
        <v>-6.3274100568862832E-2</v>
      </c>
      <c r="F17" s="223">
        <v>4811.93</v>
      </c>
      <c r="G17" s="175">
        <f t="shared" si="2"/>
        <v>2.7329672581939961E-2</v>
      </c>
      <c r="H17" s="208">
        <f t="shared" si="6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7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8"/>
        <v>0</v>
      </c>
      <c r="P17" s="189">
        <f>COUNTIF(O$2:O17, TRUE)/(COUNTIF(O$2:O17,FALSE) + COUNTIF(O$2:O17, TRUE))</f>
        <v>0.4375</v>
      </c>
      <c r="Q17" s="346"/>
      <c r="R17" s="346"/>
      <c r="S17" s="346"/>
      <c r="T17" s="346"/>
      <c r="U17" s="189">
        <f>STDEV(D$2:D17)*SQRT(252)</f>
        <v>0.36194228365900932</v>
      </c>
      <c r="V17" s="189">
        <f>STDEV(L$2:L17)*SQRT(252)</f>
        <v>0.43324605788841486</v>
      </c>
      <c r="W17" s="167"/>
      <c r="X17" s="168"/>
      <c r="Y17" s="169"/>
      <c r="Z17" s="168"/>
      <c r="AA17" s="169"/>
      <c r="AB17" s="169"/>
      <c r="AC17" s="167"/>
      <c r="AD17" s="167"/>
      <c r="AE17" s="167"/>
      <c r="AF17" s="167"/>
    </row>
    <row r="18" spans="1:32" ht="20.100000000000001" customHeight="1" x14ac:dyDescent="0.25">
      <c r="A18" s="167"/>
      <c r="B18" s="176">
        <v>42256</v>
      </c>
      <c r="C18" s="207">
        <v>1942.04</v>
      </c>
      <c r="D18" s="175">
        <f t="shared" si="4"/>
        <v>-1.3897563229596741E-2</v>
      </c>
      <c r="E18" s="208">
        <f t="shared" si="5"/>
        <v>-7.629230798500794E-2</v>
      </c>
      <c r="F18" s="223">
        <v>4756.53</v>
      </c>
      <c r="G18" s="175">
        <f t="shared" si="2"/>
        <v>-1.1513051935502084E-2</v>
      </c>
      <c r="H18" s="208">
        <f t="shared" si="6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7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8"/>
        <v>0</v>
      </c>
      <c r="P18" s="189">
        <f>COUNTIF(O$2:O18, TRUE)/(COUNTIF(O$2:O18,FALSE) + COUNTIF(O$2:O18, TRUE))</f>
        <v>0.41176470588235292</v>
      </c>
      <c r="Q18" s="346"/>
      <c r="R18" s="346"/>
      <c r="S18" s="346"/>
      <c r="T18" s="346"/>
      <c r="U18" s="189">
        <f>STDEV(D$2:D18)*SQRT(252)</f>
        <v>0.35182224095506454</v>
      </c>
      <c r="V18" s="189">
        <f>STDEV(L$2:L18)*SQRT(252)</f>
        <v>0.43262248943141224</v>
      </c>
      <c r="W18" s="167"/>
      <c r="X18" s="168"/>
      <c r="Y18" s="169"/>
      <c r="Z18" s="168"/>
      <c r="AA18" s="169"/>
      <c r="AB18" s="169"/>
      <c r="AC18" s="167"/>
      <c r="AD18" s="167"/>
      <c r="AE18" s="167"/>
      <c r="AF18" s="167"/>
    </row>
    <row r="19" spans="1:32" ht="20.100000000000001" customHeight="1" x14ac:dyDescent="0.25">
      <c r="A19" s="167"/>
      <c r="B19" s="176">
        <v>42257</v>
      </c>
      <c r="C19" s="207">
        <v>1952.29</v>
      </c>
      <c r="D19" s="175">
        <f t="shared" si="4"/>
        <v>5.2779551399559227E-3</v>
      </c>
      <c r="E19" s="208">
        <f t="shared" si="5"/>
        <v>-7.1417020224120581E-2</v>
      </c>
      <c r="F19" s="223">
        <v>4796.25</v>
      </c>
      <c r="G19" s="175">
        <f t="shared" si="2"/>
        <v>8.3506253508335397E-3</v>
      </c>
      <c r="H19" s="208">
        <f t="shared" si="6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7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8"/>
        <v>0</v>
      </c>
      <c r="P19" s="189">
        <f>COUNTIF(O$2:O19, TRUE)/(COUNTIF(O$2:O19,FALSE) + COUNTIF(O$2:O19, TRUE))</f>
        <v>0.3888888888888889</v>
      </c>
      <c r="Q19" s="346"/>
      <c r="R19" s="346"/>
      <c r="S19" s="346"/>
      <c r="T19" s="346"/>
      <c r="U19" s="189">
        <f>STDEV(D$2:D19)*SQRT(252)</f>
        <v>0.34281735693264087</v>
      </c>
      <c r="V19" s="189">
        <f>STDEV(L$2:L19)*SQRT(252)</f>
        <v>0.42023205119752755</v>
      </c>
      <c r="W19" s="167"/>
      <c r="X19" s="168"/>
      <c r="Y19" s="169"/>
      <c r="Z19" s="168"/>
      <c r="AA19" s="169"/>
      <c r="AB19" s="169"/>
      <c r="AC19" s="167"/>
      <c r="AD19" s="167"/>
      <c r="AE19" s="167"/>
      <c r="AF19" s="167"/>
    </row>
    <row r="20" spans="1:32" ht="20.100000000000001" customHeight="1" x14ac:dyDescent="0.25">
      <c r="A20" s="167"/>
      <c r="B20" s="176">
        <v>42258</v>
      </c>
      <c r="C20" s="207">
        <v>1961.05</v>
      </c>
      <c r="D20" s="175">
        <f t="shared" si="4"/>
        <v>4.4870382986134183E-3</v>
      </c>
      <c r="E20" s="208">
        <f t="shared" si="5"/>
        <v>-6.7250432830425644E-2</v>
      </c>
      <c r="F20" s="223">
        <v>4822.34</v>
      </c>
      <c r="G20" s="175">
        <f t="shared" si="2"/>
        <v>5.4396664060464206E-3</v>
      </c>
      <c r="H20" s="208">
        <f t="shared" si="6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7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8"/>
        <v>0</v>
      </c>
      <c r="P20" s="189">
        <f>COUNTIF(O$2:O20, TRUE)/(COUNTIF(O$2:O20,FALSE) + COUNTIF(O$2:O20, TRUE))</f>
        <v>0.36842105263157893</v>
      </c>
      <c r="Q20" s="346"/>
      <c r="R20" s="346"/>
      <c r="S20" s="346"/>
      <c r="T20" s="346"/>
      <c r="U20" s="189">
        <f>STDEV(D$2:D20)*SQRT(252)</f>
        <v>0.33414073790213511</v>
      </c>
      <c r="V20" s="189">
        <f>STDEV(L$2:L20)*SQRT(252)</f>
        <v>0.40776589668846686</v>
      </c>
      <c r="W20" s="167"/>
      <c r="X20" s="168"/>
      <c r="Y20" s="169"/>
      <c r="Z20" s="168"/>
      <c r="AA20" s="169"/>
      <c r="AB20" s="169"/>
      <c r="AC20" s="167"/>
      <c r="AD20" s="167"/>
      <c r="AE20" s="167"/>
      <c r="AF20" s="167"/>
    </row>
    <row r="21" spans="1:32" ht="20.100000000000001" customHeight="1" x14ac:dyDescent="0.25">
      <c r="A21" s="167"/>
      <c r="B21" s="171">
        <v>42261</v>
      </c>
      <c r="C21" s="205">
        <v>1953.03</v>
      </c>
      <c r="D21" s="175">
        <f t="shared" si="4"/>
        <v>-4.0896458529869114E-3</v>
      </c>
      <c r="E21" s="206">
        <f t="shared" si="5"/>
        <v>-7.1065048229676034E-2</v>
      </c>
      <c r="F21" s="222">
        <v>4805.76</v>
      </c>
      <c r="G21" s="175">
        <f t="shared" si="2"/>
        <v>-3.4381648743141147E-3</v>
      </c>
      <c r="H21" s="206">
        <f t="shared" si="6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7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8"/>
        <v>1</v>
      </c>
      <c r="P21" s="188">
        <f>COUNTIF(O$2:O21, TRUE)/(COUNTIF(O$2:O21,FALSE) + COUNTIF(O$2:O21, TRUE))</f>
        <v>0.4</v>
      </c>
      <c r="Q21" s="345"/>
      <c r="R21" s="345"/>
      <c r="S21" s="345"/>
      <c r="T21" s="345"/>
      <c r="U21" s="188">
        <f>STDEV(D$2:D21)*SQRT(252)</f>
        <v>0.3247303591191491</v>
      </c>
      <c r="V21" s="188">
        <f>STDEV(L$2:L21)*SQRT(252)</f>
        <v>0.39882009643497413</v>
      </c>
      <c r="W21" s="167"/>
      <c r="X21" s="168"/>
      <c r="Y21" s="169"/>
      <c r="Z21" s="168"/>
      <c r="AA21" s="169"/>
      <c r="AB21" s="169"/>
      <c r="AC21" s="167"/>
      <c r="AD21" s="167"/>
      <c r="AE21" s="167"/>
      <c r="AF21" s="167"/>
    </row>
    <row r="22" spans="1:32" ht="20.100000000000001" customHeight="1" x14ac:dyDescent="0.25">
      <c r="A22" s="179"/>
      <c r="B22" s="171">
        <v>42262</v>
      </c>
      <c r="C22" s="205">
        <v>1978.09</v>
      </c>
      <c r="D22" s="175">
        <f t="shared" si="4"/>
        <v>1.2831344116577803E-2</v>
      </c>
      <c r="E22" s="206">
        <f t="shared" si="5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6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7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8"/>
        <v>0</v>
      </c>
      <c r="P22" s="188">
        <f>COUNTIF(O$2:O22, TRUE)/(COUNTIF(O$2:O22,FALSE) + COUNTIF(O$2:O22, TRUE))</f>
        <v>0.38095238095238093</v>
      </c>
      <c r="Q22" s="345"/>
      <c r="R22" s="345"/>
      <c r="S22" s="345"/>
      <c r="T22" s="345"/>
      <c r="U22" s="188">
        <f>STDEV(D$2:D22)*SQRT(252)</f>
        <v>0.32145355759875488</v>
      </c>
      <c r="V22" s="188">
        <f>STDEV(L$2:L22)*SQRT(252)</f>
        <v>0.38986525703766828</v>
      </c>
      <c r="W22" s="167"/>
      <c r="X22" s="168"/>
      <c r="Y22" s="169"/>
      <c r="Z22" s="168"/>
      <c r="AA22" s="169"/>
      <c r="AB22" s="169"/>
      <c r="AC22" s="167"/>
      <c r="AD22" s="167"/>
      <c r="AE22" s="167"/>
      <c r="AF22" s="167"/>
    </row>
    <row r="23" spans="1:32" ht="20.100000000000001" customHeight="1" x14ac:dyDescent="0.25">
      <c r="A23" s="179"/>
      <c r="B23" s="171">
        <v>42263</v>
      </c>
      <c r="C23" s="205">
        <v>1995.31</v>
      </c>
      <c r="D23" s="175">
        <f t="shared" si="4"/>
        <v>8.7053672987579076E-3</v>
      </c>
      <c r="E23" s="206">
        <f t="shared" si="5"/>
        <v>-5.0955080763303642E-2</v>
      </c>
      <c r="F23" s="222">
        <v>4889.24</v>
      </c>
      <c r="G23" s="175">
        <f t="shared" si="2"/>
        <v>5.908832799782604E-3</v>
      </c>
      <c r="H23" s="206">
        <f t="shared" si="6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7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8"/>
        <v>1</v>
      </c>
      <c r="P23" s="188">
        <f>COUNTIF(O$2:O23, TRUE)/(COUNTIF(O$2:O23,FALSE) + COUNTIF(O$2:O23, TRUE))</f>
        <v>0.40909090909090912</v>
      </c>
      <c r="Q23" s="345"/>
      <c r="R23" s="345"/>
      <c r="S23" s="345"/>
      <c r="T23" s="345"/>
      <c r="U23" s="188">
        <f>STDEV(D$2:D23)*SQRT(252)</f>
        <v>0.31586031332458192</v>
      </c>
      <c r="V23" s="188">
        <f>STDEV(L$2:L23)*SQRT(252)</f>
        <v>0.38411926521956707</v>
      </c>
      <c r="W23" s="167"/>
      <c r="X23" s="168"/>
      <c r="Y23" s="169"/>
      <c r="Z23" s="168"/>
      <c r="AA23" s="169"/>
      <c r="AB23" s="169"/>
      <c r="AC23" s="167"/>
      <c r="AD23" s="167"/>
      <c r="AE23" s="167"/>
      <c r="AF23" s="167"/>
    </row>
    <row r="24" spans="1:32" ht="20.100000000000001" customHeight="1" x14ac:dyDescent="0.25">
      <c r="A24" s="179"/>
      <c r="B24" s="171">
        <v>42264</v>
      </c>
      <c r="C24" s="205">
        <v>1990.2</v>
      </c>
      <c r="D24" s="175">
        <f t="shared" si="4"/>
        <v>-2.5610055580335385E-3</v>
      </c>
      <c r="E24" s="206">
        <f t="shared" si="5"/>
        <v>-5.3385590076292309E-2</v>
      </c>
      <c r="F24" s="222">
        <v>4893.95</v>
      </c>
      <c r="G24" s="175">
        <f t="shared" si="2"/>
        <v>9.6333990558860607E-4</v>
      </c>
      <c r="H24" s="206">
        <f t="shared" si="6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7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8"/>
        <v>1</v>
      </c>
      <c r="P24" s="188">
        <f>COUNTIF(O$2:O24, TRUE)/(COUNTIF(O$2:O24,FALSE) + COUNTIF(O$2:O24, TRUE))</f>
        <v>0.43478260869565216</v>
      </c>
      <c r="Q24" s="345"/>
      <c r="R24" s="345"/>
      <c r="S24" s="345"/>
      <c r="T24" s="345"/>
      <c r="U24" s="188">
        <f>STDEV(D$2:D24)*SQRT(252)</f>
        <v>0.30824938276419228</v>
      </c>
      <c r="V24" s="188">
        <f>STDEV(L$2:L24)*SQRT(252)</f>
        <v>0.37503116894241934</v>
      </c>
      <c r="W24" s="167"/>
      <c r="X24" s="168"/>
      <c r="Y24" s="169"/>
      <c r="Z24" s="168"/>
      <c r="AA24" s="169"/>
      <c r="AB24" s="169"/>
      <c r="AC24" s="167"/>
      <c r="AD24" s="167"/>
      <c r="AE24" s="167"/>
      <c r="AF24" s="167"/>
    </row>
    <row r="25" spans="1:32" ht="20.100000000000001" customHeight="1" x14ac:dyDescent="0.25">
      <c r="A25" s="179"/>
      <c r="B25" s="171">
        <v>42265</v>
      </c>
      <c r="C25" s="205">
        <v>1958.08</v>
      </c>
      <c r="D25" s="175">
        <f t="shared" si="4"/>
        <v>-1.6139081499346859E-2</v>
      </c>
      <c r="E25" s="206">
        <f t="shared" si="5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6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7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8"/>
        <v>0</v>
      </c>
      <c r="P25" s="188">
        <f>COUNTIF(O$2:O25, TRUE)/(COUNTIF(O$2:O25,FALSE) + COUNTIF(O$2:O25, TRUE))</f>
        <v>0.41666666666666669</v>
      </c>
      <c r="Q25" s="345"/>
      <c r="R25" s="345"/>
      <c r="S25" s="345"/>
      <c r="T25" s="345"/>
      <c r="U25" s="188">
        <f>STDEV(D$2:D25)*SQRT(252)</f>
        <v>0.30462094080099172</v>
      </c>
      <c r="V25" s="188">
        <f>STDEV(L$2:L25)*SQRT(252)</f>
        <v>0.37697940519041084</v>
      </c>
      <c r="W25" s="167"/>
      <c r="X25" s="168"/>
      <c r="Y25" s="169"/>
      <c r="Z25" s="168"/>
      <c r="AA25" s="169"/>
      <c r="AB25" s="169"/>
      <c r="AC25" s="167"/>
      <c r="AD25" s="167"/>
      <c r="AE25" s="167"/>
      <c r="AF25" s="167"/>
    </row>
    <row r="26" spans="1:32" ht="20.100000000000001" customHeight="1" x14ac:dyDescent="0.25">
      <c r="A26" s="179"/>
      <c r="B26" s="176">
        <v>42268</v>
      </c>
      <c r="C26" s="207">
        <v>1966.97</v>
      </c>
      <c r="D26" s="175">
        <f t="shared" si="4"/>
        <v>4.5401617911423947E-3</v>
      </c>
      <c r="E26" s="208">
        <f t="shared" si="5"/>
        <v>-6.4434656874869212E-2</v>
      </c>
      <c r="F26" s="223">
        <v>4828.95</v>
      </c>
      <c r="G26" s="175">
        <f t="shared" si="2"/>
        <v>3.5631200502156618E-4</v>
      </c>
      <c r="H26" s="208">
        <f t="shared" si="6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7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8"/>
        <v>1</v>
      </c>
      <c r="P26" s="189">
        <f>COUNTIF(O$2:O26, TRUE)/(COUNTIF(O$2:O26,FALSE) + COUNTIF(O$2:O26, TRUE))</f>
        <v>0.44</v>
      </c>
      <c r="Q26" s="346"/>
      <c r="R26" s="346"/>
      <c r="S26" s="346"/>
      <c r="T26" s="346"/>
      <c r="U26" s="189">
        <f>STDEV(D$2:D26)*SQRT(252)</f>
        <v>0.29890210628506431</v>
      </c>
      <c r="V26" s="189">
        <f>STDEV(L$2:L26)*SQRT(252)</f>
        <v>0.36977509623053162</v>
      </c>
      <c r="W26" s="167"/>
      <c r="X26" s="168"/>
      <c r="Y26" s="169"/>
      <c r="Z26" s="168"/>
      <c r="AA26" s="169"/>
      <c r="AB26" s="169"/>
      <c r="AC26" s="167"/>
      <c r="AD26" s="167"/>
      <c r="AE26" s="167"/>
      <c r="AF26" s="167"/>
    </row>
    <row r="27" spans="1:32" ht="20.100000000000001" customHeight="1" x14ac:dyDescent="0.25">
      <c r="A27" s="179"/>
      <c r="B27" s="176">
        <v>42269</v>
      </c>
      <c r="C27" s="207">
        <v>1942.74</v>
      </c>
      <c r="D27" s="175">
        <f t="shared" si="4"/>
        <v>-1.2318439020422282E-2</v>
      </c>
      <c r="E27" s="208">
        <f t="shared" si="5"/>
        <v>-7.5959361503776579E-2</v>
      </c>
      <c r="F27" s="223">
        <v>4756.72</v>
      </c>
      <c r="G27" s="175">
        <f t="shared" si="2"/>
        <v>-1.4957703020325239E-2</v>
      </c>
      <c r="H27" s="208">
        <f t="shared" si="6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7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8"/>
        <v>0</v>
      </c>
      <c r="P27" s="189">
        <f>COUNTIF(O$2:O27, TRUE)/(COUNTIF(O$2:O27,FALSE) + COUNTIF(O$2:O27, TRUE))</f>
        <v>0.42307692307692307</v>
      </c>
      <c r="Q27" s="346"/>
      <c r="R27" s="346"/>
      <c r="S27" s="346"/>
      <c r="T27" s="346"/>
      <c r="U27" s="189">
        <f>STDEV(D$2:D27)*SQRT(252)</f>
        <v>0.29423063039577757</v>
      </c>
      <c r="V27" s="189">
        <f>STDEV(L$2:L27)*SQRT(252)</f>
        <v>0.36891081336097858</v>
      </c>
      <c r="W27" s="167"/>
      <c r="X27" s="168"/>
      <c r="Y27" s="169"/>
      <c r="Z27" s="168"/>
      <c r="AA27" s="169"/>
      <c r="AB27" s="169"/>
      <c r="AC27" s="167"/>
      <c r="AD27" s="167"/>
      <c r="AE27" s="167"/>
      <c r="AF27" s="167"/>
    </row>
    <row r="28" spans="1:32" ht="20.100000000000001" customHeight="1" x14ac:dyDescent="0.25">
      <c r="A28" s="179"/>
      <c r="B28" s="176">
        <v>42270</v>
      </c>
      <c r="C28" s="207">
        <v>1938.76</v>
      </c>
      <c r="D28" s="175">
        <f t="shared" si="4"/>
        <v>-2.0486529334857047E-3</v>
      </c>
      <c r="E28" s="208">
        <f t="shared" si="5"/>
        <v>-7.7852400068491881E-2</v>
      </c>
      <c r="F28" s="223">
        <v>4752.74</v>
      </c>
      <c r="G28" s="175">
        <f t="shared" si="2"/>
        <v>-8.3671101094882037E-4</v>
      </c>
      <c r="H28" s="208">
        <f t="shared" si="6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7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8"/>
        <v>0</v>
      </c>
      <c r="P28" s="189">
        <f>COUNTIF(O$2:O28, TRUE)/(COUNTIF(O$2:O28,FALSE) + COUNTIF(O$2:O28, TRUE))</f>
        <v>0.40740740740740738</v>
      </c>
      <c r="Q28" s="346"/>
      <c r="R28" s="346"/>
      <c r="S28" s="346"/>
      <c r="T28" s="346"/>
      <c r="U28" s="189">
        <f>STDEV(D$2:D28)*SQRT(252)</f>
        <v>0.288300857286579</v>
      </c>
      <c r="V28" s="189">
        <f>STDEV(L$2:L28)*SQRT(252)</f>
        <v>0.36576166417456935</v>
      </c>
      <c r="W28" s="168"/>
      <c r="X28" s="169"/>
      <c r="Y28" s="169"/>
      <c r="Z28" s="167"/>
      <c r="AA28" s="167"/>
      <c r="AB28" s="167"/>
      <c r="AC28" s="167"/>
    </row>
    <row r="29" spans="1:32" ht="20.100000000000001" customHeight="1" x14ac:dyDescent="0.25">
      <c r="A29" s="179"/>
      <c r="B29" s="176">
        <v>42271</v>
      </c>
      <c r="C29" s="207">
        <v>1932.24</v>
      </c>
      <c r="D29" s="175">
        <f t="shared" si="4"/>
        <v>-3.3629742722152212E-3</v>
      </c>
      <c r="E29" s="208">
        <f t="shared" si="5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6"/>
        <v>-7.0157314845729374E-2</v>
      </c>
      <c r="I29" s="227">
        <v>323446.15999999997</v>
      </c>
      <c r="J29" s="177">
        <v>390000</v>
      </c>
      <c r="K29" s="177">
        <f t="shared" ref="K29:K49" si="9">I29-I28-J29+J28</f>
        <v>1626.9499999999534</v>
      </c>
      <c r="L29" s="175">
        <f t="shared" si="7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8"/>
        <v>1</v>
      </c>
      <c r="P29" s="189">
        <f>COUNTIF(O$2:O29, TRUE)/(COUNTIF(O$2:O29,FALSE) + COUNTIF(O$2:O29, TRUE))</f>
        <v>0.42857142857142855</v>
      </c>
      <c r="Q29" s="346"/>
      <c r="R29" s="346"/>
      <c r="S29" s="346"/>
      <c r="T29" s="346"/>
      <c r="U29" s="189">
        <f>STDEV(D$2:D29)*SQRT(252)</f>
        <v>0.28270501442194107</v>
      </c>
      <c r="V29" s="189">
        <f>STDEV(L$2:L29)*SQRT(252)</f>
        <v>0.35959656379312804</v>
      </c>
      <c r="W29" s="168"/>
      <c r="X29" s="169"/>
      <c r="Y29" s="169"/>
      <c r="Z29" s="167"/>
      <c r="AA29" s="167"/>
      <c r="AB29" s="167"/>
      <c r="AC29" s="167"/>
    </row>
    <row r="30" spans="1:32" ht="20.100000000000001" customHeight="1" x14ac:dyDescent="0.25">
      <c r="A30" s="179"/>
      <c r="B30" s="176">
        <v>42272</v>
      </c>
      <c r="C30" s="207">
        <v>1931.34</v>
      </c>
      <c r="D30" s="175">
        <f t="shared" si="4"/>
        <v>-4.6578064836670961E-4</v>
      </c>
      <c r="E30" s="208">
        <f t="shared" si="5"/>
        <v>-8.1381632769544021E-2</v>
      </c>
      <c r="F30" s="223">
        <v>4686.5</v>
      </c>
      <c r="G30" s="175">
        <f t="shared" si="2"/>
        <v>-1.0134164681232061E-2</v>
      </c>
      <c r="H30" s="208">
        <f t="shared" si="6"/>
        <v>-7.9580493744721773E-2</v>
      </c>
      <c r="I30" s="226">
        <v>320711.92</v>
      </c>
      <c r="J30" s="177">
        <v>390000</v>
      </c>
      <c r="K30" s="177">
        <f t="shared" si="9"/>
        <v>-2734.2399999999907</v>
      </c>
      <c r="L30" s="175">
        <f t="shared" si="7"/>
        <v>-8.4534625484500754E-3</v>
      </c>
      <c r="M30" s="178">
        <f t="shared" ref="M30:M61" si="10">I30-J30</f>
        <v>-69288.080000000016</v>
      </c>
      <c r="N30" s="189">
        <f t="shared" ref="N30:N61" si="11">M30/J30</f>
        <v>-0.17766174358974363</v>
      </c>
      <c r="O30" s="178" t="b">
        <f t="shared" si="8"/>
        <v>0</v>
      </c>
      <c r="P30" s="189">
        <f>COUNTIF(O$2:O30, TRUE)/(COUNTIF(O$2:O30,FALSE) + COUNTIF(O$2:O30, TRUE))</f>
        <v>0.41379310344827586</v>
      </c>
      <c r="Q30" s="346"/>
      <c r="R30" s="346"/>
      <c r="S30" s="346"/>
      <c r="T30" s="346"/>
      <c r="U30" s="189">
        <f>STDEV(D$2:D30)*SQRT(252)</f>
        <v>0.27752195461786261</v>
      </c>
      <c r="V30" s="189">
        <f>STDEV(L$2:L30)*SQRT(252)</f>
        <v>0.35323644241397795</v>
      </c>
      <c r="W30" s="168"/>
      <c r="X30" s="169"/>
      <c r="Y30" s="169"/>
      <c r="Z30" s="167"/>
      <c r="AA30" s="167"/>
      <c r="AB30" s="167"/>
      <c r="AC30" s="167"/>
    </row>
    <row r="31" spans="1:32" ht="20.100000000000001" customHeight="1" x14ac:dyDescent="0.25">
      <c r="A31" s="179"/>
      <c r="B31" s="171">
        <v>42275</v>
      </c>
      <c r="C31" s="205">
        <v>1881.77</v>
      </c>
      <c r="D31" s="175">
        <f t="shared" si="4"/>
        <v>-2.5666117824929811E-2</v>
      </c>
      <c r="E31" s="206">
        <f t="shared" si="5"/>
        <v>-0.10495900001902554</v>
      </c>
      <c r="F31" s="222">
        <v>4543.97</v>
      </c>
      <c r="G31" s="175">
        <f t="shared" si="2"/>
        <v>-3.041288808279094E-2</v>
      </c>
      <c r="H31" s="206">
        <f t="shared" si="6"/>
        <v>-0.10757310917768124</v>
      </c>
      <c r="I31" s="225">
        <v>308867.92</v>
      </c>
      <c r="J31" s="173">
        <v>390000</v>
      </c>
      <c r="K31" s="173">
        <f t="shared" si="9"/>
        <v>-11844</v>
      </c>
      <c r="L31" s="175">
        <f t="shared" si="7"/>
        <v>-3.693033922780295E-2</v>
      </c>
      <c r="M31" s="172">
        <f t="shared" si="10"/>
        <v>-81132.080000000016</v>
      </c>
      <c r="N31" s="188">
        <f t="shared" si="11"/>
        <v>-0.20803097435897441</v>
      </c>
      <c r="O31" s="172" t="b">
        <f t="shared" si="8"/>
        <v>0</v>
      </c>
      <c r="P31" s="188">
        <f>COUNTIF(O$2:O31, TRUE)/(COUNTIF(O$2:O31,FALSE) + COUNTIF(O$2:O31, TRUE))</f>
        <v>0.4</v>
      </c>
      <c r="Q31" s="345"/>
      <c r="R31" s="345"/>
      <c r="S31" s="345"/>
      <c r="T31" s="345"/>
      <c r="U31" s="188">
        <f>STDEV(D$2:D31)*SQRT(252)</f>
        <v>0.28067725027853285</v>
      </c>
      <c r="V31" s="188">
        <f>STDEV(L$2:L31)*SQRT(252)</f>
        <v>0.36074758156117998</v>
      </c>
      <c r="W31" s="168"/>
      <c r="X31" s="169"/>
      <c r="Y31" s="169"/>
      <c r="Z31" s="167"/>
      <c r="AA31" s="167"/>
      <c r="AB31" s="167"/>
      <c r="AC31" s="167"/>
    </row>
    <row r="32" spans="1:32" ht="20.100000000000001" customHeight="1" x14ac:dyDescent="0.25">
      <c r="A32" s="179"/>
      <c r="B32" s="171">
        <v>42276</v>
      </c>
      <c r="C32" s="205">
        <v>1884.09</v>
      </c>
      <c r="D32" s="175">
        <f t="shared" si="4"/>
        <v>1.2328818080849075E-3</v>
      </c>
      <c r="E32" s="206">
        <f t="shared" si="5"/>
        <v>-0.10385552025265887</v>
      </c>
      <c r="F32" s="222">
        <v>4517.32</v>
      </c>
      <c r="G32" s="175">
        <f t="shared" si="2"/>
        <v>-5.8649154813963439E-3</v>
      </c>
      <c r="H32" s="206">
        <f t="shared" si="6"/>
        <v>-0.11280711746567947</v>
      </c>
      <c r="I32" s="225">
        <v>312033</v>
      </c>
      <c r="J32" s="173">
        <v>390000</v>
      </c>
      <c r="K32" s="173">
        <f t="shared" si="9"/>
        <v>3165.0800000000163</v>
      </c>
      <c r="L32" s="175">
        <f t="shared" si="7"/>
        <v>1.0247357511262472E-2</v>
      </c>
      <c r="M32" s="172">
        <f t="shared" si="10"/>
        <v>-77967</v>
      </c>
      <c r="N32" s="188">
        <f t="shared" si="11"/>
        <v>-0.19991538461538461</v>
      </c>
      <c r="O32" s="172" t="b">
        <f t="shared" si="8"/>
        <v>1</v>
      </c>
      <c r="P32" s="188">
        <f>COUNTIF(O$2:O32, TRUE)/(COUNTIF(O$2:O32,FALSE) + COUNTIF(O$2:O32, TRUE))</f>
        <v>0.41935483870967744</v>
      </c>
      <c r="Q32" s="345"/>
      <c r="R32" s="345"/>
      <c r="S32" s="345"/>
      <c r="T32" s="345"/>
      <c r="U32" s="188">
        <f>STDEV(D$2:D32)*SQRT(252)</f>
        <v>0.27616064910345123</v>
      </c>
      <c r="V32" s="188">
        <f>STDEV(L$2:L32)*SQRT(252)</f>
        <v>0.35703191736213136</v>
      </c>
      <c r="W32" s="168"/>
      <c r="X32" s="169"/>
      <c r="Y32" s="169"/>
      <c r="Z32" s="167"/>
      <c r="AA32" s="167"/>
      <c r="AB32" s="167"/>
      <c r="AC32" s="167"/>
    </row>
    <row r="33" spans="1:29" ht="20.100000000000001" customHeight="1" x14ac:dyDescent="0.25">
      <c r="A33" s="179"/>
      <c r="B33" s="171">
        <v>42277</v>
      </c>
      <c r="C33" s="205">
        <v>1920.03</v>
      </c>
      <c r="D33" s="175">
        <f t="shared" si="4"/>
        <v>1.9075521869974393E-2</v>
      </c>
      <c r="E33" s="206">
        <f t="shared" si="5"/>
        <v>-8.6761096630581652E-2</v>
      </c>
      <c r="F33" s="222">
        <v>4620.16</v>
      </c>
      <c r="G33" s="175">
        <f t="shared" si="2"/>
        <v>2.2765710642593431E-2</v>
      </c>
      <c r="H33" s="206">
        <f t="shared" si="6"/>
        <v>-9.2609541017734748E-2</v>
      </c>
      <c r="I33" s="515">
        <v>320653.48</v>
      </c>
      <c r="J33" s="173">
        <v>390000</v>
      </c>
      <c r="K33" s="173">
        <f t="shared" si="9"/>
        <v>8620.4799999999814</v>
      </c>
      <c r="L33" s="175">
        <f t="shared" si="7"/>
        <v>2.762682152208254E-2</v>
      </c>
      <c r="M33" s="172">
        <f t="shared" si="10"/>
        <v>-69346.520000000019</v>
      </c>
      <c r="N33" s="188">
        <f t="shared" si="11"/>
        <v>-0.17781158974358979</v>
      </c>
      <c r="O33" s="172" t="b">
        <f t="shared" si="8"/>
        <v>1</v>
      </c>
      <c r="P33" s="188">
        <f>COUNTIF(O$2:O33, TRUE)/(COUNTIF(O$2:O33,FALSE) + COUNTIF(O$2:O33, TRUE))</f>
        <v>0.4375</v>
      </c>
      <c r="Q33" s="345"/>
      <c r="R33" s="345"/>
      <c r="S33" s="345"/>
      <c r="T33" s="345"/>
      <c r="U33" s="188">
        <f>STDEV(D$2:D33)*SQRT(252)</f>
        <v>0.27904525871697899</v>
      </c>
      <c r="V33" s="188">
        <f>STDEV(L$2:L33)*SQRT(252)</f>
        <v>0.36241608593546876</v>
      </c>
      <c r="W33" s="168"/>
      <c r="X33" s="169"/>
      <c r="Y33" s="169"/>
      <c r="Z33" s="167"/>
      <c r="AA33" s="167"/>
      <c r="AB33" s="167"/>
      <c r="AC33" s="167"/>
    </row>
    <row r="34" spans="1:29" ht="20.100000000000001" customHeight="1" x14ac:dyDescent="0.25">
      <c r="B34" s="171">
        <v>42278</v>
      </c>
      <c r="C34" s="205">
        <v>1923.82</v>
      </c>
      <c r="D34" s="175">
        <f t="shared" si="4"/>
        <v>1.9739274907162718E-3</v>
      </c>
      <c r="E34" s="206">
        <f t="shared" si="5"/>
        <v>-8.4958429253629175E-2</v>
      </c>
      <c r="F34" s="222">
        <v>4627.08</v>
      </c>
      <c r="G34" s="175">
        <f t="shared" si="2"/>
        <v>1.497783626541088E-3</v>
      </c>
      <c r="H34" s="206">
        <f t="shared" si="6"/>
        <v>-9.1250466445391504E-2</v>
      </c>
      <c r="I34" s="225">
        <v>321963.56</v>
      </c>
      <c r="J34" s="173">
        <v>390000</v>
      </c>
      <c r="K34" s="173">
        <f t="shared" si="9"/>
        <v>1310.0800000000163</v>
      </c>
      <c r="L34" s="175">
        <f t="shared" si="7"/>
        <v>4.0856565785595605E-3</v>
      </c>
      <c r="M34" s="172">
        <f t="shared" si="10"/>
        <v>-68036.44</v>
      </c>
      <c r="N34" s="188">
        <f t="shared" si="11"/>
        <v>-0.17445241025641026</v>
      </c>
      <c r="O34" s="172" t="b">
        <f t="shared" si="8"/>
        <v>1</v>
      </c>
      <c r="P34" s="188">
        <f>COUNTIF(O$2:O34, TRUE)/(COUNTIF(O$2:O34,FALSE) + COUNTIF(O$2:O34, TRUE))</f>
        <v>0.45454545454545453</v>
      </c>
      <c r="Q34" s="345"/>
      <c r="R34" s="345"/>
      <c r="S34" s="345"/>
      <c r="T34" s="345"/>
      <c r="U34" s="188">
        <f>STDEV(D$2:D34)*SQRT(252)</f>
        <v>0.27483074679675301</v>
      </c>
      <c r="V34" s="188">
        <f>STDEV(L$2:L34)*SQRT(252)</f>
        <v>0.35707118458821713</v>
      </c>
    </row>
    <row r="35" spans="1:29" ht="20.100000000000001" customHeight="1" x14ac:dyDescent="0.25">
      <c r="B35" s="171">
        <v>42279</v>
      </c>
      <c r="C35" s="205">
        <v>1951.36</v>
      </c>
      <c r="D35" s="175">
        <f t="shared" si="4"/>
        <v>1.4315268580220584E-2</v>
      </c>
      <c r="E35" s="206">
        <f t="shared" si="5"/>
        <v>-7.1859363406327953E-2</v>
      </c>
      <c r="F35" s="222">
        <v>4707.78</v>
      </c>
      <c r="G35" s="175">
        <f t="shared" si="2"/>
        <v>1.7440805000129633E-2</v>
      </c>
      <c r="H35" s="206">
        <f t="shared" si="6"/>
        <v>-7.5401143036706808E-2</v>
      </c>
      <c r="I35" s="225">
        <v>336327.01</v>
      </c>
      <c r="J35" s="173">
        <v>390000</v>
      </c>
      <c r="K35" s="173">
        <f t="shared" si="9"/>
        <v>14363.450000000012</v>
      </c>
      <c r="L35" s="175">
        <f t="shared" si="7"/>
        <v>4.4612036219254164E-2</v>
      </c>
      <c r="M35" s="172">
        <f t="shared" si="10"/>
        <v>-53672.989999999991</v>
      </c>
      <c r="N35" s="188">
        <f t="shared" si="11"/>
        <v>-0.13762305128205127</v>
      </c>
      <c r="O35" s="172" t="b">
        <f t="shared" si="8"/>
        <v>1</v>
      </c>
      <c r="P35" s="188">
        <f>COUNTIF(O$2:O35, TRUE)/(COUNTIF(O$2:O35,FALSE) + COUNTIF(O$2:O35, TRUE))</f>
        <v>0.47058823529411764</v>
      </c>
      <c r="Q35" s="345"/>
      <c r="R35" s="345"/>
      <c r="S35" s="345"/>
      <c r="T35" s="345"/>
      <c r="U35" s="188">
        <f>STDEV(D$2:D35)*SQRT(252)</f>
        <v>0.27452334333609368</v>
      </c>
      <c r="V35" s="188">
        <f>STDEV(L$2:L35)*SQRT(252)</f>
        <v>0.37502060427916972</v>
      </c>
    </row>
    <row r="36" spans="1:29" ht="20.100000000000001" customHeight="1" x14ac:dyDescent="0.25">
      <c r="B36" s="176">
        <v>42282</v>
      </c>
      <c r="C36" s="207">
        <v>1987.05</v>
      </c>
      <c r="D36" s="175">
        <f t="shared" si="4"/>
        <v>1.8289808133814395E-2</v>
      </c>
      <c r="E36" s="208">
        <f t="shared" si="5"/>
        <v>-5.4883849241833343E-2</v>
      </c>
      <c r="F36" s="223">
        <v>4781.26</v>
      </c>
      <c r="G36" s="175">
        <f t="shared" si="2"/>
        <v>1.5608205990934257E-2</v>
      </c>
      <c r="H36" s="208">
        <f t="shared" si="6"/>
        <v>-6.0969813618241372E-2</v>
      </c>
      <c r="I36" s="226">
        <v>348049.53</v>
      </c>
      <c r="J36" s="177">
        <v>390000</v>
      </c>
      <c r="K36" s="177">
        <f t="shared" si="9"/>
        <v>11722.520000000019</v>
      </c>
      <c r="L36" s="175">
        <f t="shared" si="7"/>
        <v>3.4854530416691835E-2</v>
      </c>
      <c r="M36" s="178">
        <f t="shared" si="10"/>
        <v>-41950.469999999972</v>
      </c>
      <c r="N36" s="189">
        <f t="shared" si="11"/>
        <v>-0.10756530769230763</v>
      </c>
      <c r="O36" s="178" t="b">
        <f t="shared" si="8"/>
        <v>1</v>
      </c>
      <c r="P36" s="189">
        <f>COUNTIF(O$2:O36, TRUE)/(COUNTIF(O$2:O36,FALSE) + COUNTIF(O$2:O36, TRUE))</f>
        <v>0.48571428571428571</v>
      </c>
      <c r="Q36" s="346"/>
      <c r="R36" s="346"/>
      <c r="S36" s="346"/>
      <c r="T36" s="346"/>
      <c r="U36" s="189">
        <f>STDEV(D$2:D36)*SQRT(252)</f>
        <v>0.27597887919090974</v>
      </c>
      <c r="V36" s="189">
        <f>STDEV(L$2:L36)*SQRT(252)</f>
        <v>0.38219304301343621</v>
      </c>
    </row>
    <row r="37" spans="1:29" ht="20.100000000000001" customHeight="1" x14ac:dyDescent="0.25">
      <c r="B37" s="176">
        <v>42283</v>
      </c>
      <c r="C37" s="207">
        <v>1979.92</v>
      </c>
      <c r="D37" s="175">
        <f t="shared" si="4"/>
        <v>-3.5882338139452364E-3</v>
      </c>
      <c r="E37" s="208">
        <f t="shared" si="5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6"/>
        <v>-6.7431309778659423E-2</v>
      </c>
      <c r="I37" s="226">
        <v>349442.62</v>
      </c>
      <c r="J37" s="177">
        <v>390000</v>
      </c>
      <c r="K37" s="177">
        <f t="shared" si="9"/>
        <v>1393.0899999999674</v>
      </c>
      <c r="L37" s="175">
        <f t="shared" si="7"/>
        <v>4.0025625088474254E-3</v>
      </c>
      <c r="M37" s="178">
        <f t="shared" si="10"/>
        <v>-40557.380000000005</v>
      </c>
      <c r="N37" s="189">
        <f t="shared" si="11"/>
        <v>-0.10399328205128207</v>
      </c>
      <c r="O37" s="178" t="b">
        <f t="shared" si="8"/>
        <v>1</v>
      </c>
      <c r="P37" s="189">
        <f>COUNTIF(O$2:O37, TRUE)/(COUNTIF(O$2:O37,FALSE) + COUNTIF(O$2:O37, TRUE))</f>
        <v>0.5</v>
      </c>
      <c r="Q37" s="346"/>
      <c r="R37" s="346"/>
      <c r="S37" s="346"/>
      <c r="T37" s="346"/>
      <c r="U37" s="189">
        <f>STDEV(D$2:D37)*SQRT(252)</f>
        <v>0.27194715501453054</v>
      </c>
      <c r="V37" s="189">
        <f>STDEV(L$2:L37)*SQRT(252)</f>
        <v>0.37670306697854899</v>
      </c>
    </row>
    <row r="38" spans="1:29" ht="20.100000000000001" customHeight="1" x14ac:dyDescent="0.25">
      <c r="B38" s="176">
        <v>42284</v>
      </c>
      <c r="C38" s="207">
        <v>1995.83</v>
      </c>
      <c r="D38" s="175">
        <f t="shared" si="4"/>
        <v>8.0356782092205013E-3</v>
      </c>
      <c r="E38" s="208">
        <f t="shared" si="5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6"/>
        <v>-5.9027436808924368E-2</v>
      </c>
      <c r="I38" s="226">
        <v>351672.29</v>
      </c>
      <c r="J38" s="177">
        <v>390000</v>
      </c>
      <c r="K38" s="177">
        <f t="shared" si="9"/>
        <v>2229.6699999999837</v>
      </c>
      <c r="L38" s="175">
        <f t="shared" si="7"/>
        <v>6.3806469857625942E-3</v>
      </c>
      <c r="M38" s="178">
        <f t="shared" si="10"/>
        <v>-38327.710000000021</v>
      </c>
      <c r="N38" s="189">
        <f t="shared" si="11"/>
        <v>-9.8276179487179538E-2</v>
      </c>
      <c r="O38" s="178" t="b">
        <f t="shared" si="8"/>
        <v>0</v>
      </c>
      <c r="P38" s="189">
        <f>COUNTIF(O$2:O38, TRUE)/(COUNTIF(O$2:O38,FALSE) + COUNTIF(O$2:O38, TRUE))</f>
        <v>0.48648648648648651</v>
      </c>
      <c r="Q38" s="346"/>
      <c r="R38" s="346"/>
      <c r="S38" s="346"/>
      <c r="T38" s="346"/>
      <c r="U38" s="189">
        <f>STDEV(D$2:D38)*SQRT(252)</f>
        <v>0.26923649970087526</v>
      </c>
      <c r="V38" s="189">
        <f>STDEV(L$2:L38)*SQRT(252)</f>
        <v>0.37168118749449619</v>
      </c>
    </row>
    <row r="39" spans="1:29" ht="20.100000000000001" customHeight="1" x14ac:dyDescent="0.25">
      <c r="B39" s="176">
        <v>42285</v>
      </c>
      <c r="C39" s="207">
        <v>2013.43</v>
      </c>
      <c r="D39" s="175">
        <f t="shared" si="4"/>
        <v>8.8183863355096054E-3</v>
      </c>
      <c r="E39" s="208">
        <f t="shared" si="5"/>
        <v>-4.2336523277715414E-2</v>
      </c>
      <c r="F39" s="223">
        <v>4810.79</v>
      </c>
      <c r="G39" s="175">
        <f t="shared" si="2"/>
        <v>4.0992246120451934E-3</v>
      </c>
      <c r="H39" s="208">
        <f t="shared" si="6"/>
        <v>-5.5170178918632254E-2</v>
      </c>
      <c r="I39" s="226">
        <v>354527.57</v>
      </c>
      <c r="J39" s="177">
        <v>390000</v>
      </c>
      <c r="K39" s="177">
        <f t="shared" si="9"/>
        <v>2855.2800000000279</v>
      </c>
      <c r="L39" s="175">
        <f t="shared" si="7"/>
        <v>8.119149791415264E-3</v>
      </c>
      <c r="M39" s="178">
        <f t="shared" si="10"/>
        <v>-35472.429999999993</v>
      </c>
      <c r="N39" s="189">
        <f t="shared" si="11"/>
        <v>-9.0954948717948694E-2</v>
      </c>
      <c r="O39" s="178" t="b">
        <f t="shared" si="8"/>
        <v>0</v>
      </c>
      <c r="P39" s="189">
        <f>COUNTIF(O$2:O39, TRUE)/(COUNTIF(O$2:O39,FALSE) + COUNTIF(O$2:O39, TRUE))</f>
        <v>0.47368421052631576</v>
      </c>
      <c r="Q39" s="346"/>
      <c r="R39" s="346"/>
      <c r="S39" s="346"/>
      <c r="T39" s="346"/>
      <c r="U39" s="189">
        <f>STDEV(D$2:D39)*SQRT(252)</f>
        <v>0.26678199068533232</v>
      </c>
      <c r="V39" s="189">
        <f>STDEV(L$2:L39)*SQRT(252)</f>
        <v>0.36708606132795213</v>
      </c>
    </row>
    <row r="40" spans="1:29" ht="20.100000000000001" customHeight="1" x14ac:dyDescent="0.25">
      <c r="B40" s="176">
        <v>42286</v>
      </c>
      <c r="C40" s="207">
        <v>2014.89</v>
      </c>
      <c r="D40" s="175">
        <f t="shared" si="4"/>
        <v>7.2513074703368691E-4</v>
      </c>
      <c r="E40" s="208">
        <f t="shared" si="5"/>
        <v>-4.1642092045432906E-2</v>
      </c>
      <c r="F40" s="223">
        <v>4830.47</v>
      </c>
      <c r="G40" s="175">
        <f t="shared" si="2"/>
        <v>4.0908042130295211E-3</v>
      </c>
      <c r="H40" s="208">
        <f t="shared" si="6"/>
        <v>-5.1305065105956671E-2</v>
      </c>
      <c r="I40" s="226">
        <v>351691.92</v>
      </c>
      <c r="J40" s="177">
        <v>390000</v>
      </c>
      <c r="K40" s="177">
        <f t="shared" si="9"/>
        <v>-2835.6500000000233</v>
      </c>
      <c r="L40" s="175">
        <f t="shared" si="7"/>
        <v>-7.9983906470236527E-3</v>
      </c>
      <c r="M40" s="246">
        <f t="shared" si="10"/>
        <v>-38308.080000000016</v>
      </c>
      <c r="N40" s="189">
        <f t="shared" si="11"/>
        <v>-9.8225846153846191E-2</v>
      </c>
      <c r="O40" s="246" t="b">
        <f t="shared" si="8"/>
        <v>0</v>
      </c>
      <c r="P40" s="189">
        <f>COUNTIF(O$2:O40, TRUE)/(COUNTIF(O$2:O40,FALSE) + COUNTIF(O$2:O40, TRUE))</f>
        <v>0.46153846153846156</v>
      </c>
      <c r="Q40" s="346"/>
      <c r="R40" s="346"/>
      <c r="S40" s="346"/>
      <c r="T40" s="346"/>
      <c r="U40" s="189">
        <f>STDEV(D$2:D40)*SQRT(252)</f>
        <v>0.26319098013674441</v>
      </c>
      <c r="V40" s="189">
        <f>STDEV(L$2:L40)*SQRT(252)</f>
        <v>0.36271772022566956</v>
      </c>
    </row>
    <row r="41" spans="1:29" ht="20.100000000000001" customHeight="1" x14ac:dyDescent="0.25">
      <c r="B41" s="171">
        <v>42289</v>
      </c>
      <c r="C41" s="203">
        <v>2017.46</v>
      </c>
      <c r="D41" s="175">
        <f t="shared" si="4"/>
        <v>1.2755038736605652E-3</v>
      </c>
      <c r="E41" s="204">
        <f t="shared" si="5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6"/>
        <v>-4.9700492959129462E-2</v>
      </c>
      <c r="I41" s="225">
        <v>348866.78</v>
      </c>
      <c r="J41" s="173">
        <v>390000</v>
      </c>
      <c r="K41" s="173">
        <f t="shared" si="9"/>
        <v>-2825.1399999999558</v>
      </c>
      <c r="L41" s="175">
        <f t="shared" si="7"/>
        <v>-8.0329966068027839E-3</v>
      </c>
      <c r="M41" s="180">
        <f t="shared" si="10"/>
        <v>-41133.219999999972</v>
      </c>
      <c r="N41" s="188">
        <f t="shared" si="11"/>
        <v>-0.10546979487179479</v>
      </c>
      <c r="O41" s="180" t="b">
        <f t="shared" si="8"/>
        <v>0</v>
      </c>
      <c r="P41" s="188">
        <f>COUNTIF(O$2:O41, TRUE)/(COUNTIF(O$2:O41,FALSE) + COUNTIF(O$2:O41, TRUE))</f>
        <v>0.45</v>
      </c>
      <c r="Q41" s="345"/>
      <c r="R41" s="345"/>
      <c r="S41" s="345"/>
      <c r="T41" s="345"/>
      <c r="U41" s="188">
        <f>STDEV(D$2:D41)*SQRT(252)</f>
        <v>0.25976838750277326</v>
      </c>
      <c r="V41" s="188">
        <f>STDEV(L$2:L41)*SQRT(252)</f>
        <v>0.35850362464103236</v>
      </c>
    </row>
    <row r="42" spans="1:29" ht="20.100000000000001" customHeight="1" x14ac:dyDescent="0.25">
      <c r="B42" s="171">
        <v>42290</v>
      </c>
      <c r="C42" s="203">
        <v>2003.69</v>
      </c>
      <c r="D42" s="175">
        <f t="shared" si="4"/>
        <v>-6.8254141346048899E-3</v>
      </c>
      <c r="E42" s="204">
        <f t="shared" si="5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6"/>
        <v>-5.7955103403578401E-2</v>
      </c>
      <c r="I42" s="225">
        <v>347508.59</v>
      </c>
      <c r="J42" s="173">
        <v>390000</v>
      </c>
      <c r="K42" s="173">
        <f t="shared" si="9"/>
        <v>-1358.1900000000023</v>
      </c>
      <c r="L42" s="175">
        <f t="shared" si="7"/>
        <v>-3.8931479804411363E-3</v>
      </c>
      <c r="M42" s="180">
        <f t="shared" si="10"/>
        <v>-42491.409999999974</v>
      </c>
      <c r="N42" s="188">
        <f t="shared" si="11"/>
        <v>-0.10895233333333326</v>
      </c>
      <c r="O42" s="180" t="b">
        <f t="shared" si="8"/>
        <v>1</v>
      </c>
      <c r="P42" s="188">
        <f>COUNTIF(O$2:O42, TRUE)/(COUNTIF(O$2:O42,FALSE) + COUNTIF(O$2:O42, TRUE))</f>
        <v>0.46341463414634149</v>
      </c>
      <c r="Q42" s="345"/>
      <c r="R42" s="345"/>
      <c r="S42" s="345"/>
      <c r="T42" s="345"/>
      <c r="U42" s="188">
        <f>STDEV(D$2:D42)*SQRT(252)</f>
        <v>0.2568435001245859</v>
      </c>
      <c r="V42" s="188">
        <f>STDEV(L$2:L42)*SQRT(252)</f>
        <v>0.35400225993009587</v>
      </c>
    </row>
    <row r="43" spans="1:29" ht="20.100000000000001" customHeight="1" x14ac:dyDescent="0.25">
      <c r="B43" s="171">
        <v>42291</v>
      </c>
      <c r="C43" s="209">
        <v>1994.24</v>
      </c>
      <c r="D43" s="175">
        <f t="shared" si="4"/>
        <v>-4.7162984293977837E-3</v>
      </c>
      <c r="E43" s="204">
        <f t="shared" si="5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6"/>
        <v>-6.0657540703497742E-2</v>
      </c>
      <c r="I43" s="225">
        <v>350349.65</v>
      </c>
      <c r="J43" s="173">
        <v>390000</v>
      </c>
      <c r="K43" s="173">
        <f t="shared" si="9"/>
        <v>2841.0599999999977</v>
      </c>
      <c r="L43" s="175">
        <f t="shared" si="7"/>
        <v>8.1755101363105796E-3</v>
      </c>
      <c r="M43" s="180">
        <f t="shared" si="10"/>
        <v>-39650.349999999977</v>
      </c>
      <c r="N43" s="188">
        <f t="shared" si="11"/>
        <v>-0.10166756410256404</v>
      </c>
      <c r="O43" s="180" t="b">
        <f t="shared" si="8"/>
        <v>1</v>
      </c>
      <c r="P43" s="188">
        <f>COUNTIF(O$2:O43, TRUE)/(COUNTIF(O$2:O43,FALSE) + COUNTIF(O$2:O43, TRUE))</f>
        <v>0.47619047619047616</v>
      </c>
      <c r="Q43" s="345"/>
      <c r="R43" s="345"/>
      <c r="S43" s="345"/>
      <c r="T43" s="345"/>
      <c r="U43" s="188">
        <f>STDEV(D$2:D43)*SQRT(252)</f>
        <v>0.25377333453127793</v>
      </c>
      <c r="V43" s="188">
        <f>STDEV(L$2:L43)*SQRT(252)</f>
        <v>0.35017187352757795</v>
      </c>
    </row>
    <row r="44" spans="1:29" ht="20.100000000000001" customHeight="1" x14ac:dyDescent="0.25">
      <c r="B44" s="171">
        <v>42292</v>
      </c>
      <c r="C44" s="209">
        <v>2023.86</v>
      </c>
      <c r="D44" s="175">
        <f t="shared" si="4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6"/>
        <v>-4.3521810004517048E-2</v>
      </c>
      <c r="I44" s="225">
        <v>353686.58</v>
      </c>
      <c r="J44" s="173">
        <v>390000</v>
      </c>
      <c r="K44" s="173">
        <f t="shared" si="9"/>
        <v>3336.929999999993</v>
      </c>
      <c r="L44" s="175">
        <f t="shared" si="7"/>
        <v>9.5245706681881745E-3</v>
      </c>
      <c r="M44" s="180">
        <f t="shared" si="10"/>
        <v>-36313.419999999984</v>
      </c>
      <c r="N44" s="188">
        <f t="shared" si="11"/>
        <v>-9.3111333333333296E-2</v>
      </c>
      <c r="O44" s="180" t="b">
        <f t="shared" si="8"/>
        <v>0</v>
      </c>
      <c r="P44" s="188">
        <f>COUNTIF(O$2:O44, TRUE)/(COUNTIF(O$2:O44,FALSE) + COUNTIF(O$2:O44, TRUE))</f>
        <v>0.46511627906976744</v>
      </c>
      <c r="Q44" s="345"/>
      <c r="R44" s="345"/>
      <c r="S44" s="345"/>
      <c r="T44" s="345"/>
      <c r="U44" s="188">
        <f>STDEV(D$2:D44)*SQRT(252)</f>
        <v>0.25371078720500778</v>
      </c>
      <c r="V44" s="188">
        <f>STDEV(L$2:L44)*SQRT(252)</f>
        <v>0.34666743153233776</v>
      </c>
    </row>
    <row r="45" spans="1:29" ht="20.100000000000001" customHeight="1" x14ac:dyDescent="0.25">
      <c r="B45" s="171">
        <v>42293</v>
      </c>
      <c r="C45" s="209">
        <v>2033.11</v>
      </c>
      <c r="D45" s="175">
        <f t="shared" si="4"/>
        <v>4.5704742422894868E-3</v>
      </c>
      <c r="E45" s="204">
        <f t="shared" ref="E45:E53" si="12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6"/>
        <v>-4.0263566195966029E-2</v>
      </c>
      <c r="I45" s="225">
        <v>351968.34</v>
      </c>
      <c r="J45" s="173">
        <v>390000</v>
      </c>
      <c r="K45" s="173">
        <f t="shared" si="9"/>
        <v>-1718.2399999999907</v>
      </c>
      <c r="L45" s="175">
        <f t="shared" si="7"/>
        <v>-4.8580865013311799E-3</v>
      </c>
      <c r="M45" s="180">
        <f t="shared" si="10"/>
        <v>-38031.659999999974</v>
      </c>
      <c r="N45" s="188">
        <f t="shared" si="11"/>
        <v>-9.7517076923076859E-2</v>
      </c>
      <c r="O45" s="180" t="b">
        <f t="shared" si="8"/>
        <v>0</v>
      </c>
      <c r="P45" s="188">
        <f>COUNTIF(O$2:O45, TRUE)/(COUNTIF(O$2:O45,FALSE) + COUNTIF(O$2:O45, TRUE))</f>
        <v>0.45454545454545453</v>
      </c>
      <c r="Q45" s="345"/>
      <c r="R45" s="345"/>
      <c r="S45" s="345"/>
      <c r="T45" s="345"/>
      <c r="U45" s="188">
        <f>STDEV(D$2:D45)*SQRT(252)</f>
        <v>0.25100684114352073</v>
      </c>
      <c r="V45" s="188">
        <f>STDEV(L$2:L45)*SQRT(252)</f>
        <v>0.34273345139982825</v>
      </c>
    </row>
    <row r="46" spans="1:29" ht="20.100000000000001" customHeight="1" x14ac:dyDescent="0.25">
      <c r="B46" s="186">
        <v>42296</v>
      </c>
      <c r="C46" s="210">
        <v>2033.66</v>
      </c>
      <c r="D46" s="175">
        <f t="shared" si="4"/>
        <v>2.7052151629778119E-4</v>
      </c>
      <c r="E46" s="211">
        <f t="shared" si="12"/>
        <v>-3.2714369970129928E-2</v>
      </c>
      <c r="F46" s="224">
        <v>4905.47</v>
      </c>
      <c r="G46" s="175">
        <f t="shared" si="2"/>
        <v>3.843092154403217E-3</v>
      </c>
      <c r="H46" s="208">
        <f t="shared" si="6"/>
        <v>-3.657521063691882E-2</v>
      </c>
      <c r="I46" s="226">
        <v>353616.79</v>
      </c>
      <c r="J46" s="177">
        <v>390000</v>
      </c>
      <c r="K46" s="177">
        <f t="shared" si="9"/>
        <v>1648.4499999999534</v>
      </c>
      <c r="L46" s="175">
        <f t="shared" si="7"/>
        <v>4.6835178414057167E-3</v>
      </c>
      <c r="M46" s="187">
        <f t="shared" si="10"/>
        <v>-36383.210000000021</v>
      </c>
      <c r="N46" s="189">
        <f t="shared" si="11"/>
        <v>-9.3290282051282106E-2</v>
      </c>
      <c r="O46" s="187" t="b">
        <f t="shared" si="8"/>
        <v>1</v>
      </c>
      <c r="P46" s="189">
        <f>COUNTIF(O$2:O46, TRUE)/(COUNTIF(O$2:O46,FALSE) + COUNTIF(O$2:O46, TRUE))</f>
        <v>0.46666666666666667</v>
      </c>
      <c r="Q46" s="346"/>
      <c r="R46" s="346"/>
      <c r="S46" s="346"/>
      <c r="T46" s="346"/>
      <c r="U46" s="189">
        <f>STDEV(D$2:D46)*SQRT(252)</f>
        <v>0.24808092074482793</v>
      </c>
      <c r="V46" s="189">
        <f>STDEV(L$2:L46)*SQRT(252)</f>
        <v>0.33890448472804552</v>
      </c>
    </row>
    <row r="47" spans="1:29" ht="20.100000000000001" customHeight="1" x14ac:dyDescent="0.25">
      <c r="B47" s="186">
        <v>42297</v>
      </c>
      <c r="C47" s="210">
        <v>2030.77</v>
      </c>
      <c r="D47" s="175">
        <f t="shared" si="4"/>
        <v>-1.4210831702448296E-3</v>
      </c>
      <c r="E47" s="211">
        <f t="shared" si="12"/>
        <v>-3.4088963299785044E-2</v>
      </c>
      <c r="F47" s="224">
        <v>4880.97</v>
      </c>
      <c r="G47" s="175">
        <f t="shared" si="2"/>
        <v>-4.9944245913235629E-3</v>
      </c>
      <c r="H47" s="208">
        <f t="shared" si="6"/>
        <v>-4.1386963096804522E-2</v>
      </c>
      <c r="I47" s="226">
        <v>352193</v>
      </c>
      <c r="J47" s="177">
        <v>395000</v>
      </c>
      <c r="K47" s="177">
        <f t="shared" si="9"/>
        <v>-6423.789999999979</v>
      </c>
      <c r="L47" s="175">
        <f t="shared" si="7"/>
        <v>-1.8165964348016334E-2</v>
      </c>
      <c r="M47" s="187">
        <f t="shared" si="10"/>
        <v>-42807</v>
      </c>
      <c r="N47" s="189">
        <f t="shared" si="11"/>
        <v>-0.10837215189873417</v>
      </c>
      <c r="O47" s="187" t="b">
        <f t="shared" si="8"/>
        <v>0</v>
      </c>
      <c r="P47" s="189">
        <f>COUNTIF(O$2:O47, TRUE)/(COUNTIF(O$2:O47,FALSE) + COUNTIF(O$2:O47, TRUE))</f>
        <v>0.45652173913043476</v>
      </c>
      <c r="Q47" s="346"/>
      <c r="R47" s="346"/>
      <c r="S47" s="346"/>
      <c r="T47" s="346"/>
      <c r="U47" s="189">
        <f>STDEV(D$2:D47)*SQRT(252)</f>
        <v>0.24525265348900513</v>
      </c>
      <c r="V47" s="189">
        <f>STDEV(L$2:L47)*SQRT(252)</f>
        <v>0.33783134123152347</v>
      </c>
    </row>
    <row r="48" spans="1:29" ht="20.100000000000001" customHeight="1" x14ac:dyDescent="0.25">
      <c r="B48" s="186">
        <v>42298</v>
      </c>
      <c r="C48" s="210">
        <v>2018.94</v>
      </c>
      <c r="D48" s="175">
        <f t="shared" si="4"/>
        <v>-5.8253765812967141E-3</v>
      </c>
      <c r="E48" s="211">
        <f t="shared" si="12"/>
        <v>-3.9715758832594511E-2</v>
      </c>
      <c r="F48" s="224">
        <v>4840.12</v>
      </c>
      <c r="G48" s="175">
        <f t="shared" si="2"/>
        <v>-8.3692380817748033E-3</v>
      </c>
      <c r="H48" s="208">
        <f t="shared" si="6"/>
        <v>-4.9409823830940537E-2</v>
      </c>
      <c r="I48" s="226">
        <v>350311.35</v>
      </c>
      <c r="J48" s="177">
        <v>400000</v>
      </c>
      <c r="K48" s="177">
        <f t="shared" si="9"/>
        <v>-6881.6500000000233</v>
      </c>
      <c r="L48" s="175">
        <f t="shared" si="7"/>
        <v>-1.9539428665532883E-2</v>
      </c>
      <c r="M48" s="187">
        <f t="shared" si="10"/>
        <v>-49688.650000000023</v>
      </c>
      <c r="N48" s="189">
        <f t="shared" si="11"/>
        <v>-0.12422162500000006</v>
      </c>
      <c r="O48" s="187" t="b">
        <f t="shared" si="8"/>
        <v>0</v>
      </c>
      <c r="P48" s="189">
        <f>COUNTIF(O$2:O48, TRUE)/(COUNTIF(O$2:O48,FALSE) + COUNTIF(O$2:O48, TRUE))</f>
        <v>0.44680851063829785</v>
      </c>
      <c r="Q48" s="346"/>
      <c r="R48" s="346"/>
      <c r="S48" s="346"/>
      <c r="T48" s="346"/>
      <c r="U48" s="189">
        <f>STDEV(D$2:D48)*SQRT(252)</f>
        <v>0.24281424638505256</v>
      </c>
      <c r="V48" s="189">
        <f>STDEV(L$2:L48)*SQRT(252)</f>
        <v>0.33709966873657005</v>
      </c>
    </row>
    <row r="49" spans="2:23" ht="20.100000000000001" customHeight="1" x14ac:dyDescent="0.25">
      <c r="B49" s="186">
        <v>42299</v>
      </c>
      <c r="C49" s="210">
        <v>2052.5100000000002</v>
      </c>
      <c r="D49" s="175">
        <f t="shared" si="4"/>
        <v>1.6627537222502979E-2</v>
      </c>
      <c r="E49" s="211">
        <f t="shared" si="12"/>
        <v>-2.3748596868400446E-2</v>
      </c>
      <c r="F49" s="224">
        <v>4920.05</v>
      </c>
      <c r="G49" s="175">
        <f t="shared" si="2"/>
        <v>1.6514053370577649E-2</v>
      </c>
      <c r="H49" s="208">
        <f t="shared" si="6"/>
        <v>-3.3711726928137876E-2</v>
      </c>
      <c r="I49" s="226">
        <v>353557.89</v>
      </c>
      <c r="J49" s="177">
        <v>400000</v>
      </c>
      <c r="K49" s="177">
        <f t="shared" si="9"/>
        <v>3246.5400000000373</v>
      </c>
      <c r="L49" s="175">
        <f t="shared" si="7"/>
        <v>9.2675843931406664E-3</v>
      </c>
      <c r="M49" s="187">
        <f t="shared" si="10"/>
        <v>-46442.109999999986</v>
      </c>
      <c r="N49" s="189">
        <f t="shared" si="11"/>
        <v>-0.11610527499999997</v>
      </c>
      <c r="O49" s="187" t="b">
        <f t="shared" si="8"/>
        <v>0</v>
      </c>
      <c r="P49" s="189">
        <f>COUNTIF(O$2:O49, TRUE)/(COUNTIF(O$2:O49,FALSE) + COUNTIF(O$2:O49, TRUE))</f>
        <v>0.4375</v>
      </c>
      <c r="Q49" s="346"/>
      <c r="R49" s="346"/>
      <c r="S49" s="346"/>
      <c r="T49" s="346"/>
      <c r="U49" s="189">
        <f>STDEV(D$2:D49)*SQRT(252)</f>
        <v>0.24351413133026822</v>
      </c>
      <c r="V49" s="189">
        <f>STDEV(L$2:L49)*SQRT(252)</f>
        <v>0.33420544036824928</v>
      </c>
    </row>
    <row r="50" spans="2:23" ht="20.100000000000001" customHeight="1" x14ac:dyDescent="0.25">
      <c r="B50" s="186">
        <v>42300</v>
      </c>
      <c r="C50" s="210">
        <v>2075.15</v>
      </c>
      <c r="D50" s="175">
        <f t="shared" si="4"/>
        <v>1.103039692863853E-2</v>
      </c>
      <c r="E50" s="211">
        <f t="shared" si="12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6"/>
        <v>-1.1752459885696358E-2</v>
      </c>
      <c r="I50" s="226">
        <v>354948.58</v>
      </c>
      <c r="J50" s="177">
        <v>400000</v>
      </c>
      <c r="K50" s="177">
        <f t="shared" ref="K50:K55" si="13">I50-I49-J50+J49</f>
        <v>1390.6900000000023</v>
      </c>
      <c r="L50" s="175">
        <f t="shared" si="7"/>
        <v>3.93341526051081E-3</v>
      </c>
      <c r="M50" s="187">
        <f t="shared" si="10"/>
        <v>-45051.419999999984</v>
      </c>
      <c r="N50" s="189">
        <f t="shared" si="11"/>
        <v>-0.11262854999999997</v>
      </c>
      <c r="O50" s="187" t="b">
        <f t="shared" si="8"/>
        <v>0</v>
      </c>
      <c r="P50" s="189">
        <f>COUNTIF(O$2:O50, TRUE)/(COUNTIF(O$2:O50,FALSE) + COUNTIF(O$2:O50, TRUE))</f>
        <v>0.42857142857142855</v>
      </c>
      <c r="Q50" s="346"/>
      <c r="R50" s="346"/>
      <c r="S50" s="346"/>
      <c r="T50" s="346"/>
      <c r="U50" s="189">
        <f>STDEV(D$2:D50)*SQRT(252)</f>
        <v>0.2423280462112376</v>
      </c>
      <c r="V50" s="189">
        <f>STDEV(L$2:L50)*SQRT(252)</f>
        <v>0.33078274353135961</v>
      </c>
    </row>
    <row r="51" spans="2:23" ht="20.100000000000001" customHeight="1" x14ac:dyDescent="0.25">
      <c r="B51" s="171">
        <v>42303</v>
      </c>
      <c r="C51" s="203">
        <v>2071.1799999999998</v>
      </c>
      <c r="D51" s="175">
        <f t="shared" si="4"/>
        <v>-1.9131147145990672E-3</v>
      </c>
      <c r="E51" s="204">
        <f t="shared" si="12"/>
        <v>-1.4868438576130695E-2</v>
      </c>
      <c r="F51" s="221">
        <v>5034.7</v>
      </c>
      <c r="G51" s="175">
        <f t="shared" si="2"/>
        <v>5.644036201325446E-4</v>
      </c>
      <c r="H51" s="206">
        <f t="shared" si="6"/>
        <v>-1.1194689396468763E-2</v>
      </c>
      <c r="I51" s="225">
        <v>346950.72</v>
      </c>
      <c r="J51" s="173">
        <v>400000</v>
      </c>
      <c r="K51" s="173">
        <f t="shared" si="13"/>
        <v>-7997.8600000000442</v>
      </c>
      <c r="L51" s="175">
        <f t="shared" si="7"/>
        <v>-2.2532446812437011E-2</v>
      </c>
      <c r="M51" s="180">
        <f t="shared" si="10"/>
        <v>-53049.280000000028</v>
      </c>
      <c r="N51" s="188">
        <f t="shared" si="11"/>
        <v>-0.13262320000000008</v>
      </c>
      <c r="O51" s="180" t="b">
        <f t="shared" si="8"/>
        <v>0</v>
      </c>
      <c r="P51" s="188">
        <f>COUNTIF(O$2:O51, TRUE)/(COUNTIF(O$2:O51,FALSE) + COUNTIF(O$2:O51, TRUE))</f>
        <v>0.42</v>
      </c>
      <c r="Q51" s="345"/>
      <c r="R51" s="345"/>
      <c r="S51" s="345"/>
      <c r="T51" s="345"/>
      <c r="U51" s="188">
        <f>STDEV(D$2:D51)*SQRT(252)</f>
        <v>0.23982354896201158</v>
      </c>
      <c r="V51" s="188">
        <f>STDEV(L$2:L51)*SQRT(252)</f>
        <v>0.33116253966336157</v>
      </c>
    </row>
    <row r="52" spans="2:23" ht="20.100000000000001" customHeight="1" x14ac:dyDescent="0.25">
      <c r="B52" s="171">
        <v>42304</v>
      </c>
      <c r="C52" s="203">
        <v>2065.89</v>
      </c>
      <c r="D52" s="175">
        <f t="shared" si="4"/>
        <v>-2.5540995953997063E-3</v>
      </c>
      <c r="E52" s="204">
        <f t="shared" si="12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6"/>
        <v>-1.2088300567590428E-2</v>
      </c>
      <c r="I52" s="225">
        <v>345588.46</v>
      </c>
      <c r="J52" s="173">
        <v>400000</v>
      </c>
      <c r="K52" s="173">
        <f t="shared" si="13"/>
        <v>-1362.2599999999511</v>
      </c>
      <c r="L52" s="175">
        <f t="shared" si="7"/>
        <v>-3.9263789393489401E-3</v>
      </c>
      <c r="M52" s="180">
        <f t="shared" si="10"/>
        <v>-54411.539999999979</v>
      </c>
      <c r="N52" s="188">
        <f t="shared" si="11"/>
        <v>-0.13602884999999995</v>
      </c>
      <c r="O52" s="180" t="b">
        <f t="shared" si="8"/>
        <v>0</v>
      </c>
      <c r="P52" s="188">
        <f>COUNTIF(O$2:O52, TRUE)/(COUNTIF(O$2:O52,FALSE) + COUNTIF(O$2:O52, TRUE))</f>
        <v>0.41176470588235292</v>
      </c>
      <c r="Q52" s="345"/>
      <c r="R52" s="345"/>
      <c r="S52" s="345"/>
      <c r="T52" s="345"/>
      <c r="U52" s="188">
        <f>STDEV(D$2:D52)*SQRT(252)</f>
        <v>0.2374229026669446</v>
      </c>
      <c r="V52" s="188">
        <f>STDEV(L$2:L52)*SQRT(252)</f>
        <v>0.32784098915228843</v>
      </c>
    </row>
    <row r="53" spans="2:23" ht="20.100000000000001" customHeight="1" x14ac:dyDescent="0.25">
      <c r="B53" s="171">
        <v>42305</v>
      </c>
      <c r="C53" s="209">
        <v>2090.31</v>
      </c>
      <c r="D53" s="175">
        <f t="shared" si="4"/>
        <v>1.1820571279206576E-2</v>
      </c>
      <c r="E53" s="204">
        <f t="shared" si="12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6"/>
        <v>7.836282577527706E-4</v>
      </c>
      <c r="I53" s="225">
        <v>353348</v>
      </c>
      <c r="J53" s="173">
        <v>400000</v>
      </c>
      <c r="K53" s="173">
        <f t="shared" si="13"/>
        <v>7759.539999999979</v>
      </c>
      <c r="L53" s="175">
        <f t="shared" si="7"/>
        <v>2.2453122421969698E-2</v>
      </c>
      <c r="M53" s="180">
        <f t="shared" si="10"/>
        <v>-46652</v>
      </c>
      <c r="N53" s="188">
        <f t="shared" si="11"/>
        <v>-0.11663</v>
      </c>
      <c r="O53" s="180" t="b">
        <f t="shared" si="8"/>
        <v>1</v>
      </c>
      <c r="P53" s="188">
        <f>COUNTIF(O$2:O53, TRUE)/(COUNTIF(O$2:O53,FALSE) + COUNTIF(O$2:O53, TRUE))</f>
        <v>0.42307692307692307</v>
      </c>
      <c r="Q53" s="345"/>
      <c r="R53" s="345"/>
      <c r="S53" s="345"/>
      <c r="T53" s="345"/>
      <c r="U53" s="188">
        <f>STDEV(D$2:D53)*SQRT(252)</f>
        <v>0.23656092323249167</v>
      </c>
      <c r="V53" s="188">
        <f>STDEV(L$2:L53)*SQRT(252)</f>
        <v>0.32865868284465172</v>
      </c>
    </row>
    <row r="54" spans="2:23" ht="20.100000000000001" customHeight="1" x14ac:dyDescent="0.25">
      <c r="B54" s="171">
        <v>42306</v>
      </c>
      <c r="C54" s="209">
        <v>2089.41</v>
      </c>
      <c r="D54" s="175">
        <f t="shared" si="4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6"/>
        <v>-3.4232181786042742E-3</v>
      </c>
      <c r="I54" s="225">
        <v>349127.55</v>
      </c>
      <c r="J54" s="173">
        <v>400000</v>
      </c>
      <c r="K54" s="173">
        <f t="shared" si="13"/>
        <v>-4220.4500000000116</v>
      </c>
      <c r="L54" s="175">
        <f t="shared" si="7"/>
        <v>-1.1944174015418261E-2</v>
      </c>
      <c r="M54" s="180">
        <f t="shared" si="10"/>
        <v>-50872.450000000012</v>
      </c>
      <c r="N54" s="188">
        <f t="shared" si="11"/>
        <v>-0.12718112500000003</v>
      </c>
      <c r="O54" s="180" t="b">
        <f t="shared" si="8"/>
        <v>0</v>
      </c>
      <c r="P54" s="188">
        <f>COUNTIF(O$2:O54, TRUE)/(COUNTIF(O$2:O54,FALSE) + COUNTIF(O$2:O54, TRUE))</f>
        <v>0.41509433962264153</v>
      </c>
      <c r="Q54" s="345"/>
      <c r="R54" s="345"/>
      <c r="S54" s="345"/>
      <c r="T54" s="345"/>
      <c r="U54" s="188">
        <f>STDEV(D$2:D54)*SQRT(252)</f>
        <v>0.23423209631374151</v>
      </c>
      <c r="V54" s="188">
        <f>STDEV(L$2:L54)*SQRT(252)</f>
        <v>0.32641026079746971</v>
      </c>
    </row>
    <row r="55" spans="2:23" ht="20.100000000000001" customHeight="1" x14ac:dyDescent="0.25">
      <c r="B55" s="171">
        <v>42307</v>
      </c>
      <c r="C55" s="209">
        <v>2079.36</v>
      </c>
      <c r="D55" s="175">
        <f t="shared" si="4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6"/>
        <v>-7.4533063613331143E-3</v>
      </c>
      <c r="I55" s="515">
        <v>351138.5</v>
      </c>
      <c r="J55" s="173">
        <v>400000</v>
      </c>
      <c r="K55" s="173">
        <f t="shared" si="13"/>
        <v>2010.9500000000116</v>
      </c>
      <c r="L55" s="175">
        <f t="shared" si="7"/>
        <v>5.759929286588846E-3</v>
      </c>
      <c r="M55" s="180">
        <f t="shared" si="10"/>
        <v>-48861.5</v>
      </c>
      <c r="N55" s="188">
        <f t="shared" si="11"/>
        <v>-0.12215375000000001</v>
      </c>
      <c r="O55" s="180" t="b">
        <f t="shared" si="8"/>
        <v>1</v>
      </c>
      <c r="P55" s="188">
        <f>COUNTIF(O$2:O55, TRUE)/(COUNTIF(O$2:O55,FALSE) + COUNTIF(O$2:O55, TRUE))</f>
        <v>0.42592592592592593</v>
      </c>
      <c r="Q55" s="345"/>
      <c r="R55" s="345"/>
      <c r="S55" s="345"/>
      <c r="T55" s="345"/>
      <c r="U55" s="188">
        <f>STDEV(D$2:D55)*SQRT(252)</f>
        <v>0.23220468856265722</v>
      </c>
      <c r="V55" s="188">
        <f>STDEV(L$2:L55)*SQRT(252)</f>
        <v>0.32355647040832186</v>
      </c>
    </row>
    <row r="56" spans="2:23" ht="20.100000000000001" customHeight="1" x14ac:dyDescent="0.25">
      <c r="B56" s="176">
        <v>42310</v>
      </c>
      <c r="C56" s="213">
        <v>2104.0500000000002</v>
      </c>
      <c r="D56" s="175">
        <f t="shared" si="4"/>
        <v>1.187384579870732E-2</v>
      </c>
      <c r="E56" s="214">
        <f t="shared" ref="E56:E62" si="14">(C56-$C$2)/$C$2</f>
        <v>7.6577690683212233E-4</v>
      </c>
      <c r="F56" s="224">
        <v>5053.75</v>
      </c>
      <c r="G56" s="175">
        <f t="shared" si="2"/>
        <v>0</v>
      </c>
      <c r="H56" s="208">
        <f t="shared" si="6"/>
        <v>-7.4533063613331143E-3</v>
      </c>
      <c r="I56" s="226">
        <v>356948.81</v>
      </c>
      <c r="J56" s="177">
        <v>400000</v>
      </c>
      <c r="K56" s="177">
        <f t="shared" ref="K56:K87" si="15">I56-I55-J56+J55</f>
        <v>5810.3099999999977</v>
      </c>
      <c r="L56" s="175">
        <f t="shared" si="7"/>
        <v>1.6547060490376297E-2</v>
      </c>
      <c r="M56" s="187">
        <f t="shared" si="10"/>
        <v>-43051.19</v>
      </c>
      <c r="N56" s="189">
        <f t="shared" si="11"/>
        <v>-0.107627975</v>
      </c>
      <c r="O56" s="187" t="b">
        <f t="shared" si="8"/>
        <v>1</v>
      </c>
      <c r="P56" s="189">
        <f>COUNTIF(O$2:O56, TRUE)/(COUNTIF(O$2:O56,FALSE) + COUNTIF(O$2:O56, TRUE))</f>
        <v>0.43636363636363634</v>
      </c>
      <c r="Q56" s="346"/>
      <c r="R56" s="346"/>
      <c r="S56" s="346"/>
      <c r="T56" s="346"/>
      <c r="U56" s="189">
        <f>STDEV(D$2:D56)*SQRT(252)</f>
        <v>0.23145429539624826</v>
      </c>
      <c r="V56" s="189">
        <f>STDEV(L$2:L56)*SQRT(252)</f>
        <v>0.32260027221647702</v>
      </c>
    </row>
    <row r="57" spans="2:23" ht="20.100000000000001" customHeight="1" x14ac:dyDescent="0.25">
      <c r="B57" s="176">
        <v>42311</v>
      </c>
      <c r="C57" s="213">
        <v>2109.79</v>
      </c>
      <c r="D57" s="175">
        <f t="shared" si="4"/>
        <v>2.7280720515195844E-3</v>
      </c>
      <c r="E57" s="214">
        <f t="shared" si="14"/>
        <v>3.4959380529289343E-3</v>
      </c>
      <c r="F57" s="224">
        <v>5145.13</v>
      </c>
      <c r="G57" s="175">
        <f t="shared" si="2"/>
        <v>1.8081622557506824E-2</v>
      </c>
      <c r="H57" s="208">
        <f t="shared" si="6"/>
        <v>1.049354832374262E-2</v>
      </c>
      <c r="I57" s="226">
        <v>362269.44</v>
      </c>
      <c r="J57" s="177">
        <v>400000</v>
      </c>
      <c r="K57" s="177">
        <f t="shared" si="15"/>
        <v>5320.6300000000047</v>
      </c>
      <c r="L57" s="175">
        <f t="shared" si="7"/>
        <v>1.4905862832264393E-2</v>
      </c>
      <c r="M57" s="187">
        <f t="shared" si="10"/>
        <v>-37730.559999999998</v>
      </c>
      <c r="N57" s="189">
        <f t="shared" si="11"/>
        <v>-9.4326399999999991E-2</v>
      </c>
      <c r="O57" s="187" t="b">
        <f t="shared" si="8"/>
        <v>1</v>
      </c>
      <c r="P57" s="189">
        <f>COUNTIF(O$2:O57, TRUE)/(COUNTIF(O$2:O57,FALSE) + COUNTIF(O$2:O57, TRUE))</f>
        <v>0.44642857142857145</v>
      </c>
      <c r="Q57" s="346"/>
      <c r="R57" s="346"/>
      <c r="S57" s="346"/>
      <c r="T57" s="346"/>
      <c r="U57" s="189">
        <f>STDEV(D$2:D57)*SQRT(252)</f>
        <v>0.22936919812964679</v>
      </c>
      <c r="V57" s="189">
        <f>STDEV(L$2:L57)*SQRT(252)</f>
        <v>0.32122906847311467</v>
      </c>
    </row>
    <row r="58" spans="2:23" ht="20.100000000000001" customHeight="1" x14ac:dyDescent="0.25">
      <c r="B58" s="176">
        <v>42312</v>
      </c>
      <c r="C58" s="213">
        <v>2102.31</v>
      </c>
      <c r="D58" s="175">
        <f t="shared" si="4"/>
        <v>-3.5453765540646312E-3</v>
      </c>
      <c r="E58" s="214">
        <f t="shared" si="14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6"/>
        <v>9.9730934658365071E-3</v>
      </c>
      <c r="I58" s="226">
        <v>361654.42</v>
      </c>
      <c r="J58" s="177">
        <v>400000</v>
      </c>
      <c r="K58" s="177">
        <f t="shared" si="15"/>
        <v>-615.02000000001863</v>
      </c>
      <c r="L58" s="175">
        <f t="shared" si="7"/>
        <v>-1.697686672107972E-3</v>
      </c>
      <c r="M58" s="187">
        <f t="shared" si="10"/>
        <v>-38345.580000000016</v>
      </c>
      <c r="N58" s="189">
        <f t="shared" si="11"/>
        <v>-9.5863950000000045E-2</v>
      </c>
      <c r="O58" s="187" t="b">
        <f t="shared" si="8"/>
        <v>1</v>
      </c>
      <c r="P58" s="189">
        <f>COUNTIF(O$2:O58, TRUE)/(COUNTIF(O$2:O58,FALSE) + COUNTIF(O$2:O58, TRUE))</f>
        <v>0.45614035087719296</v>
      </c>
      <c r="Q58" s="346"/>
      <c r="R58" s="346"/>
      <c r="S58" s="346"/>
      <c r="T58" s="346"/>
      <c r="U58" s="189">
        <f>STDEV(D$2:D58)*SQRT(252)</f>
        <v>0.22741079678230972</v>
      </c>
      <c r="V58" s="189">
        <f>STDEV(L$2:L58)*SQRT(252)</f>
        <v>0.31831780697519846</v>
      </c>
    </row>
    <row r="59" spans="2:23" ht="20.100000000000001" customHeight="1" x14ac:dyDescent="0.25">
      <c r="B59" s="176">
        <v>42313</v>
      </c>
      <c r="C59" s="213">
        <v>2099.9299999999998</v>
      </c>
      <c r="D59" s="175">
        <f t="shared" si="4"/>
        <v>-1.1320880364932427E-3</v>
      </c>
      <c r="E59" s="214">
        <f t="shared" si="14"/>
        <v>-1.1938509541295915E-3</v>
      </c>
      <c r="F59" s="224">
        <v>5127.74</v>
      </c>
      <c r="G59" s="175">
        <f t="shared" si="2"/>
        <v>-2.8663213080069895E-3</v>
      </c>
      <c r="H59" s="208">
        <f t="shared" si="6"/>
        <v>7.0781860675216456E-3</v>
      </c>
      <c r="I59" s="226">
        <v>351667.44</v>
      </c>
      <c r="J59" s="177">
        <v>400000</v>
      </c>
      <c r="K59" s="177">
        <f t="shared" si="15"/>
        <v>-9986.9799999999814</v>
      </c>
      <c r="L59" s="175">
        <f t="shared" si="7"/>
        <v>-2.7614704667510995E-2</v>
      </c>
      <c r="M59" s="187">
        <f t="shared" si="10"/>
        <v>-48332.56</v>
      </c>
      <c r="N59" s="189">
        <f t="shared" si="11"/>
        <v>-0.12083139999999999</v>
      </c>
      <c r="O59" s="187" t="b">
        <f t="shared" ref="O59:O90" si="16">L59&gt;D59</f>
        <v>0</v>
      </c>
      <c r="P59" s="189">
        <f>COUNTIF(O$2:O59, TRUE)/(COUNTIF(O$2:O59,FALSE) + COUNTIF(O$2:O59, TRUE))</f>
        <v>0.44827586206896552</v>
      </c>
      <c r="Q59" s="346"/>
      <c r="R59" s="346"/>
      <c r="S59" s="346"/>
      <c r="T59" s="346"/>
      <c r="U59" s="189">
        <f>STDEV(D$2:D59)*SQRT(252)</f>
        <v>0.2253860839795564</v>
      </c>
      <c r="V59" s="189">
        <f>STDEV(L$2:L59)*SQRT(252)</f>
        <v>0.32078118980306136</v>
      </c>
    </row>
    <row r="60" spans="2:23" ht="20.100000000000001" customHeight="1" x14ac:dyDescent="0.25">
      <c r="B60" s="176">
        <v>42314</v>
      </c>
      <c r="C60" s="220">
        <v>2099.1999999999998</v>
      </c>
      <c r="D60" s="175">
        <f t="shared" si="4"/>
        <v>-3.4763063530689989E-4</v>
      </c>
      <c r="E60" s="214">
        <f t="shared" si="14"/>
        <v>-1.5410665702708455E-3</v>
      </c>
      <c r="F60" s="224">
        <v>5147.12</v>
      </c>
      <c r="G60" s="175">
        <f t="shared" si="2"/>
        <v>3.7794427954615699E-3</v>
      </c>
      <c r="H60" s="208">
        <f t="shared" si="6"/>
        <v>1.0884380462321047E-2</v>
      </c>
      <c r="I60" s="226">
        <v>351454.25</v>
      </c>
      <c r="J60" s="177">
        <v>400000</v>
      </c>
      <c r="K60" s="177">
        <f t="shared" si="15"/>
        <v>-213.19000000000233</v>
      </c>
      <c r="L60" s="175">
        <f t="shared" si="7"/>
        <v>-6.0622615502874632E-4</v>
      </c>
      <c r="M60" s="187">
        <f t="shared" si="10"/>
        <v>-48545.75</v>
      </c>
      <c r="N60" s="189">
        <f t="shared" si="11"/>
        <v>-0.121364375</v>
      </c>
      <c r="O60" s="187" t="b">
        <f t="shared" si="16"/>
        <v>0</v>
      </c>
      <c r="P60" s="189">
        <f>COUNTIF(O$2:O60, TRUE)/(COUNTIF(O$2:O60,FALSE) + COUNTIF(O$2:O60, TRUE))</f>
        <v>0.44067796610169491</v>
      </c>
      <c r="Q60" s="346"/>
      <c r="R60" s="346"/>
      <c r="S60" s="346"/>
      <c r="T60" s="346"/>
      <c r="U60" s="189">
        <f>STDEV(D$2:D60)*SQRT(252)</f>
        <v>0.22340202899589548</v>
      </c>
      <c r="V60" s="189">
        <f>STDEV(L$2:L60)*SQRT(252)</f>
        <v>0.31795506965896425</v>
      </c>
      <c r="W60" s="218"/>
    </row>
    <row r="61" spans="2:23" ht="20.100000000000001" customHeight="1" x14ac:dyDescent="0.25">
      <c r="B61" s="171">
        <v>42317</v>
      </c>
      <c r="C61" s="203">
        <v>2078.58</v>
      </c>
      <c r="D61" s="175">
        <f t="shared" si="4"/>
        <v>-9.8227896341462895E-3</v>
      </c>
      <c r="E61" s="204">
        <f t="shared" si="14"/>
        <v>-1.1348718631685149E-2</v>
      </c>
      <c r="F61" s="221">
        <v>5095.3</v>
      </c>
      <c r="G61" s="175">
        <f t="shared" si="2"/>
        <v>-1.0067766051694873E-2</v>
      </c>
      <c r="H61" s="206">
        <f t="shared" si="6"/>
        <v>7.0703301451388806E-4</v>
      </c>
      <c r="I61" s="225">
        <v>347015.14</v>
      </c>
      <c r="J61" s="173">
        <v>400000</v>
      </c>
      <c r="K61" s="173">
        <f t="shared" si="15"/>
        <v>-4439.109999999986</v>
      </c>
      <c r="L61" s="175">
        <f t="shared" si="7"/>
        <v>-1.2630690907849275E-2</v>
      </c>
      <c r="M61" s="180">
        <f t="shared" si="10"/>
        <v>-52984.859999999986</v>
      </c>
      <c r="N61" s="188">
        <f t="shared" si="11"/>
        <v>-0.13246214999999997</v>
      </c>
      <c r="O61" s="180" t="b">
        <f t="shared" si="16"/>
        <v>0</v>
      </c>
      <c r="P61" s="188">
        <f>COUNTIF(O$2:O61, TRUE)/(COUNTIF(O$2:O61,FALSE) + COUNTIF(O$2:O61, TRUE))</f>
        <v>0.43333333333333335</v>
      </c>
      <c r="Q61" s="345"/>
      <c r="R61" s="345"/>
      <c r="S61" s="345"/>
      <c r="T61" s="345"/>
      <c r="U61" s="188">
        <f>STDEV(D$2:D61)*SQRT(252)</f>
        <v>0.2224096817728117</v>
      </c>
      <c r="V61" s="188">
        <f>STDEV(L$2:L61)*SQRT(252)</f>
        <v>0.31620783635013966</v>
      </c>
    </row>
    <row r="62" spans="2:23" ht="20.100000000000001" customHeight="1" x14ac:dyDescent="0.25">
      <c r="B62" s="171">
        <v>42318</v>
      </c>
      <c r="C62" s="203">
        <v>2081.7199999999998</v>
      </c>
      <c r="D62" s="175">
        <f t="shared" si="4"/>
        <v>1.5106466914912454E-3</v>
      </c>
      <c r="E62" s="204">
        <f t="shared" si="14"/>
        <v>-9.8552158444475246E-3</v>
      </c>
      <c r="F62" s="221">
        <v>5083.24</v>
      </c>
      <c r="G62" s="175">
        <f t="shared" si="2"/>
        <v>-2.3668871312779228E-3</v>
      </c>
      <c r="H62" s="206">
        <f t="shared" si="6"/>
        <v>-1.6615275841074762E-3</v>
      </c>
      <c r="I62" s="225">
        <v>346488.34</v>
      </c>
      <c r="J62" s="173">
        <v>400000</v>
      </c>
      <c r="K62" s="173">
        <f t="shared" si="15"/>
        <v>-526.79999999998836</v>
      </c>
      <c r="L62" s="175">
        <f t="shared" si="7"/>
        <v>-1.5180893836504894E-3</v>
      </c>
      <c r="M62" s="180">
        <f t="shared" ref="M62:M93" si="17">I62-J62</f>
        <v>-53511.659999999974</v>
      </c>
      <c r="N62" s="188">
        <f t="shared" ref="N62:N93" si="18">M62/J62</f>
        <v>-0.13377914999999993</v>
      </c>
      <c r="O62" s="180" t="b">
        <f t="shared" si="16"/>
        <v>0</v>
      </c>
      <c r="P62" s="188">
        <f>COUNTIF(O$2:O62, TRUE)/(COUNTIF(O$2:O62,FALSE) + COUNTIF(O$2:O62, TRUE))</f>
        <v>0.42622950819672129</v>
      </c>
      <c r="Q62" s="345"/>
      <c r="R62" s="345"/>
      <c r="S62" s="345"/>
      <c r="T62" s="345"/>
      <c r="U62" s="188">
        <f>STDEV(D$2:D62)*SQRT(252)</f>
        <v>0.22054140197015909</v>
      </c>
      <c r="V62" s="188">
        <f>STDEV(L$2:L62)*SQRT(252)</f>
        <v>0.31352177036879675</v>
      </c>
    </row>
    <row r="63" spans="2:23" ht="20.100000000000001" customHeight="1" x14ac:dyDescent="0.25">
      <c r="B63" s="171">
        <v>42319</v>
      </c>
      <c r="C63" s="203">
        <v>2075</v>
      </c>
      <c r="D63" s="175">
        <f t="shared" si="4"/>
        <v>-3.2280998405164003E-3</v>
      </c>
      <c r="E63" s="204">
        <f t="shared" ref="E63:E84" si="19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6"/>
        <v>-4.8471041106112655E-3</v>
      </c>
      <c r="I63" s="225">
        <v>341384.62</v>
      </c>
      <c r="J63" s="173">
        <v>400000</v>
      </c>
      <c r="K63" s="173">
        <f t="shared" si="15"/>
        <v>-5103.7200000000303</v>
      </c>
      <c r="L63" s="175">
        <f t="shared" si="7"/>
        <v>-1.472984632036977E-2</v>
      </c>
      <c r="M63" s="180">
        <f t="shared" si="17"/>
        <v>-58615.380000000005</v>
      </c>
      <c r="N63" s="188">
        <f t="shared" si="18"/>
        <v>-0.14653845000000001</v>
      </c>
      <c r="O63" s="180" t="b">
        <f t="shared" si="16"/>
        <v>0</v>
      </c>
      <c r="P63" s="188">
        <f>COUNTIF(O$2:O63, TRUE)/(COUNTIF(O$2:O63,FALSE) + COUNTIF(O$2:O63, TRUE))</f>
        <v>0.41935483870967744</v>
      </c>
      <c r="Q63" s="345"/>
      <c r="R63" s="345"/>
      <c r="S63" s="345"/>
      <c r="T63" s="345"/>
      <c r="U63" s="188">
        <f>STDEV(D$2:D63)*SQRT(252)</f>
        <v>0.21879001839109452</v>
      </c>
      <c r="V63" s="188">
        <f>STDEV(L$2:L63)*SQRT(252)</f>
        <v>0.31221077177668255</v>
      </c>
    </row>
    <row r="64" spans="2:23" ht="20.100000000000001" customHeight="1" x14ac:dyDescent="0.25">
      <c r="B64" s="171">
        <v>42320</v>
      </c>
      <c r="C64" s="209">
        <v>2045.97</v>
      </c>
      <c r="D64" s="175">
        <f t="shared" si="4"/>
        <v>-1.3990361445783119E-2</v>
      </c>
      <c r="E64" s="204">
        <f t="shared" si="19"/>
        <v>-2.6859268278761832E-2</v>
      </c>
      <c r="F64" s="221">
        <v>5005.08</v>
      </c>
      <c r="G64" s="175">
        <f t="shared" si="2"/>
        <v>-1.222414752655417E-2</v>
      </c>
      <c r="H64" s="206">
        <f t="shared" si="6"/>
        <v>-1.7011999921440757E-2</v>
      </c>
      <c r="I64" s="225">
        <v>335500.62</v>
      </c>
      <c r="J64" s="173">
        <v>400000</v>
      </c>
      <c r="K64" s="173">
        <f t="shared" si="15"/>
        <v>-5884</v>
      </c>
      <c r="L64" s="175">
        <f t="shared" si="7"/>
        <v>-1.7235691520022196E-2</v>
      </c>
      <c r="M64" s="180">
        <f t="shared" si="17"/>
        <v>-64499.380000000005</v>
      </c>
      <c r="N64" s="188">
        <f t="shared" si="18"/>
        <v>-0.16124845000000002</v>
      </c>
      <c r="O64" s="180" t="b">
        <f t="shared" si="16"/>
        <v>0</v>
      </c>
      <c r="P64" s="188">
        <f>COUNTIF(O$2:O64, TRUE)/(COUNTIF(O$2:O64,FALSE) + COUNTIF(O$2:O64, TRUE))</f>
        <v>0.41269841269841268</v>
      </c>
      <c r="Q64" s="345"/>
      <c r="R64" s="345"/>
      <c r="S64" s="345"/>
      <c r="T64" s="345"/>
      <c r="U64" s="188">
        <f>STDEV(D$2:D64)*SQRT(252)</f>
        <v>0.21878322617502383</v>
      </c>
      <c r="V64" s="188">
        <f>STDEV(L$2:L64)*SQRT(252)</f>
        <v>0.311389828072407</v>
      </c>
    </row>
    <row r="65" spans="2:22" ht="20.100000000000001" customHeight="1" x14ac:dyDescent="0.25">
      <c r="B65" s="171">
        <v>42321</v>
      </c>
      <c r="C65" s="209">
        <v>2023.04</v>
      </c>
      <c r="D65" s="175">
        <f t="shared" si="4"/>
        <v>-1.1207397957936852E-2</v>
      </c>
      <c r="E65" s="204">
        <f t="shared" si="19"/>
        <v>-3.7765643728239609E-2</v>
      </c>
      <c r="F65" s="221">
        <v>4927.88</v>
      </c>
      <c r="G65" s="175">
        <f t="shared" si="2"/>
        <v>-1.5424328881855999E-2</v>
      </c>
      <c r="H65" s="206">
        <f t="shared" si="6"/>
        <v>-3.217393012157034E-2</v>
      </c>
      <c r="I65" s="225">
        <v>335955</v>
      </c>
      <c r="J65" s="173">
        <v>400000</v>
      </c>
      <c r="K65" s="173">
        <f t="shared" si="15"/>
        <v>454.38000000000466</v>
      </c>
      <c r="L65" s="175">
        <f t="shared" si="7"/>
        <v>1.3543343079366133E-3</v>
      </c>
      <c r="M65" s="180">
        <f t="shared" si="17"/>
        <v>-64045</v>
      </c>
      <c r="N65" s="188">
        <f t="shared" si="18"/>
        <v>-0.16011249999999999</v>
      </c>
      <c r="O65" s="180" t="b">
        <f t="shared" si="16"/>
        <v>1</v>
      </c>
      <c r="P65" s="188">
        <f>COUNTIF(O$2:O65, TRUE)/(COUNTIF(O$2:O65,FALSE) + COUNTIF(O$2:O65, TRUE))</f>
        <v>0.421875</v>
      </c>
      <c r="Q65" s="345"/>
      <c r="R65" s="345"/>
      <c r="S65" s="345"/>
      <c r="T65" s="345"/>
      <c r="U65" s="188">
        <f>STDEV(D$2:D65)*SQRT(252)</f>
        <v>0.21809630494176296</v>
      </c>
      <c r="V65" s="188">
        <f>STDEV(L$2:L65)*SQRT(252)</f>
        <v>0.30890912442956392</v>
      </c>
    </row>
    <row r="66" spans="2:22" ht="20.100000000000001" customHeight="1" x14ac:dyDescent="0.25">
      <c r="B66" s="176">
        <v>42324</v>
      </c>
      <c r="C66" s="213">
        <v>2053.19</v>
      </c>
      <c r="D66" s="175">
        <f t="shared" si="4"/>
        <v>1.4903313824739053E-2</v>
      </c>
      <c r="E66" s="214">
        <f t="shared" si="19"/>
        <v>-2.3425163143775803E-2</v>
      </c>
      <c r="F66" s="224">
        <v>4984.62</v>
      </c>
      <c r="G66" s="175">
        <f t="shared" si="2"/>
        <v>1.1514079076600847E-2</v>
      </c>
      <c r="H66" s="208">
        <f t="shared" si="6"/>
        <v>-2.1030304220594286E-2</v>
      </c>
      <c r="I66" s="226">
        <v>342834.39</v>
      </c>
      <c r="J66" s="177">
        <v>400000</v>
      </c>
      <c r="K66" s="177">
        <f t="shared" si="15"/>
        <v>6879.390000000014</v>
      </c>
      <c r="L66" s="175">
        <f t="shared" si="7"/>
        <v>2.047711747108992E-2</v>
      </c>
      <c r="M66" s="187">
        <f t="shared" si="17"/>
        <v>-57165.609999999986</v>
      </c>
      <c r="N66" s="189">
        <f t="shared" si="18"/>
        <v>-0.14291402499999997</v>
      </c>
      <c r="O66" s="187" t="b">
        <f t="shared" si="16"/>
        <v>1</v>
      </c>
      <c r="P66" s="189">
        <f>COUNTIF(O$2:O66, TRUE)/(COUNTIF(O$2:O66,FALSE) + COUNTIF(O$2:O66, TRUE))</f>
        <v>0.43076923076923079</v>
      </c>
      <c r="Q66" s="346"/>
      <c r="R66" s="346"/>
      <c r="S66" s="346"/>
      <c r="T66" s="346"/>
      <c r="U66" s="189">
        <f>STDEV(D$2:D66)*SQRT(252)</f>
        <v>0.2185117014996438</v>
      </c>
      <c r="V66" s="189">
        <f>STDEV(L$2:L66)*SQRT(252)</f>
        <v>0.30942792293284299</v>
      </c>
    </row>
    <row r="67" spans="2:22" ht="20.100000000000001" customHeight="1" x14ac:dyDescent="0.25">
      <c r="B67" s="176">
        <v>42325</v>
      </c>
      <c r="C67" s="213">
        <v>2050.44</v>
      </c>
      <c r="D67" s="175">
        <f t="shared" si="4"/>
        <v>-1.3393792099123801E-3</v>
      </c>
      <c r="E67" s="214">
        <f t="shared" si="19"/>
        <v>-2.4733167177184604E-2</v>
      </c>
      <c r="F67" s="224">
        <v>4986.01</v>
      </c>
      <c r="G67" s="175">
        <f t="shared" ref="G67:G131" si="20">(F67-F66)/F66</f>
        <v>2.7885776648978807E-4</v>
      </c>
      <c r="H67" s="208">
        <f t="shared" ref="H67:H84" si="21">(F67-F$2)/F$2</f>
        <v>-2.0757310917768054E-2</v>
      </c>
      <c r="I67" s="226">
        <v>341363.07</v>
      </c>
      <c r="J67" s="177">
        <v>400000</v>
      </c>
      <c r="K67" s="177">
        <f t="shared" si="15"/>
        <v>-1471.320000000007</v>
      </c>
      <c r="L67" s="175">
        <f t="shared" si="7"/>
        <v>-4.2916348036146747E-3</v>
      </c>
      <c r="M67" s="187">
        <f t="shared" si="17"/>
        <v>-58636.929999999993</v>
      </c>
      <c r="N67" s="189">
        <f t="shared" si="18"/>
        <v>-0.146592325</v>
      </c>
      <c r="O67" s="187" t="b">
        <f t="shared" si="16"/>
        <v>0</v>
      </c>
      <c r="P67" s="189">
        <f>COUNTIF(O$2:O67, TRUE)/(COUNTIF(O$2:O67,FALSE) + COUNTIF(O$2:O67, TRUE))</f>
        <v>0.42424242424242425</v>
      </c>
      <c r="Q67" s="346"/>
      <c r="R67" s="346"/>
      <c r="S67" s="346"/>
      <c r="T67" s="346"/>
      <c r="U67" s="189">
        <f>STDEV(D$2:D67)*SQRT(252)</f>
        <v>0.21680795188349017</v>
      </c>
      <c r="V67" s="189">
        <f>STDEV(L$2:L67)*SQRT(252)</f>
        <v>0.30707902780871166</v>
      </c>
    </row>
    <row r="68" spans="2:22" ht="20.100000000000001" customHeight="1" x14ac:dyDescent="0.25">
      <c r="B68" s="176">
        <v>42326</v>
      </c>
      <c r="C68" s="213">
        <v>2083.58</v>
      </c>
      <c r="D68" s="175">
        <f t="shared" ref="D68:D132" si="22">(C68-C67)/C67</f>
        <v>1.6162384658902417E-2</v>
      </c>
      <c r="E68" s="214">
        <f t="shared" si="19"/>
        <v>-8.970529480032784E-3</v>
      </c>
      <c r="F68" s="224">
        <v>5075.2</v>
      </c>
      <c r="G68" s="175">
        <f t="shared" si="20"/>
        <v>1.7888050766043308E-2</v>
      </c>
      <c r="H68" s="208">
        <f t="shared" si="21"/>
        <v>-3.2405679831883261E-3</v>
      </c>
      <c r="I68" s="226">
        <v>349578.29</v>
      </c>
      <c r="J68" s="177">
        <v>400000</v>
      </c>
      <c r="K68" s="177">
        <f t="shared" si="15"/>
        <v>8215.2199999999721</v>
      </c>
      <c r="L68" s="175">
        <f t="shared" ref="L68:L131" si="23">K68/I67</f>
        <v>2.4065930740545461E-2</v>
      </c>
      <c r="M68" s="187">
        <f t="shared" si="17"/>
        <v>-50421.710000000021</v>
      </c>
      <c r="N68" s="189">
        <f t="shared" si="18"/>
        <v>-0.12605427500000005</v>
      </c>
      <c r="O68" s="187" t="b">
        <f t="shared" si="16"/>
        <v>1</v>
      </c>
      <c r="P68" s="189">
        <f>COUNTIF(O$2:O68, TRUE)/(COUNTIF(O$2:O68,FALSE) + COUNTIF(O$2:O68, TRUE))</f>
        <v>0.43283582089552236</v>
      </c>
      <c r="Q68" s="346"/>
      <c r="R68" s="346"/>
      <c r="S68" s="346"/>
      <c r="T68" s="346"/>
      <c r="U68" s="189">
        <f>STDEV(D$2:D68)*SQRT(252)</f>
        <v>0.21752341302178005</v>
      </c>
      <c r="V68" s="189">
        <f>STDEV(L$2:L68)*SQRT(252)</f>
        <v>0.30856663188820815</v>
      </c>
    </row>
    <row r="69" spans="2:22" ht="20.100000000000001" customHeight="1" x14ac:dyDescent="0.25">
      <c r="B69" s="176">
        <v>42327</v>
      </c>
      <c r="C69" s="213">
        <v>2081.2399999999998</v>
      </c>
      <c r="D69" s="175">
        <f t="shared" si="22"/>
        <v>-1.1230670288638524E-3</v>
      </c>
      <c r="E69" s="214">
        <f t="shared" si="19"/>
        <v>-1.0083522003006161E-2</v>
      </c>
      <c r="F69" s="224">
        <v>5073.63</v>
      </c>
      <c r="G69" s="175">
        <f t="shared" si="20"/>
        <v>-3.0934741488014442E-4</v>
      </c>
      <c r="H69" s="208">
        <f t="shared" si="21"/>
        <v>-3.5489129367401282E-3</v>
      </c>
      <c r="I69" s="226">
        <v>351509.95</v>
      </c>
      <c r="J69" s="177">
        <v>400000</v>
      </c>
      <c r="K69" s="177">
        <f t="shared" si="15"/>
        <v>1931.6600000000326</v>
      </c>
      <c r="L69" s="175">
        <f t="shared" si="23"/>
        <v>5.5256863920240375E-3</v>
      </c>
      <c r="M69" s="187">
        <f t="shared" si="17"/>
        <v>-48490.049999999988</v>
      </c>
      <c r="N69" s="189">
        <f t="shared" si="18"/>
        <v>-0.12122512499999998</v>
      </c>
      <c r="O69" s="187" t="b">
        <f t="shared" si="16"/>
        <v>1</v>
      </c>
      <c r="P69" s="189">
        <f>COUNTIF(O$2:O69, TRUE)/(COUNTIF(O$2:O69,FALSE) + COUNTIF(O$2:O69, TRUE))</f>
        <v>0.44117647058823528</v>
      </c>
      <c r="Q69" s="346"/>
      <c r="R69" s="346"/>
      <c r="S69" s="346"/>
      <c r="T69" s="346"/>
      <c r="U69" s="189">
        <f>STDEV(D$2:D69)*SQRT(252)</f>
        <v>0.21587936448621181</v>
      </c>
      <c r="V69" s="189">
        <f>STDEV(L$2:L69)*SQRT(252)</f>
        <v>0.30643952094821814</v>
      </c>
    </row>
    <row r="70" spans="2:22" ht="20.100000000000001" customHeight="1" x14ac:dyDescent="0.25">
      <c r="B70" s="176">
        <v>42328</v>
      </c>
      <c r="C70" s="220">
        <v>2089.17</v>
      </c>
      <c r="D70" s="175">
        <f t="shared" si="22"/>
        <v>3.8102285176146392E-3</v>
      </c>
      <c r="E70" s="214">
        <f t="shared" si="19"/>
        <v>-6.3117140084853699E-3</v>
      </c>
      <c r="F70" s="224">
        <v>5104.92</v>
      </c>
      <c r="G70" s="175">
        <f t="shared" si="20"/>
        <v>6.1671820767379495E-3</v>
      </c>
      <c r="H70" s="208">
        <f t="shared" si="21"/>
        <v>2.5963823477424546E-3</v>
      </c>
      <c r="I70" s="226">
        <v>349809.33</v>
      </c>
      <c r="J70" s="177">
        <v>400000</v>
      </c>
      <c r="K70" s="177">
        <f t="shared" si="15"/>
        <v>-1700.6199999999953</v>
      </c>
      <c r="L70" s="175">
        <f t="shared" si="23"/>
        <v>-4.8380422801687275E-3</v>
      </c>
      <c r="M70" s="187">
        <f t="shared" si="17"/>
        <v>-50190.669999999984</v>
      </c>
      <c r="N70" s="189">
        <f t="shared" si="18"/>
        <v>-0.12547667499999995</v>
      </c>
      <c r="O70" s="187" t="b">
        <f t="shared" si="16"/>
        <v>0</v>
      </c>
      <c r="P70" s="189">
        <f>COUNTIF(O$2:O70, TRUE)/(COUNTIF(O$2:O70,FALSE) + COUNTIF(O$2:O70, TRUE))</f>
        <v>0.43478260869565216</v>
      </c>
      <c r="Q70" s="346"/>
      <c r="R70" s="346"/>
      <c r="S70" s="346"/>
      <c r="T70" s="346"/>
      <c r="U70" s="189">
        <f>STDEV(D$2:D70)*SQRT(252)</f>
        <v>0.21439176321013317</v>
      </c>
      <c r="V70" s="189">
        <f>STDEV(L$2:L70)*SQRT(252)</f>
        <v>0.30426600271918647</v>
      </c>
    </row>
    <row r="71" spans="2:22" ht="20.100000000000001" customHeight="1" x14ac:dyDescent="0.25">
      <c r="B71" s="171">
        <v>42331</v>
      </c>
      <c r="C71" s="203">
        <v>2086.59</v>
      </c>
      <c r="D71" s="175">
        <f t="shared" si="22"/>
        <v>-1.2349401915592924E-3</v>
      </c>
      <c r="E71" s="204">
        <f t="shared" si="19"/>
        <v>-7.5388596107379561E-3</v>
      </c>
      <c r="F71" s="221">
        <v>5102.47</v>
      </c>
      <c r="G71" s="175">
        <f t="shared" si="20"/>
        <v>-4.7992916637279687E-4</v>
      </c>
      <c r="H71" s="206">
        <f t="shared" si="21"/>
        <v>2.1152071017539204E-3</v>
      </c>
      <c r="I71" s="225">
        <v>352380.62</v>
      </c>
      <c r="J71" s="173">
        <v>400000</v>
      </c>
      <c r="K71" s="173">
        <f t="shared" si="15"/>
        <v>2571.289999999979</v>
      </c>
      <c r="L71" s="175">
        <f t="shared" si="23"/>
        <v>7.3505472252554807E-3</v>
      </c>
      <c r="M71" s="180">
        <f t="shared" si="17"/>
        <v>-47619.380000000005</v>
      </c>
      <c r="N71" s="188">
        <f t="shared" si="18"/>
        <v>-0.11904845000000001</v>
      </c>
      <c r="O71" s="180" t="b">
        <f t="shared" si="16"/>
        <v>1</v>
      </c>
      <c r="P71" s="188">
        <f>COUNTIF(O$2:O71, TRUE)/(COUNTIF(O$2:O71,FALSE) + COUNTIF(O$2:O71, TRUE))</f>
        <v>0.44285714285714284</v>
      </c>
      <c r="Q71" s="345"/>
      <c r="R71" s="345"/>
      <c r="S71" s="345"/>
      <c r="T71" s="345"/>
      <c r="U71" s="188">
        <f>STDEV(D$2:D71)*SQRT(252)</f>
        <v>0.21282253565490999</v>
      </c>
      <c r="V71" s="188">
        <f>STDEV(L$2:L71)*SQRT(252)</f>
        <v>0.30238621984250691</v>
      </c>
    </row>
    <row r="72" spans="2:22" ht="20.100000000000001" customHeight="1" x14ac:dyDescent="0.25">
      <c r="B72" s="171">
        <v>42332</v>
      </c>
      <c r="C72" s="203">
        <v>2089.14</v>
      </c>
      <c r="D72" s="175">
        <f t="shared" si="22"/>
        <v>1.2220896294910485E-3</v>
      </c>
      <c r="E72" s="204">
        <f t="shared" si="19"/>
        <v>-6.3259831433953792E-3</v>
      </c>
      <c r="F72" s="221">
        <v>5102.8</v>
      </c>
      <c r="G72" s="175">
        <f t="shared" si="20"/>
        <v>6.4674559576034202E-5</v>
      </c>
      <c r="H72" s="206">
        <f t="shared" si="21"/>
        <v>2.1800184614176729E-3</v>
      </c>
      <c r="I72" s="225">
        <v>356994.69</v>
      </c>
      <c r="J72" s="173">
        <v>400000</v>
      </c>
      <c r="K72" s="173">
        <f t="shared" si="15"/>
        <v>4614.070000000007</v>
      </c>
      <c r="L72" s="175">
        <f t="shared" si="23"/>
        <v>1.309399478325456E-2</v>
      </c>
      <c r="M72" s="180">
        <f t="shared" si="17"/>
        <v>-43005.31</v>
      </c>
      <c r="N72" s="188">
        <f t="shared" si="18"/>
        <v>-0.10751327499999999</v>
      </c>
      <c r="O72" s="180" t="b">
        <f t="shared" si="16"/>
        <v>1</v>
      </c>
      <c r="P72" s="188">
        <f>COUNTIF(O$2:O72, TRUE)/(COUNTIF(O$2:O72,FALSE) + COUNTIF(O$2:O72, TRUE))</f>
        <v>0.45070422535211269</v>
      </c>
      <c r="Q72" s="345"/>
      <c r="R72" s="345"/>
      <c r="S72" s="345"/>
      <c r="T72" s="345"/>
      <c r="U72" s="188">
        <f>STDEV(D$2:D72)*SQRT(252)</f>
        <v>0.21128787806615651</v>
      </c>
      <c r="V72" s="188">
        <f>STDEV(L$2:L72)*SQRT(252)</f>
        <v>0.30126350583982381</v>
      </c>
    </row>
    <row r="73" spans="2:22" ht="20.100000000000001" customHeight="1" x14ac:dyDescent="0.25">
      <c r="B73" s="171">
        <v>42333</v>
      </c>
      <c r="C73" s="203">
        <v>2088.87</v>
      </c>
      <c r="D73" s="175">
        <f t="shared" si="22"/>
        <v>-1.2923978287715607E-4</v>
      </c>
      <c r="E73" s="204">
        <f t="shared" si="19"/>
        <v>-6.4544053575845989E-3</v>
      </c>
      <c r="F73" s="221">
        <v>5116.1400000000003</v>
      </c>
      <c r="G73" s="175">
        <f t="shared" si="20"/>
        <v>2.6142509994513102E-3</v>
      </c>
      <c r="H73" s="206">
        <f t="shared" si="21"/>
        <v>4.7999685763105661E-3</v>
      </c>
      <c r="I73" s="225">
        <v>357953.42</v>
      </c>
      <c r="J73" s="173">
        <v>400000</v>
      </c>
      <c r="K73" s="173">
        <f t="shared" si="15"/>
        <v>958.72999999998137</v>
      </c>
      <c r="L73" s="175">
        <f t="shared" si="23"/>
        <v>2.6855581521394098E-3</v>
      </c>
      <c r="M73" s="180">
        <f t="shared" si="17"/>
        <v>-42046.580000000016</v>
      </c>
      <c r="N73" s="188">
        <f t="shared" si="18"/>
        <v>-0.10511645000000004</v>
      </c>
      <c r="O73" s="180" t="b">
        <f t="shared" si="16"/>
        <v>1</v>
      </c>
      <c r="P73" s="188">
        <f>COUNTIF(O$2:O73, TRUE)/(COUNTIF(O$2:O73,FALSE) + COUNTIF(O$2:O73, TRUE))</f>
        <v>0.45833333333333331</v>
      </c>
      <c r="Q73" s="345"/>
      <c r="R73" s="345"/>
      <c r="S73" s="345"/>
      <c r="T73" s="345"/>
      <c r="U73" s="188">
        <f>STDEV(D$2:D73)*SQRT(252)</f>
        <v>0.20977338456133537</v>
      </c>
      <c r="V73" s="188">
        <f>STDEV(L$2:L73)*SQRT(252)</f>
        <v>0.29915075312421052</v>
      </c>
    </row>
    <row r="74" spans="2:22" ht="20.100000000000001" customHeight="1" x14ac:dyDescent="0.25">
      <c r="B74" s="171">
        <v>42335</v>
      </c>
      <c r="C74" s="209">
        <v>2090.11</v>
      </c>
      <c r="D74" s="175">
        <f t="shared" si="22"/>
        <v>5.9362238913873841E-4</v>
      </c>
      <c r="E74" s="204">
        <f t="shared" si="19"/>
        <v>-5.8646144479746996E-3</v>
      </c>
      <c r="F74" s="221">
        <v>5127.5200000000004</v>
      </c>
      <c r="G74" s="175">
        <f t="shared" si="20"/>
        <v>2.2243331886930592E-3</v>
      </c>
      <c r="H74" s="206">
        <f t="shared" si="21"/>
        <v>7.0349784944125967E-3</v>
      </c>
      <c r="I74" s="225">
        <v>355463.47</v>
      </c>
      <c r="J74" s="173">
        <v>400000</v>
      </c>
      <c r="K74" s="173">
        <f t="shared" si="15"/>
        <v>-2489.9500000000116</v>
      </c>
      <c r="L74" s="175">
        <f t="shared" si="23"/>
        <v>-6.9560726644265942E-3</v>
      </c>
      <c r="M74" s="180">
        <f t="shared" si="17"/>
        <v>-44536.530000000028</v>
      </c>
      <c r="N74" s="188">
        <f t="shared" si="18"/>
        <v>-0.11134132500000007</v>
      </c>
      <c r="O74" s="180" t="b">
        <f t="shared" si="16"/>
        <v>0</v>
      </c>
      <c r="P74" s="188">
        <f>COUNTIF(O$2:O74, TRUE)/(COUNTIF(O$2:O74,FALSE) + COUNTIF(O$2:O74, TRUE))</f>
        <v>0.45205479452054792</v>
      </c>
      <c r="Q74" s="345"/>
      <c r="R74" s="345"/>
      <c r="S74" s="345"/>
      <c r="T74" s="345"/>
      <c r="U74" s="188">
        <f>STDEV(D$2:D74)*SQRT(252)</f>
        <v>0.20829387869007757</v>
      </c>
      <c r="V74" s="188">
        <f>STDEV(L$2:L74)*SQRT(252)</f>
        <v>0.29731455796464418</v>
      </c>
    </row>
    <row r="75" spans="2:22" ht="20.100000000000001" customHeight="1" x14ac:dyDescent="0.25">
      <c r="B75" s="176">
        <v>42338</v>
      </c>
      <c r="C75" s="213">
        <v>2080.41</v>
      </c>
      <c r="D75" s="175">
        <f t="shared" si="22"/>
        <v>-4.6409040672501789E-3</v>
      </c>
      <c r="E75" s="214">
        <f t="shared" si="19"/>
        <v>-1.0478301402180418E-2</v>
      </c>
      <c r="F75" s="224">
        <v>5108.66</v>
      </c>
      <c r="G75" s="175">
        <f t="shared" si="20"/>
        <v>-3.6781914063720045E-3</v>
      </c>
      <c r="H75" s="208">
        <f t="shared" si="21"/>
        <v>3.3309110905984322E-3</v>
      </c>
      <c r="I75" s="513">
        <v>358262.29</v>
      </c>
      <c r="J75" s="177">
        <v>400000</v>
      </c>
      <c r="K75" s="177">
        <f t="shared" si="15"/>
        <v>2798.820000000007</v>
      </c>
      <c r="L75" s="175">
        <f t="shared" si="23"/>
        <v>7.8737204697855653E-3</v>
      </c>
      <c r="M75" s="187">
        <f t="shared" si="17"/>
        <v>-41737.710000000021</v>
      </c>
      <c r="N75" s="189">
        <f t="shared" si="18"/>
        <v>-0.10434427500000006</v>
      </c>
      <c r="O75" s="187" t="b">
        <f t="shared" si="16"/>
        <v>1</v>
      </c>
      <c r="P75" s="189">
        <f>COUNTIF(O$2:O75, TRUE)/(COUNTIF(O$2:O75,FALSE) + COUNTIF(O$2:O75, TRUE))</f>
        <v>0.45945945945945948</v>
      </c>
      <c r="Q75" s="346"/>
      <c r="R75" s="346"/>
      <c r="S75" s="346"/>
      <c r="T75" s="346"/>
      <c r="U75" s="189">
        <f>STDEV(D$2:D75)*SQRT(252)</f>
        <v>0.20702224585874895</v>
      </c>
      <c r="V75" s="189">
        <f>STDEV(L$2:L75)*SQRT(252)</f>
        <v>0.29562170062555598</v>
      </c>
    </row>
    <row r="76" spans="2:22" ht="20.100000000000001" customHeight="1" x14ac:dyDescent="0.25">
      <c r="B76" s="176">
        <v>42339</v>
      </c>
      <c r="C76" s="213">
        <v>2102.63</v>
      </c>
      <c r="D76" s="175">
        <f t="shared" si="22"/>
        <v>1.0680586999678072E-2</v>
      </c>
      <c r="E76" s="214">
        <f t="shared" si="19"/>
        <v>9.0371187762815854E-5</v>
      </c>
      <c r="F76" s="224">
        <v>5156.3</v>
      </c>
      <c r="G76" s="175">
        <f t="shared" si="20"/>
        <v>9.3253416747249435E-3</v>
      </c>
      <c r="H76" s="208">
        <f t="shared" si="21"/>
        <v>1.2687314649331337E-2</v>
      </c>
      <c r="I76" s="226">
        <v>361281.91</v>
      </c>
      <c r="J76" s="177">
        <v>400000</v>
      </c>
      <c r="K76" s="177">
        <f t="shared" si="15"/>
        <v>3019.6199999999953</v>
      </c>
      <c r="L76" s="175">
        <f t="shared" si="23"/>
        <v>8.4285175534382795E-3</v>
      </c>
      <c r="M76" s="187">
        <f t="shared" si="17"/>
        <v>-38718.090000000026</v>
      </c>
      <c r="N76" s="189">
        <f t="shared" si="18"/>
        <v>-9.6795225000000068E-2</v>
      </c>
      <c r="O76" s="187" t="b">
        <f t="shared" si="16"/>
        <v>0</v>
      </c>
      <c r="P76" s="189">
        <f>COUNTIF(O$2:O76, TRUE)/(COUNTIF(O$2:O76,FALSE) + COUNTIF(O$2:O76, TRUE))</f>
        <v>0.45333333333333331</v>
      </c>
      <c r="Q76" s="346"/>
      <c r="R76" s="346"/>
      <c r="S76" s="346"/>
      <c r="T76" s="346"/>
      <c r="U76" s="189">
        <f>STDEV(D$2:D76)*SQRT(252)</f>
        <v>0.20655260318517649</v>
      </c>
      <c r="V76" s="189">
        <f>STDEV(L$2:L76)*SQRT(252)</f>
        <v>0.29400855496408335</v>
      </c>
    </row>
    <row r="77" spans="2:22" ht="20.100000000000001" customHeight="1" x14ac:dyDescent="0.25">
      <c r="B77" s="176">
        <v>42340</v>
      </c>
      <c r="C77" s="213">
        <v>2079.5100000000002</v>
      </c>
      <c r="D77" s="175">
        <f t="shared" si="22"/>
        <v>-1.0995752937987135E-2</v>
      </c>
      <c r="E77" s="214">
        <f t="shared" si="19"/>
        <v>-1.0906375449477671E-2</v>
      </c>
      <c r="F77" s="224">
        <v>5123.22</v>
      </c>
      <c r="G77" s="175">
        <f t="shared" si="20"/>
        <v>-6.415452941062375E-3</v>
      </c>
      <c r="H77" s="208">
        <f t="shared" si="21"/>
        <v>6.1904668381877245E-3</v>
      </c>
      <c r="I77" s="226">
        <v>349641.2</v>
      </c>
      <c r="J77" s="177">
        <v>400000</v>
      </c>
      <c r="K77" s="177">
        <f t="shared" si="15"/>
        <v>-11640.709999999963</v>
      </c>
      <c r="L77" s="175">
        <f t="shared" si="23"/>
        <v>-3.2220572571707129E-2</v>
      </c>
      <c r="M77" s="187">
        <f t="shared" si="17"/>
        <v>-50358.799999999988</v>
      </c>
      <c r="N77" s="189">
        <f t="shared" si="18"/>
        <v>-0.12589699999999998</v>
      </c>
      <c r="O77" s="187" t="b">
        <f t="shared" si="16"/>
        <v>0</v>
      </c>
      <c r="P77" s="189">
        <f>COUNTIF(O$2:O77, TRUE)/(COUNTIF(O$2:O77,FALSE) + COUNTIF(O$2:O77, TRUE))</f>
        <v>0.44736842105263158</v>
      </c>
      <c r="Q77" s="346"/>
      <c r="R77" s="346"/>
      <c r="S77" s="346"/>
      <c r="T77" s="346"/>
      <c r="U77" s="189">
        <f>STDEV(D$2:D77)*SQRT(252)</f>
        <v>0.20615523591080137</v>
      </c>
      <c r="V77" s="189">
        <f>STDEV(L$2:L77)*SQRT(252)</f>
        <v>0.29794414920309426</v>
      </c>
    </row>
    <row r="78" spans="2:22" ht="20.100000000000001" customHeight="1" x14ac:dyDescent="0.25">
      <c r="B78" s="176">
        <v>42341</v>
      </c>
      <c r="C78" s="213">
        <v>2049.62</v>
      </c>
      <c r="D78" s="175">
        <f t="shared" si="22"/>
        <v>-1.4373578391063435E-2</v>
      </c>
      <c r="E78" s="214">
        <f t="shared" si="19"/>
        <v>-2.5123190198055669E-2</v>
      </c>
      <c r="F78" s="224">
        <v>5037.5200000000004</v>
      </c>
      <c r="G78" s="175">
        <f t="shared" si="20"/>
        <v>-1.6727761056523009E-2</v>
      </c>
      <c r="H78" s="208">
        <f t="shared" si="21"/>
        <v>-1.0640846868432819E-2</v>
      </c>
      <c r="I78" s="226">
        <v>344430.58</v>
      </c>
      <c r="J78" s="177">
        <v>400000</v>
      </c>
      <c r="K78" s="177">
        <f t="shared" si="15"/>
        <v>-5210.6199999999953</v>
      </c>
      <c r="L78" s="175">
        <f t="shared" si="23"/>
        <v>-1.4902763175506763E-2</v>
      </c>
      <c r="M78" s="187">
        <f t="shared" si="17"/>
        <v>-55569.419999999984</v>
      </c>
      <c r="N78" s="189">
        <f t="shared" si="18"/>
        <v>-0.13892354999999995</v>
      </c>
      <c r="O78" s="187" t="b">
        <f t="shared" si="16"/>
        <v>0</v>
      </c>
      <c r="P78" s="189">
        <f>COUNTIF(O$2:O78, TRUE)/(COUNTIF(O$2:O78,FALSE) + COUNTIF(O$2:O78, TRUE))</f>
        <v>0.44155844155844154</v>
      </c>
      <c r="Q78" s="346"/>
      <c r="R78" s="346"/>
      <c r="S78" s="346"/>
      <c r="T78" s="346"/>
      <c r="U78" s="189">
        <f>STDEV(D$2:D78)*SQRT(252)</f>
        <v>0.20642766070992974</v>
      </c>
      <c r="V78" s="189">
        <f>STDEV(L$2:L78)*SQRT(252)</f>
        <v>0.29712936975574017</v>
      </c>
    </row>
    <row r="79" spans="2:22" ht="20.100000000000001" customHeight="1" x14ac:dyDescent="0.25">
      <c r="B79" s="176">
        <v>42342</v>
      </c>
      <c r="C79" s="213">
        <v>2091.69</v>
      </c>
      <c r="D79" s="175">
        <f t="shared" si="22"/>
        <v>2.0525755993794054E-2</v>
      </c>
      <c r="E79" s="214">
        <f t="shared" si="19"/>
        <v>-5.1131066760525864E-3</v>
      </c>
      <c r="F79" s="224">
        <v>5142.2700000000004</v>
      </c>
      <c r="G79" s="175">
        <f t="shared" si="20"/>
        <v>2.0793962108339021E-2</v>
      </c>
      <c r="H79" s="208">
        <f t="shared" si="21"/>
        <v>9.9318498733233732E-3</v>
      </c>
      <c r="I79" s="226">
        <v>341064.65</v>
      </c>
      <c r="J79" s="177">
        <v>400000</v>
      </c>
      <c r="K79" s="177">
        <f t="shared" si="15"/>
        <v>-3365.929999999993</v>
      </c>
      <c r="L79" s="175">
        <f t="shared" si="23"/>
        <v>-9.7724481955115388E-3</v>
      </c>
      <c r="M79" s="187">
        <f t="shared" si="17"/>
        <v>-58935.349999999977</v>
      </c>
      <c r="N79" s="189">
        <f t="shared" si="18"/>
        <v>-0.14733837499999994</v>
      </c>
      <c r="O79" s="187" t="b">
        <f t="shared" si="16"/>
        <v>0</v>
      </c>
      <c r="P79" s="189">
        <f>COUNTIF(O$2:O79, TRUE)/(COUNTIF(O$2:O79,FALSE) + COUNTIF(O$2:O79, TRUE))</f>
        <v>0.4358974358974359</v>
      </c>
      <c r="Q79" s="346"/>
      <c r="R79" s="346"/>
      <c r="S79" s="346"/>
      <c r="T79" s="346"/>
      <c r="U79" s="189">
        <f>STDEV(D$2:D79)*SQRT(252)</f>
        <v>0.2084813160993948</v>
      </c>
      <c r="V79" s="189">
        <f>STDEV(L$2:L79)*SQRT(252)</f>
        <v>0.29563649002359699</v>
      </c>
    </row>
    <row r="80" spans="2:22" ht="20.100000000000001" customHeight="1" x14ac:dyDescent="0.25">
      <c r="B80" s="171">
        <v>42345</v>
      </c>
      <c r="C80" s="203">
        <v>2077.0700000000002</v>
      </c>
      <c r="D80" s="175">
        <f t="shared" si="22"/>
        <v>-6.9895634630370131E-3</v>
      </c>
      <c r="E80" s="204">
        <f t="shared" si="19"/>
        <v>-1.2066931755484052E-2</v>
      </c>
      <c r="F80" s="221">
        <v>5101.8100000000004</v>
      </c>
      <c r="G80" s="175">
        <f t="shared" si="20"/>
        <v>-7.8681204993125663E-3</v>
      </c>
      <c r="H80" s="206">
        <f t="shared" si="21"/>
        <v>1.9855843824264159E-3</v>
      </c>
      <c r="I80" s="225">
        <v>323555.34000000003</v>
      </c>
      <c r="J80" s="173">
        <v>400000</v>
      </c>
      <c r="K80" s="173">
        <f t="shared" si="15"/>
        <v>-17509.309999999998</v>
      </c>
      <c r="L80" s="175">
        <f t="shared" si="23"/>
        <v>-5.1337217152231981E-2</v>
      </c>
      <c r="M80" s="180">
        <f t="shared" si="17"/>
        <v>-76444.659999999974</v>
      </c>
      <c r="N80" s="188">
        <f t="shared" si="18"/>
        <v>-0.19111164999999994</v>
      </c>
      <c r="O80" s="180" t="b">
        <f t="shared" si="16"/>
        <v>0</v>
      </c>
      <c r="P80" s="188">
        <f>COUNTIF(O$2:O80, TRUE)/(COUNTIF(O$2:O80,FALSE) + COUNTIF(O$2:O80, TRUE))</f>
        <v>0.43037974683544306</v>
      </c>
      <c r="Q80" s="345"/>
      <c r="R80" s="345"/>
      <c r="S80" s="345"/>
      <c r="T80" s="345"/>
      <c r="U80" s="188">
        <f>STDEV(D$2:D80)*SQRT(252)</f>
        <v>0.20750582350249624</v>
      </c>
      <c r="V80" s="188">
        <f>STDEV(L$2:L80)*SQRT(252)</f>
        <v>0.3074916653921197</v>
      </c>
    </row>
    <row r="81" spans="2:22" ht="20.100000000000001" customHeight="1" x14ac:dyDescent="0.25">
      <c r="B81" s="171">
        <v>42346</v>
      </c>
      <c r="C81" s="203">
        <v>2063.59</v>
      </c>
      <c r="D81" s="175">
        <f t="shared" si="22"/>
        <v>-6.489911269239851E-3</v>
      </c>
      <c r="E81" s="204">
        <f t="shared" si="19"/>
        <v>-1.8478529708338839E-2</v>
      </c>
      <c r="F81" s="221">
        <v>5098.24</v>
      </c>
      <c r="G81" s="175">
        <f t="shared" si="20"/>
        <v>-6.9975165676507318E-4</v>
      </c>
      <c r="H81" s="206">
        <f t="shared" si="21"/>
        <v>1.284443309700093E-3</v>
      </c>
      <c r="I81" s="225">
        <v>320909.52</v>
      </c>
      <c r="J81" s="173">
        <v>400000</v>
      </c>
      <c r="K81" s="173">
        <f t="shared" si="15"/>
        <v>-2645.820000000007</v>
      </c>
      <c r="L81" s="175">
        <f t="shared" si="23"/>
        <v>-8.1773337445149464E-3</v>
      </c>
      <c r="M81" s="180">
        <f t="shared" si="17"/>
        <v>-79090.479999999981</v>
      </c>
      <c r="N81" s="188">
        <f t="shared" si="18"/>
        <v>-0.19772619999999996</v>
      </c>
      <c r="O81" s="180" t="b">
        <f t="shared" si="16"/>
        <v>0</v>
      </c>
      <c r="P81" s="188">
        <f>COUNTIF(O$2:O81, TRUE)/(COUNTIF(O$2:O81,FALSE) + COUNTIF(O$2:O81, TRUE))</f>
        <v>0.42499999999999999</v>
      </c>
      <c r="Q81" s="345"/>
      <c r="R81" s="345"/>
      <c r="S81" s="345"/>
      <c r="T81" s="345"/>
      <c r="U81" s="188">
        <f>STDEV(D$2:D81)*SQRT(252)</f>
        <v>0.20648984597109604</v>
      </c>
      <c r="V81" s="188">
        <f>STDEV(L$2:L81)*SQRT(252)</f>
        <v>0.3057577572819663</v>
      </c>
    </row>
    <row r="82" spans="2:22" ht="20.100000000000001" customHeight="1" x14ac:dyDescent="0.25">
      <c r="B82" s="171">
        <v>42347</v>
      </c>
      <c r="C82" s="203">
        <v>2047.62</v>
      </c>
      <c r="D82" s="175">
        <f t="shared" si="22"/>
        <v>-7.7389403902908297E-3</v>
      </c>
      <c r="E82" s="204">
        <f t="shared" si="19"/>
        <v>-2.6074465858716617E-2</v>
      </c>
      <c r="F82" s="221">
        <v>5022.8599999999997</v>
      </c>
      <c r="G82" s="175">
        <f t="shared" si="20"/>
        <v>-1.4785494602058772E-2</v>
      </c>
      <c r="H82" s="206">
        <f t="shared" si="21"/>
        <v>-1.3520042421980899E-2</v>
      </c>
      <c r="I82" s="225">
        <v>319453.12</v>
      </c>
      <c r="J82" s="173">
        <v>400000</v>
      </c>
      <c r="K82" s="173">
        <f t="shared" si="15"/>
        <v>-1456.4000000000233</v>
      </c>
      <c r="L82" s="175">
        <f t="shared" si="23"/>
        <v>-4.5383508722334669E-3</v>
      </c>
      <c r="M82" s="180">
        <f t="shared" si="17"/>
        <v>-80546.880000000005</v>
      </c>
      <c r="N82" s="188">
        <f t="shared" si="18"/>
        <v>-0.20136720000000002</v>
      </c>
      <c r="O82" s="180" t="b">
        <f t="shared" si="16"/>
        <v>1</v>
      </c>
      <c r="P82" s="188">
        <f>COUNTIF(O$2:O82, TRUE)/(COUNTIF(O$2:O82,FALSE) + COUNTIF(O$2:O82, TRUE))</f>
        <v>0.43209876543209874</v>
      </c>
      <c r="Q82" s="345"/>
      <c r="R82" s="345"/>
      <c r="S82" s="345"/>
      <c r="T82" s="345"/>
      <c r="U82" s="188">
        <f>STDEV(D$2:D82)*SQRT(252)</f>
        <v>0.20562012018240991</v>
      </c>
      <c r="V82" s="188">
        <f>STDEV(L$2:L82)*SQRT(252)</f>
        <v>0.30386643217647319</v>
      </c>
    </row>
    <row r="83" spans="2:22" ht="20.100000000000001" customHeight="1" x14ac:dyDescent="0.25">
      <c r="B83" s="171">
        <v>42348</v>
      </c>
      <c r="C83" s="209">
        <v>2052.23</v>
      </c>
      <c r="D83" s="175">
        <f t="shared" si="22"/>
        <v>2.2513943016771315E-3</v>
      </c>
      <c r="E83" s="204">
        <f t="shared" si="19"/>
        <v>-2.3881775460893075E-2</v>
      </c>
      <c r="F83" s="221">
        <v>5045.17</v>
      </c>
      <c r="G83" s="175">
        <f t="shared" si="20"/>
        <v>4.4416925815173825E-3</v>
      </c>
      <c r="H83" s="206">
        <f t="shared" si="21"/>
        <v>-9.1384017125910304E-3</v>
      </c>
      <c r="I83" s="225">
        <v>324246.53999999998</v>
      </c>
      <c r="J83" s="173">
        <v>400000</v>
      </c>
      <c r="K83" s="173">
        <f t="shared" si="15"/>
        <v>4793.4199999999837</v>
      </c>
      <c r="L83" s="175">
        <f t="shared" si="23"/>
        <v>1.5005081183742965E-2</v>
      </c>
      <c r="M83" s="180">
        <f t="shared" si="17"/>
        <v>-75753.460000000021</v>
      </c>
      <c r="N83" s="188">
        <f t="shared" si="18"/>
        <v>-0.18938365000000004</v>
      </c>
      <c r="O83" s="180" t="b">
        <f t="shared" si="16"/>
        <v>1</v>
      </c>
      <c r="P83" s="188">
        <f>COUNTIF(O$2:O83, TRUE)/(COUNTIF(O$2:O83,FALSE) + COUNTIF(O$2:O83, TRUE))</f>
        <v>0.43902439024390244</v>
      </c>
      <c r="Q83" s="345"/>
      <c r="R83" s="345"/>
      <c r="S83" s="345"/>
      <c r="T83" s="345"/>
      <c r="U83" s="188">
        <f>STDEV(D$2:D83)*SQRT(252)</f>
        <v>0.20437847650239915</v>
      </c>
      <c r="V83" s="188">
        <f>STDEV(L$2:L83)*SQRT(252)</f>
        <v>0.30335650462124281</v>
      </c>
    </row>
    <row r="84" spans="2:22" ht="20.100000000000001" customHeight="1" x14ac:dyDescent="0.25">
      <c r="B84" s="171">
        <v>42349</v>
      </c>
      <c r="C84" s="209">
        <v>2012.37</v>
      </c>
      <c r="D84" s="175">
        <f t="shared" si="22"/>
        <v>-1.9422774250449575E-2</v>
      </c>
      <c r="E84" s="204">
        <f t="shared" si="19"/>
        <v>-4.2840699377865797E-2</v>
      </c>
      <c r="F84" s="221">
        <v>4933.47</v>
      </c>
      <c r="G84" s="175">
        <f t="shared" si="20"/>
        <v>-2.2139987354241743E-2</v>
      </c>
      <c r="H84" s="206">
        <f t="shared" si="21"/>
        <v>-3.1076064968478027E-2</v>
      </c>
      <c r="I84" s="225">
        <v>314974.52</v>
      </c>
      <c r="J84" s="173">
        <v>400000</v>
      </c>
      <c r="K84" s="173">
        <f t="shared" si="15"/>
        <v>-9272.0199999999604</v>
      </c>
      <c r="L84" s="175">
        <f t="shared" si="23"/>
        <v>-2.8595586555834832E-2</v>
      </c>
      <c r="M84" s="180">
        <f t="shared" si="17"/>
        <v>-85025.479999999981</v>
      </c>
      <c r="N84" s="188">
        <f t="shared" si="18"/>
        <v>-0.21256369999999997</v>
      </c>
      <c r="O84" s="180" t="b">
        <f t="shared" si="16"/>
        <v>0</v>
      </c>
      <c r="P84" s="188">
        <f>COUNTIF(O$2:O84, TRUE)/(COUNTIF(O$2:O84,FALSE) + COUNTIF(O$2:O84, TRUE))</f>
        <v>0.43373493975903615</v>
      </c>
      <c r="Q84" s="345"/>
      <c r="R84" s="345"/>
      <c r="S84" s="345"/>
      <c r="T84" s="345"/>
      <c r="U84" s="188">
        <f>STDEV(D$2:D84)*SQRT(252)</f>
        <v>0.20588473038733746</v>
      </c>
      <c r="V84" s="188">
        <f>STDEV(L$2:L84)*SQRT(252)</f>
        <v>0.3052608066855817</v>
      </c>
    </row>
    <row r="85" spans="2:22" ht="20.100000000000001" customHeight="1" x14ac:dyDescent="0.25">
      <c r="B85" s="176">
        <v>42352</v>
      </c>
      <c r="C85" s="213">
        <v>2021.94</v>
      </c>
      <c r="D85" s="175">
        <f t="shared" si="22"/>
        <v>4.7555866962835681E-3</v>
      </c>
      <c r="E85" s="214">
        <f t="shared" ref="E85:E95" si="24">(C85-$C$2)/$C$2</f>
        <v>-3.8288845341603088E-2</v>
      </c>
      <c r="F85" s="224">
        <v>4871.59</v>
      </c>
      <c r="G85" s="175">
        <f t="shared" si="20"/>
        <v>-1.2542895771130685E-2</v>
      </c>
      <c r="H85" s="208">
        <f t="shared" ref="H85:H106" si="25">(F85-F$2)/F$2</f>
        <v>-4.3229176895732205E-2</v>
      </c>
      <c r="I85" s="226">
        <f>400000-82872.25</f>
        <v>317127.75</v>
      </c>
      <c r="J85" s="177">
        <v>400000</v>
      </c>
      <c r="K85" s="177">
        <f t="shared" si="15"/>
        <v>2153.2299999999814</v>
      </c>
      <c r="L85" s="175">
        <f t="shared" si="23"/>
        <v>6.8362037665776303E-3</v>
      </c>
      <c r="M85" s="187">
        <f t="shared" si="17"/>
        <v>-82872.25</v>
      </c>
      <c r="N85" s="189">
        <f t="shared" si="18"/>
        <v>-0.20718062500000001</v>
      </c>
      <c r="O85" s="187" t="b">
        <f t="shared" si="16"/>
        <v>1</v>
      </c>
      <c r="P85" s="189">
        <f>COUNTIF(O$2:O85, TRUE)/(COUNTIF(O$2:O85,FALSE) + COUNTIF(O$2:O85, TRUE))</f>
        <v>0.44047619047619047</v>
      </c>
      <c r="Q85" s="346"/>
      <c r="R85" s="346"/>
      <c r="S85" s="346"/>
      <c r="T85" s="346"/>
      <c r="U85" s="189">
        <f>STDEV(D$2:D85)*SQRT(252)</f>
        <v>0.20482646913198044</v>
      </c>
      <c r="V85" s="189">
        <f>STDEV(L$2:L85)*SQRT(252)</f>
        <v>0.30374972032355096</v>
      </c>
    </row>
    <row r="86" spans="2:22" ht="20.100000000000001" customHeight="1" x14ac:dyDescent="0.25">
      <c r="B86" s="176">
        <v>42353</v>
      </c>
      <c r="C86" s="213">
        <v>2043.41</v>
      </c>
      <c r="D86" s="175">
        <f t="shared" si="22"/>
        <v>1.0618514891638736E-2</v>
      </c>
      <c r="E86" s="214">
        <f t="shared" si="24"/>
        <v>-2.8076901124407819E-2</v>
      </c>
      <c r="F86" s="224">
        <v>4986.99</v>
      </c>
      <c r="G86" s="175">
        <f t="shared" si="20"/>
        <v>2.3688364579120911E-2</v>
      </c>
      <c r="H86" s="208">
        <f t="shared" si="25"/>
        <v>-2.0564840819372713E-2</v>
      </c>
      <c r="I86" s="226">
        <v>315111.13</v>
      </c>
      <c r="J86" s="177">
        <v>400000</v>
      </c>
      <c r="K86" s="177">
        <f t="shared" si="15"/>
        <v>-2016.6199999999953</v>
      </c>
      <c r="L86" s="175">
        <f t="shared" si="23"/>
        <v>-6.3590146242326487E-3</v>
      </c>
      <c r="M86" s="187">
        <f t="shared" si="17"/>
        <v>-84888.87</v>
      </c>
      <c r="N86" s="189">
        <f t="shared" si="18"/>
        <v>-0.21222217499999999</v>
      </c>
      <c r="O86" s="187" t="b">
        <f t="shared" si="16"/>
        <v>0</v>
      </c>
      <c r="P86" s="189">
        <f>COUNTIF(O$2:O86, TRUE)/(COUNTIF(O$2:O86,FALSE) + COUNTIF(O$2:O86, TRUE))</f>
        <v>0.43529411764705883</v>
      </c>
      <c r="Q86" s="346"/>
      <c r="R86" s="346"/>
      <c r="S86" s="346"/>
      <c r="T86" s="346"/>
      <c r="U86" s="189">
        <f>STDEV(D$2:D86)*SQRT(252)</f>
        <v>0.20447942963510182</v>
      </c>
      <c r="V86" s="189">
        <f>STDEV(L$2:L86)*SQRT(252)</f>
        <v>0.30203167512176549</v>
      </c>
    </row>
    <row r="87" spans="2:22" ht="20.100000000000001" customHeight="1" x14ac:dyDescent="0.25">
      <c r="B87" s="176">
        <v>42354</v>
      </c>
      <c r="C87" s="213">
        <v>2073.0700000000002</v>
      </c>
      <c r="D87" s="175">
        <f t="shared" si="22"/>
        <v>1.4514952946300586E-2</v>
      </c>
      <c r="E87" s="214">
        <f t="shared" si="24"/>
        <v>-1.3969483076805945E-2</v>
      </c>
      <c r="F87" s="224">
        <v>4992.63</v>
      </c>
      <c r="G87" s="175">
        <f t="shared" si="20"/>
        <v>1.1309427129391331E-3</v>
      </c>
      <c r="H87" s="208">
        <f t="shared" si="25"/>
        <v>-1.9457155763301003E-2</v>
      </c>
      <c r="I87" s="226">
        <v>320067.34000000003</v>
      </c>
      <c r="J87" s="177">
        <v>400000</v>
      </c>
      <c r="K87" s="177">
        <f t="shared" si="15"/>
        <v>4956.210000000021</v>
      </c>
      <c r="L87" s="175">
        <f t="shared" si="23"/>
        <v>1.5728451102314352E-2</v>
      </c>
      <c r="M87" s="187">
        <f t="shared" si="17"/>
        <v>-79932.659999999974</v>
      </c>
      <c r="N87" s="189">
        <f t="shared" si="18"/>
        <v>-0.19983164999999994</v>
      </c>
      <c r="O87" s="187" t="b">
        <f t="shared" si="16"/>
        <v>1</v>
      </c>
      <c r="P87" s="189">
        <f>COUNTIF(O$2:O87, TRUE)/(COUNTIF(O$2:O87,FALSE) + COUNTIF(O$2:O87, TRUE))</f>
        <v>0.44186046511627908</v>
      </c>
      <c r="Q87" s="346"/>
      <c r="R87" s="346"/>
      <c r="S87" s="346"/>
      <c r="T87" s="346"/>
      <c r="U87" s="189">
        <f>STDEV(D$2:D87)*SQRT(252)</f>
        <v>0.20484383238315154</v>
      </c>
      <c r="V87" s="189">
        <f>STDEV(L$2:L87)*SQRT(252)</f>
        <v>0.30170012255410639</v>
      </c>
    </row>
    <row r="88" spans="2:22" ht="20.100000000000001" customHeight="1" x14ac:dyDescent="0.25">
      <c r="B88" s="176">
        <v>42355</v>
      </c>
      <c r="C88" s="213">
        <v>2041.89</v>
      </c>
      <c r="D88" s="175">
        <f t="shared" si="22"/>
        <v>-1.5040495497016531E-2</v>
      </c>
      <c r="E88" s="214">
        <f t="shared" si="24"/>
        <v>-2.8799870626510127E-2</v>
      </c>
      <c r="F88" s="224">
        <v>5002.55</v>
      </c>
      <c r="G88" s="175">
        <f t="shared" si="20"/>
        <v>1.9869287329523865E-3</v>
      </c>
      <c r="H88" s="208">
        <f t="shared" si="25"/>
        <v>-1.7508887012196248E-2</v>
      </c>
      <c r="I88" s="226">
        <v>314862.69</v>
      </c>
      <c r="J88" s="177">
        <v>400000</v>
      </c>
      <c r="K88" s="177">
        <f t="shared" ref="K88:K119" si="26">I88-I87-J88+J87</f>
        <v>-5204.6500000000233</v>
      </c>
      <c r="L88" s="175">
        <f t="shared" si="23"/>
        <v>-1.6261109302811161E-2</v>
      </c>
      <c r="M88" s="187">
        <f t="shared" si="17"/>
        <v>-85137.31</v>
      </c>
      <c r="N88" s="189">
        <f t="shared" si="18"/>
        <v>-0.212843275</v>
      </c>
      <c r="O88" s="187" t="b">
        <f t="shared" si="16"/>
        <v>0</v>
      </c>
      <c r="P88" s="189">
        <f>COUNTIF(O$2:O88, TRUE)/(COUNTIF(O$2:O88,FALSE) + COUNTIF(O$2:O88, TRUE))</f>
        <v>0.43678160919540232</v>
      </c>
      <c r="Q88" s="346"/>
      <c r="R88" s="346"/>
      <c r="S88" s="346"/>
      <c r="T88" s="346"/>
      <c r="U88" s="189">
        <f>STDEV(D$2:D88)*SQRT(252)</f>
        <v>0.20523864420055984</v>
      </c>
      <c r="V88" s="189">
        <f>STDEV(L$2:L88)*SQRT(252)</f>
        <v>0.30100381031831397</v>
      </c>
    </row>
    <row r="89" spans="2:22" ht="20.100000000000001" customHeight="1" x14ac:dyDescent="0.25">
      <c r="B89" s="176">
        <v>42356</v>
      </c>
      <c r="C89" s="213">
        <v>2005.52</v>
      </c>
      <c r="D89" s="175">
        <f t="shared" si="22"/>
        <v>-1.7811929144077358E-2</v>
      </c>
      <c r="E89" s="214">
        <f t="shared" si="24"/>
        <v>-4.609881851562949E-2</v>
      </c>
      <c r="F89" s="224">
        <v>4923.08</v>
      </c>
      <c r="G89" s="175">
        <f t="shared" si="20"/>
        <v>-1.5885898191922172E-2</v>
      </c>
      <c r="H89" s="208">
        <f t="shared" si="25"/>
        <v>-3.3116640807588804E-2</v>
      </c>
      <c r="I89" s="226">
        <v>315502.05</v>
      </c>
      <c r="J89" s="177">
        <v>400000</v>
      </c>
      <c r="K89" s="177">
        <f t="shared" si="26"/>
        <v>639.35999999998603</v>
      </c>
      <c r="L89" s="175">
        <f t="shared" si="23"/>
        <v>2.0305994336769022E-3</v>
      </c>
      <c r="M89" s="187">
        <f t="shared" si="17"/>
        <v>-84497.950000000012</v>
      </c>
      <c r="N89" s="189">
        <f t="shared" si="18"/>
        <v>-0.21124487500000003</v>
      </c>
      <c r="O89" s="187" t="b">
        <f t="shared" si="16"/>
        <v>1</v>
      </c>
      <c r="P89" s="189">
        <f>COUNTIF(O$2:O89, TRUE)/(COUNTIF(O$2:O89,FALSE) + COUNTIF(O$2:O89, TRUE))</f>
        <v>0.44318181818181818</v>
      </c>
      <c r="Q89" s="346"/>
      <c r="R89" s="346"/>
      <c r="S89" s="346"/>
      <c r="T89" s="346"/>
      <c r="U89" s="189">
        <f>STDEV(D$2:D89)*SQRT(252)</f>
        <v>0.20621771492919441</v>
      </c>
      <c r="V89" s="189">
        <f>STDEV(L$2:L89)*SQRT(252)</f>
        <v>0.29930992001467371</v>
      </c>
    </row>
    <row r="90" spans="2:22" ht="20.100000000000001" customHeight="1" x14ac:dyDescent="0.25">
      <c r="B90" s="171">
        <v>42359</v>
      </c>
      <c r="C90" s="203">
        <v>2021.15</v>
      </c>
      <c r="D90" s="175">
        <f t="shared" si="22"/>
        <v>7.7934899676892324E-3</v>
      </c>
      <c r="E90" s="204">
        <f t="shared" si="24"/>
        <v>-3.8664599227564142E-2</v>
      </c>
      <c r="F90" s="221">
        <v>4968.92</v>
      </c>
      <c r="G90" s="175">
        <f t="shared" si="20"/>
        <v>9.3112441804724163E-3</v>
      </c>
      <c r="H90" s="206">
        <f t="shared" si="25"/>
        <v>-2.4113753756112841E-2</v>
      </c>
      <c r="I90" s="225">
        <v>320825.06</v>
      </c>
      <c r="J90" s="173">
        <v>400000</v>
      </c>
      <c r="K90" s="173">
        <f t="shared" si="26"/>
        <v>5323.0100000000093</v>
      </c>
      <c r="L90" s="175">
        <f t="shared" si="23"/>
        <v>1.6871554400359711E-2</v>
      </c>
      <c r="M90" s="180">
        <f t="shared" si="17"/>
        <v>-79174.94</v>
      </c>
      <c r="N90" s="188">
        <f t="shared" si="18"/>
        <v>-0.19793735000000001</v>
      </c>
      <c r="O90" s="180" t="b">
        <f t="shared" si="16"/>
        <v>1</v>
      </c>
      <c r="P90" s="188">
        <f>COUNTIF(O$2:O90, TRUE)/(COUNTIF(O$2:O90,FALSE) + COUNTIF(O$2:O90, TRUE))</f>
        <v>0.449438202247191</v>
      </c>
      <c r="Q90" s="345"/>
      <c r="R90" s="345"/>
      <c r="S90" s="345"/>
      <c r="T90" s="345"/>
      <c r="U90" s="188">
        <f>STDEV(D$2:D90)*SQRT(252)</f>
        <v>0.20550415563548391</v>
      </c>
      <c r="V90" s="188">
        <f>STDEV(L$2:L90)*SQRT(252)</f>
        <v>0.29920187088435746</v>
      </c>
    </row>
    <row r="91" spans="2:22" ht="20.100000000000001" customHeight="1" x14ac:dyDescent="0.25">
      <c r="B91" s="171">
        <v>42360</v>
      </c>
      <c r="C91" s="203">
        <v>2038.97</v>
      </c>
      <c r="D91" s="175">
        <f t="shared" si="22"/>
        <v>8.8167627340869983E-3</v>
      </c>
      <c r="E91" s="204">
        <f t="shared" si="24"/>
        <v>-3.0188733091075143E-2</v>
      </c>
      <c r="F91" s="221">
        <v>5001.1099999999997</v>
      </c>
      <c r="G91" s="175">
        <f t="shared" si="20"/>
        <v>6.4782689196041798E-3</v>
      </c>
      <c r="H91" s="206">
        <f t="shared" si="25"/>
        <v>-1.7791700218001874E-2</v>
      </c>
      <c r="I91" s="225">
        <v>321902.78000000003</v>
      </c>
      <c r="J91" s="173">
        <v>400000</v>
      </c>
      <c r="K91" s="173">
        <f t="shared" si="26"/>
        <v>1077.7200000000303</v>
      </c>
      <c r="L91" s="175">
        <f t="shared" si="23"/>
        <v>3.3592138968197506E-3</v>
      </c>
      <c r="M91" s="180">
        <f t="shared" si="17"/>
        <v>-78097.219999999972</v>
      </c>
      <c r="N91" s="188">
        <f t="shared" si="18"/>
        <v>-0.19524304999999992</v>
      </c>
      <c r="O91" s="180" t="b">
        <f t="shared" ref="O91:O122" si="27">L91&gt;D91</f>
        <v>0</v>
      </c>
      <c r="P91" s="188">
        <f>COUNTIF(O$2:O91, TRUE)/(COUNTIF(O$2:O91,FALSE) + COUNTIF(O$2:O91, TRUE))</f>
        <v>0.44444444444444442</v>
      </c>
      <c r="Q91" s="345"/>
      <c r="R91" s="345"/>
      <c r="S91" s="345"/>
      <c r="T91" s="345"/>
      <c r="U91" s="188">
        <f>STDEV(D$2:D91)*SQRT(252)</f>
        <v>0.20491645962952909</v>
      </c>
      <c r="V91" s="188">
        <f>STDEV(L$2:L91)*SQRT(252)</f>
        <v>0.29759929719842121</v>
      </c>
    </row>
    <row r="92" spans="2:22" ht="20.100000000000001" customHeight="1" x14ac:dyDescent="0.25">
      <c r="B92" s="171">
        <v>42361</v>
      </c>
      <c r="C92" s="203">
        <v>2064.29</v>
      </c>
      <c r="D92" s="175">
        <f t="shared" si="22"/>
        <v>1.2418034595898879E-2</v>
      </c>
      <c r="E92" s="204">
        <f t="shared" si="24"/>
        <v>-1.8145583227107593E-2</v>
      </c>
      <c r="F92" s="221">
        <v>5045.93</v>
      </c>
      <c r="G92" s="175">
        <f t="shared" si="20"/>
        <v>8.9620104336838469E-3</v>
      </c>
      <c r="H92" s="206">
        <f t="shared" si="25"/>
        <v>-8.9891391873047361E-3</v>
      </c>
      <c r="I92" s="225">
        <v>330734.09999999998</v>
      </c>
      <c r="J92" s="173">
        <v>400000</v>
      </c>
      <c r="K92" s="173">
        <f t="shared" si="26"/>
        <v>8831.3199999999488</v>
      </c>
      <c r="L92" s="175">
        <f t="shared" si="23"/>
        <v>2.7434742874851679E-2</v>
      </c>
      <c r="M92" s="180">
        <f t="shared" si="17"/>
        <v>-69265.900000000023</v>
      </c>
      <c r="N92" s="188">
        <f t="shared" si="18"/>
        <v>-0.17316475000000006</v>
      </c>
      <c r="O92" s="180" t="b">
        <f t="shared" si="27"/>
        <v>1</v>
      </c>
      <c r="P92" s="188">
        <f>COUNTIF(O$2:O92, TRUE)/(COUNTIF(O$2:O92,FALSE) + COUNTIF(O$2:O92, TRUE))</f>
        <v>0.45054945054945056</v>
      </c>
      <c r="Q92" s="345"/>
      <c r="R92" s="345"/>
      <c r="S92" s="345"/>
      <c r="T92" s="345"/>
      <c r="U92" s="188">
        <f>STDEV(D$2:D92)*SQRT(252)</f>
        <v>0.20486368921422393</v>
      </c>
      <c r="V92" s="188">
        <f>STDEV(L$2:L92)*SQRT(252)</f>
        <v>0.29978352577242878</v>
      </c>
    </row>
    <row r="93" spans="2:22" ht="20.100000000000001" customHeight="1" x14ac:dyDescent="0.25">
      <c r="B93" s="171">
        <v>42362</v>
      </c>
      <c r="C93" s="209">
        <v>2060.9899999999998</v>
      </c>
      <c r="D93" s="175">
        <f t="shared" si="22"/>
        <v>-1.5986125980362168E-3</v>
      </c>
      <c r="E93" s="204">
        <f t="shared" si="24"/>
        <v>-1.9715188067198242E-2</v>
      </c>
      <c r="F93" s="221">
        <v>5048.49</v>
      </c>
      <c r="G93" s="175">
        <f t="shared" si="20"/>
        <v>5.0733957863059742E-4</v>
      </c>
      <c r="H93" s="206">
        <f t="shared" si="25"/>
        <v>-8.4863601547616793E-3</v>
      </c>
      <c r="I93" s="225">
        <v>331472.32</v>
      </c>
      <c r="J93" s="173">
        <v>400000</v>
      </c>
      <c r="K93" s="173">
        <f t="shared" si="26"/>
        <v>738.22000000003027</v>
      </c>
      <c r="L93" s="175">
        <f t="shared" si="23"/>
        <v>2.2320649730403676E-3</v>
      </c>
      <c r="M93" s="180">
        <f t="shared" si="17"/>
        <v>-68527.679999999993</v>
      </c>
      <c r="N93" s="188">
        <f t="shared" si="18"/>
        <v>-0.17131919999999998</v>
      </c>
      <c r="O93" s="180" t="b">
        <f t="shared" si="27"/>
        <v>1</v>
      </c>
      <c r="P93" s="188">
        <f>COUNTIF(O$2:O93, TRUE)/(COUNTIF(O$2:O93,FALSE) + COUNTIF(O$2:O93, TRUE))</f>
        <v>0.45652173913043476</v>
      </c>
      <c r="Q93" s="345"/>
      <c r="R93" s="345"/>
      <c r="S93" s="345"/>
      <c r="T93" s="345"/>
      <c r="U93" s="188">
        <f>STDEV(D$2:D93)*SQRT(252)</f>
        <v>0.20373721805124861</v>
      </c>
      <c r="V93" s="188">
        <f>STDEV(L$2:L93)*SQRT(252)</f>
        <v>0.29815917239051543</v>
      </c>
    </row>
    <row r="94" spans="2:22" ht="20.100000000000001" customHeight="1" x14ac:dyDescent="0.25">
      <c r="B94" s="176">
        <v>42366</v>
      </c>
      <c r="C94" s="220">
        <v>2056.5</v>
      </c>
      <c r="D94" s="175">
        <f t="shared" si="22"/>
        <v>-2.178564670376752E-3</v>
      </c>
      <c r="E94" s="214">
        <f t="shared" si="24"/>
        <v>-2.1850801925381962E-2</v>
      </c>
      <c r="F94" s="224">
        <v>5040.99</v>
      </c>
      <c r="G94" s="175">
        <f t="shared" si="20"/>
        <v>-1.4855927217841374E-3</v>
      </c>
      <c r="H94" s="208">
        <f t="shared" si="25"/>
        <v>-9.9593456016654636E-3</v>
      </c>
      <c r="I94" s="226">
        <v>324433.87</v>
      </c>
      <c r="J94" s="177">
        <v>400000</v>
      </c>
      <c r="K94" s="177">
        <f t="shared" si="26"/>
        <v>-7038.4500000000116</v>
      </c>
      <c r="L94" s="175">
        <f t="shared" si="23"/>
        <v>-2.1233899711445021E-2</v>
      </c>
      <c r="M94" s="187">
        <f t="shared" ref="M94:M125" si="28">I94-J94</f>
        <v>-75566.13</v>
      </c>
      <c r="N94" s="189">
        <f t="shared" ref="N94:N125" si="29">M94/J94</f>
        <v>-0.18891532500000002</v>
      </c>
      <c r="O94" s="187" t="b">
        <f t="shared" si="27"/>
        <v>0</v>
      </c>
      <c r="P94" s="189">
        <f>COUNTIF(O$2:O94, TRUE)/(COUNTIF(O$2:O94,FALSE) + COUNTIF(O$2:O94, TRUE))</f>
        <v>0.45161290322580644</v>
      </c>
      <c r="Q94" s="346"/>
      <c r="R94" s="346"/>
      <c r="S94" s="346"/>
      <c r="T94" s="346"/>
      <c r="U94" s="189">
        <f>STDEV(D$2:D94)*SQRT(252)</f>
        <v>0.20264285644820698</v>
      </c>
      <c r="V94" s="189">
        <f>STDEV(L$2:L94)*SQRT(252)</f>
        <v>0.29842518034690152</v>
      </c>
    </row>
    <row r="95" spans="2:22" ht="20.100000000000001" customHeight="1" x14ac:dyDescent="0.25">
      <c r="B95" s="176">
        <v>42367</v>
      </c>
      <c r="C95" s="213">
        <v>2078.36</v>
      </c>
      <c r="D95" s="175">
        <f t="shared" si="22"/>
        <v>1.0629710673474412E-2</v>
      </c>
      <c r="E95" s="214">
        <f t="shared" si="24"/>
        <v>-1.1453358954357758E-2</v>
      </c>
      <c r="F95" s="224">
        <v>5107.9399999999996</v>
      </c>
      <c r="G95" s="175">
        <f t="shared" si="20"/>
        <v>1.3281121367033027E-2</v>
      </c>
      <c r="H95" s="208">
        <f t="shared" si="25"/>
        <v>3.1895044876956188E-3</v>
      </c>
      <c r="I95" s="226">
        <v>326263</v>
      </c>
      <c r="J95" s="177">
        <v>400000</v>
      </c>
      <c r="K95" s="177">
        <f t="shared" si="26"/>
        <v>1829.1300000000047</v>
      </c>
      <c r="L95" s="175">
        <f t="shared" si="23"/>
        <v>5.6379132055478813E-3</v>
      </c>
      <c r="M95" s="187">
        <f t="shared" si="28"/>
        <v>-73737</v>
      </c>
      <c r="N95" s="189">
        <f t="shared" si="29"/>
        <v>-0.18434249999999999</v>
      </c>
      <c r="O95" s="187" t="b">
        <f t="shared" si="27"/>
        <v>0</v>
      </c>
      <c r="P95" s="189">
        <f>COUNTIF(O$2:O95, TRUE)/(COUNTIF(O$2:O95,FALSE) + COUNTIF(O$2:O95, TRUE))</f>
        <v>0.44680851063829785</v>
      </c>
      <c r="Q95" s="346"/>
      <c r="R95" s="346"/>
      <c r="S95" s="346"/>
      <c r="T95" s="346"/>
      <c r="U95" s="189">
        <f>STDEV(D$2:D95)*SQRT(252)</f>
        <v>0.2023195411541808</v>
      </c>
      <c r="V95" s="189">
        <f>STDEV(L$2:L95)*SQRT(252)</f>
        <v>0.29700566198828871</v>
      </c>
    </row>
    <row r="96" spans="2:22" ht="20.100000000000001" customHeight="1" x14ac:dyDescent="0.25">
      <c r="B96" s="176">
        <v>42368</v>
      </c>
      <c r="C96" s="213">
        <v>2063.36</v>
      </c>
      <c r="D96" s="175">
        <f t="shared" si="22"/>
        <v>-7.2172289689947837E-3</v>
      </c>
      <c r="E96" s="214">
        <f>(C96-$C$2)/$C$2</f>
        <v>-1.8587926409314857E-2</v>
      </c>
      <c r="F96" s="224">
        <v>5065.84</v>
      </c>
      <c r="G96" s="175">
        <f t="shared" si="20"/>
        <v>-8.242070188764836E-3</v>
      </c>
      <c r="H96" s="208">
        <f t="shared" si="25"/>
        <v>-5.0788538209241849E-3</v>
      </c>
      <c r="I96" s="226">
        <v>318053.19</v>
      </c>
      <c r="J96" s="177">
        <v>400000</v>
      </c>
      <c r="K96" s="177">
        <f t="shared" si="26"/>
        <v>-8209.8099999999977</v>
      </c>
      <c r="L96" s="175">
        <f t="shared" si="23"/>
        <v>-2.5163165912162881E-2</v>
      </c>
      <c r="M96" s="187">
        <f t="shared" si="28"/>
        <v>-81946.81</v>
      </c>
      <c r="N96" s="189">
        <f t="shared" si="29"/>
        <v>-0.20486702499999998</v>
      </c>
      <c r="O96" s="187" t="b">
        <f t="shared" si="27"/>
        <v>0</v>
      </c>
      <c r="P96" s="189">
        <f>COUNTIF(O$2:O96, TRUE)/(COUNTIF(O$2:O96,FALSE) + COUNTIF(O$2:O96, TRUE))</f>
        <v>0.44210526315789472</v>
      </c>
      <c r="Q96" s="346"/>
      <c r="R96" s="346"/>
      <c r="S96" s="346"/>
      <c r="T96" s="346"/>
      <c r="U96" s="189">
        <f>STDEV(D$2:D96)*SQRT(252)</f>
        <v>0.20157138397467259</v>
      </c>
      <c r="V96" s="189">
        <f>STDEV(L$2:L96)*SQRT(252)</f>
        <v>0.29803742324397353</v>
      </c>
    </row>
    <row r="97" spans="2:22" ht="20.100000000000001" customHeight="1" x14ac:dyDescent="0.25">
      <c r="B97" s="176">
        <v>42369</v>
      </c>
      <c r="C97" s="213">
        <v>2043.94</v>
      </c>
      <c r="D97" s="175">
        <f t="shared" si="22"/>
        <v>-9.4118331265509031E-3</v>
      </c>
      <c r="E97" s="214">
        <f>(C97-$C$2)/$C$2</f>
        <v>-2.7824813074332679E-2</v>
      </c>
      <c r="F97" s="224">
        <v>5007.41</v>
      </c>
      <c r="G97" s="175">
        <f t="shared" si="20"/>
        <v>-1.1534118724634076E-2</v>
      </c>
      <c r="H97" s="208">
        <f t="shared" si="25"/>
        <v>-1.655439244260266E-2</v>
      </c>
      <c r="I97" s="428">
        <v>320884.32</v>
      </c>
      <c r="J97" s="177">
        <v>400000</v>
      </c>
      <c r="K97" s="177">
        <f t="shared" si="26"/>
        <v>2831.1300000000047</v>
      </c>
      <c r="L97" s="175">
        <f t="shared" si="23"/>
        <v>8.9014356372278634E-3</v>
      </c>
      <c r="M97" s="187">
        <f t="shared" si="28"/>
        <v>-79115.679999999993</v>
      </c>
      <c r="N97" s="189">
        <f t="shared" si="29"/>
        <v>-0.19778919999999997</v>
      </c>
      <c r="O97" s="187" t="b">
        <f t="shared" si="27"/>
        <v>1</v>
      </c>
      <c r="P97" s="189">
        <f>COUNTIF(O$2:O97, TRUE)/(COUNTIF(O$2:O97,FALSE) + COUNTIF(O$2:O97, TRUE))</f>
        <v>0.44791666666666669</v>
      </c>
      <c r="Q97" s="346"/>
      <c r="R97" s="346"/>
      <c r="S97" s="346"/>
      <c r="T97" s="346"/>
      <c r="U97" s="189">
        <f>STDEV(D$2:D97)*SQRT(252)</f>
        <v>0.20106669704355981</v>
      </c>
      <c r="V97" s="189">
        <f>STDEV(L$2:L97)*SQRT(252)</f>
        <v>0.29691114338787766</v>
      </c>
    </row>
    <row r="98" spans="2:22" ht="20.100000000000001" customHeight="1" x14ac:dyDescent="0.25">
      <c r="B98" s="171">
        <v>42373</v>
      </c>
      <c r="C98" s="203">
        <v>2012.66</v>
      </c>
      <c r="D98" s="175">
        <f t="shared" si="22"/>
        <v>-1.5303776040392561E-2</v>
      </c>
      <c r="E98" s="204">
        <f t="shared" ref="E98:E103" si="30">(C98-$C$2)/$C$2</f>
        <v>-4.2702764407069868E-2</v>
      </c>
      <c r="F98" s="221">
        <v>4903.08</v>
      </c>
      <c r="G98" s="175">
        <f t="shared" si="20"/>
        <v>-2.0835122348679243E-2</v>
      </c>
      <c r="H98" s="206">
        <f t="shared" si="25"/>
        <v>-3.7044601999332225E-2</v>
      </c>
      <c r="I98" s="225">
        <v>323756.46999999997</v>
      </c>
      <c r="J98" s="173">
        <v>400000</v>
      </c>
      <c r="K98" s="173">
        <f t="shared" si="26"/>
        <v>2872.1499999999651</v>
      </c>
      <c r="L98" s="175">
        <f t="shared" si="23"/>
        <v>8.950733398253816E-3</v>
      </c>
      <c r="M98" s="180">
        <f t="shared" si="28"/>
        <v>-76243.530000000028</v>
      </c>
      <c r="N98" s="188">
        <f t="shared" si="29"/>
        <v>-0.19060882500000007</v>
      </c>
      <c r="O98" s="180" t="b">
        <f t="shared" si="27"/>
        <v>1</v>
      </c>
      <c r="P98" s="188">
        <f>COUNTIF(O$2:O98, TRUE)/(COUNTIF(O$2:O98,FALSE) + COUNTIF(O$2:O98, TRUE))</f>
        <v>0.45360824742268041</v>
      </c>
      <c r="Q98" s="345"/>
      <c r="R98" s="345"/>
      <c r="S98" s="345"/>
      <c r="T98" s="345"/>
      <c r="U98" s="188">
        <f>STDEV(D$2:D98)*SQRT(252)</f>
        <v>0.20149367115092381</v>
      </c>
      <c r="V98" s="188">
        <f>STDEV(L$2:L98)*SQRT(252)</f>
        <v>0.29579926006722401</v>
      </c>
    </row>
    <row r="99" spans="2:22" ht="20.100000000000001" customHeight="1" x14ac:dyDescent="0.25">
      <c r="B99" s="171">
        <v>42374</v>
      </c>
      <c r="C99" s="203">
        <v>2016.71</v>
      </c>
      <c r="D99" s="175">
        <f t="shared" si="22"/>
        <v>2.0122623791400209E-3</v>
      </c>
      <c r="E99" s="204">
        <f t="shared" si="30"/>
        <v>-4.0776431194231473E-2</v>
      </c>
      <c r="F99" s="221">
        <v>4891.43</v>
      </c>
      <c r="G99" s="175">
        <f t="shared" si="20"/>
        <v>-2.3760574985518565E-3</v>
      </c>
      <c r="H99" s="206">
        <f t="shared" si="25"/>
        <v>-3.9332639393522703E-2</v>
      </c>
      <c r="I99" s="225">
        <v>326120.51</v>
      </c>
      <c r="J99" s="173">
        <v>400000</v>
      </c>
      <c r="K99" s="173">
        <f t="shared" si="26"/>
        <v>2364.0400000000373</v>
      </c>
      <c r="L99" s="175">
        <f t="shared" si="23"/>
        <v>7.3019081286623787E-3</v>
      </c>
      <c r="M99" s="180">
        <f t="shared" si="28"/>
        <v>-73879.489999999991</v>
      </c>
      <c r="N99" s="188">
        <f t="shared" si="29"/>
        <v>-0.18469872499999998</v>
      </c>
      <c r="O99" s="180" t="b">
        <f t="shared" si="27"/>
        <v>1</v>
      </c>
      <c r="P99" s="188">
        <f>COUNTIF(O$2:O99, TRUE)/(COUNTIF(O$2:O99,FALSE) + COUNTIF(O$2:O99, TRUE))</f>
        <v>0.45918367346938777</v>
      </c>
      <c r="Q99" s="345"/>
      <c r="R99" s="345"/>
      <c r="S99" s="345"/>
      <c r="T99" s="345"/>
      <c r="U99" s="188">
        <f>STDEV(D$2:D99)*SQRT(252)</f>
        <v>0.20047839614181759</v>
      </c>
      <c r="V99" s="188">
        <f>STDEV(L$2:L99)*SQRT(252)</f>
        <v>0.29456352660323443</v>
      </c>
    </row>
    <row r="100" spans="2:22" ht="20.100000000000001" customHeight="1" x14ac:dyDescent="0.25">
      <c r="B100" s="171">
        <v>42375</v>
      </c>
      <c r="C100" s="203">
        <v>1990.26</v>
      </c>
      <c r="D100" s="175">
        <f t="shared" si="22"/>
        <v>-1.3115420660382527E-2</v>
      </c>
      <c r="E100" s="204">
        <f t="shared" si="30"/>
        <v>-5.3357051806472509E-2</v>
      </c>
      <c r="F100" s="221">
        <v>4835.76</v>
      </c>
      <c r="G100" s="175">
        <f t="shared" si="20"/>
        <v>-1.1381129853641996E-2</v>
      </c>
      <c r="H100" s="206">
        <f t="shared" si="25"/>
        <v>-5.026611937074054E-2</v>
      </c>
      <c r="I100" s="225">
        <v>307215.3</v>
      </c>
      <c r="J100" s="173">
        <v>400000</v>
      </c>
      <c r="K100" s="173">
        <f t="shared" si="26"/>
        <v>-18905.210000000021</v>
      </c>
      <c r="L100" s="175">
        <f t="shared" si="23"/>
        <v>-5.7970012373646844E-2</v>
      </c>
      <c r="M100" s="180">
        <f t="shared" si="28"/>
        <v>-92784.700000000012</v>
      </c>
      <c r="N100" s="188">
        <f t="shared" si="29"/>
        <v>-0.23196175000000002</v>
      </c>
      <c r="O100" s="180" t="b">
        <f t="shared" si="27"/>
        <v>0</v>
      </c>
      <c r="P100" s="188">
        <f>COUNTIF(O$2:O100, TRUE)/(COUNTIF(O$2:O100,FALSE) + COUNTIF(O$2:O100, TRUE))</f>
        <v>0.45454545454545453</v>
      </c>
      <c r="Q100" s="345"/>
      <c r="R100" s="345"/>
      <c r="S100" s="345"/>
      <c r="T100" s="345"/>
      <c r="U100" s="188">
        <f>STDEV(D$2:D100)*SQRT(252)</f>
        <v>0.20049006957671658</v>
      </c>
      <c r="V100" s="188">
        <f>STDEV(L$2:L100)*SQRT(252)</f>
        <v>0.30696087260477756</v>
      </c>
    </row>
    <row r="101" spans="2:22" ht="20.100000000000001" customHeight="1" x14ac:dyDescent="0.25">
      <c r="B101" s="171">
        <v>42376</v>
      </c>
      <c r="C101" s="209">
        <v>1943.09</v>
      </c>
      <c r="D101" s="175">
        <f t="shared" si="22"/>
        <v>-2.3700421050516049E-2</v>
      </c>
      <c r="E101" s="204">
        <f t="shared" si="30"/>
        <v>-7.5792888263160968E-2</v>
      </c>
      <c r="F101" s="221">
        <v>4689.42</v>
      </c>
      <c r="G101" s="175">
        <f t="shared" si="20"/>
        <v>-3.0262047744304958E-2</v>
      </c>
      <c r="H101" s="206">
        <f t="shared" si="25"/>
        <v>-7.9007011410727218E-2</v>
      </c>
      <c r="I101" s="225">
        <v>296450.84999999998</v>
      </c>
      <c r="J101" s="173">
        <v>400000</v>
      </c>
      <c r="K101" s="173">
        <f t="shared" si="26"/>
        <v>-10764.450000000012</v>
      </c>
      <c r="L101" s="175">
        <f t="shared" si="23"/>
        <v>-3.503878224814979E-2</v>
      </c>
      <c r="M101" s="180">
        <f t="shared" si="28"/>
        <v>-103549.15000000002</v>
      </c>
      <c r="N101" s="188">
        <f t="shared" si="29"/>
        <v>-0.25887287500000006</v>
      </c>
      <c r="O101" s="180" t="b">
        <f t="shared" si="27"/>
        <v>0</v>
      </c>
      <c r="P101" s="188">
        <f>COUNTIF(O$2:O101, TRUE)/(COUNTIF(O$2:O101,FALSE) + COUNTIF(O$2:O101, TRUE))</f>
        <v>0.45</v>
      </c>
      <c r="Q101" s="345"/>
      <c r="R101" s="345"/>
      <c r="S101" s="345"/>
      <c r="T101" s="345"/>
      <c r="U101" s="188">
        <f>STDEV(D$2:D101)*SQRT(252)</f>
        <v>0.20287568849216503</v>
      </c>
      <c r="V101" s="188">
        <f>STDEV(L$2:L101)*SQRT(252)</f>
        <v>0.3100263800011836</v>
      </c>
    </row>
    <row r="102" spans="2:22" ht="20.100000000000001" customHeight="1" x14ac:dyDescent="0.25">
      <c r="B102" s="171">
        <v>42377</v>
      </c>
      <c r="C102" s="209">
        <v>1922.03</v>
      </c>
      <c r="D102" s="175">
        <f t="shared" si="22"/>
        <v>-1.0838406867412187E-2</v>
      </c>
      <c r="E102" s="204">
        <f t="shared" si="30"/>
        <v>-8.5809820969920694E-2</v>
      </c>
      <c r="F102" s="221">
        <v>4643.63</v>
      </c>
      <c r="G102" s="175">
        <f t="shared" si="20"/>
        <v>-9.7645337802969162E-3</v>
      </c>
      <c r="H102" s="206">
        <f t="shared" si="25"/>
        <v>-8.8000078559223788E-2</v>
      </c>
      <c r="I102" s="225">
        <v>291709.24</v>
      </c>
      <c r="J102" s="173">
        <v>400000</v>
      </c>
      <c r="K102" s="173">
        <f t="shared" si="26"/>
        <v>-4741.609999999986</v>
      </c>
      <c r="L102" s="175">
        <f t="shared" si="23"/>
        <v>-1.5994590671607068E-2</v>
      </c>
      <c r="M102" s="180">
        <f t="shared" si="28"/>
        <v>-108290.76000000001</v>
      </c>
      <c r="N102" s="188">
        <f t="shared" si="29"/>
        <v>-0.27072690000000005</v>
      </c>
      <c r="O102" s="180" t="b">
        <f t="shared" si="27"/>
        <v>0</v>
      </c>
      <c r="P102" s="188">
        <f>COUNTIF(O$2:O102, TRUE)/(COUNTIF(O$2:O102,FALSE) + COUNTIF(O$2:O102, TRUE))</f>
        <v>0.44554455445544555</v>
      </c>
      <c r="Q102" s="345"/>
      <c r="R102" s="345"/>
      <c r="S102" s="345"/>
      <c r="T102" s="345"/>
      <c r="U102" s="188">
        <f>STDEV(D$2:D102)*SQRT(252)</f>
        <v>0.20248720457618641</v>
      </c>
      <c r="V102" s="188">
        <f>STDEV(L$2:L102)*SQRT(252)</f>
        <v>0.30926714125463156</v>
      </c>
    </row>
    <row r="103" spans="2:22" ht="20.100000000000001" customHeight="1" x14ac:dyDescent="0.25">
      <c r="B103" s="176">
        <v>42380</v>
      </c>
      <c r="C103" s="220">
        <v>1923.67</v>
      </c>
      <c r="D103" s="175">
        <f t="shared" si="22"/>
        <v>8.5326451720321749E-4</v>
      </c>
      <c r="E103" s="214">
        <f t="shared" si="30"/>
        <v>-8.5029774928178675E-2</v>
      </c>
      <c r="F103" s="224">
        <v>4637.9799999999996</v>
      </c>
      <c r="G103" s="175">
        <f t="shared" si="20"/>
        <v>-1.2167205397502698E-3</v>
      </c>
      <c r="H103" s="208">
        <f t="shared" si="25"/>
        <v>-8.9109727595891405E-2</v>
      </c>
      <c r="I103" s="226">
        <v>278511.46999999997</v>
      </c>
      <c r="J103" s="177">
        <v>400000</v>
      </c>
      <c r="K103" s="177">
        <f t="shared" si="26"/>
        <v>-13197.770000000019</v>
      </c>
      <c r="L103" s="175">
        <f t="shared" si="23"/>
        <v>-4.5242893231630298E-2</v>
      </c>
      <c r="M103" s="187">
        <f t="shared" si="28"/>
        <v>-121488.53000000003</v>
      </c>
      <c r="N103" s="189">
        <f t="shared" si="29"/>
        <v>-0.3037213250000001</v>
      </c>
      <c r="O103" s="187" t="b">
        <f t="shared" si="27"/>
        <v>0</v>
      </c>
      <c r="P103" s="189">
        <f>COUNTIF(O$2:O103, TRUE)/(COUNTIF(O$2:O103,FALSE) + COUNTIF(O$2:O103, TRUE))</f>
        <v>0.44117647058823528</v>
      </c>
      <c r="Q103" s="346"/>
      <c r="R103" s="346"/>
      <c r="S103" s="346"/>
      <c r="T103" s="346"/>
      <c r="U103" s="189">
        <f>STDEV(D$2:D103)*SQRT(252)</f>
        <v>0.20148947946934948</v>
      </c>
      <c r="V103" s="189">
        <f>STDEV(L$2:L103)*SQRT(252)</f>
        <v>0.31519307674971891</v>
      </c>
    </row>
    <row r="104" spans="2:22" ht="20.100000000000001" customHeight="1" x14ac:dyDescent="0.25">
      <c r="B104" s="176">
        <v>42381</v>
      </c>
      <c r="C104" s="213">
        <v>1938.68</v>
      </c>
      <c r="D104" s="175">
        <f t="shared" si="22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0"/>
        <v>1.0269557005420487E-2</v>
      </c>
      <c r="H104" s="208">
        <f t="shared" si="25"/>
        <v>-7.9755288017754417E-2</v>
      </c>
      <c r="I104" s="226">
        <v>272280.59000000003</v>
      </c>
      <c r="J104" s="177">
        <v>400000</v>
      </c>
      <c r="K104" s="177">
        <f t="shared" si="26"/>
        <v>-6230.8799999999464</v>
      </c>
      <c r="L104" s="175">
        <f t="shared" si="23"/>
        <v>-2.2372076812491589E-2</v>
      </c>
      <c r="M104" s="187">
        <f t="shared" si="28"/>
        <v>-127719.40999999997</v>
      </c>
      <c r="N104" s="189">
        <f t="shared" si="29"/>
        <v>-0.31929852499999994</v>
      </c>
      <c r="O104" s="187" t="b">
        <f t="shared" si="27"/>
        <v>0</v>
      </c>
      <c r="P104" s="189">
        <f>COUNTIF(O$2:O104, TRUE)/(COUNTIF(O$2:O104,FALSE) + COUNTIF(O$2:O104, TRUE))</f>
        <v>0.43689320388349512</v>
      </c>
      <c r="Q104" s="346"/>
      <c r="R104" s="346"/>
      <c r="S104" s="346"/>
      <c r="T104" s="346"/>
      <c r="U104" s="189">
        <f>STDEV(D$2:D104)*SQRT(252)</f>
        <v>0.20094495344626548</v>
      </c>
      <c r="V104" s="189">
        <f>STDEV(L$2:L104)*SQRT(252)</f>
        <v>0.31518540993187888</v>
      </c>
    </row>
    <row r="105" spans="2:22" ht="20.100000000000001" customHeight="1" x14ac:dyDescent="0.25">
      <c r="B105" s="176">
        <v>42382</v>
      </c>
      <c r="C105" s="213">
        <v>1890.28</v>
      </c>
      <c r="D105" s="175">
        <f t="shared" si="22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0"/>
        <v>-3.4051062721822623E-2</v>
      </c>
      <c r="H105" s="208">
        <f t="shared" si="25"/>
        <v>-0.11109059842488746</v>
      </c>
      <c r="I105" s="226">
        <v>259060.64</v>
      </c>
      <c r="J105" s="177">
        <v>400000</v>
      </c>
      <c r="K105" s="177">
        <f t="shared" si="26"/>
        <v>-13219.950000000012</v>
      </c>
      <c r="L105" s="175">
        <f t="shared" si="23"/>
        <v>-4.8552671345394142E-2</v>
      </c>
      <c r="M105" s="187">
        <f t="shared" si="28"/>
        <v>-140939.35999999999</v>
      </c>
      <c r="N105" s="189">
        <f t="shared" si="29"/>
        <v>-0.35234839999999995</v>
      </c>
      <c r="O105" s="187" t="b">
        <f t="shared" si="27"/>
        <v>0</v>
      </c>
      <c r="P105" s="189">
        <f>COUNTIF(O$2:O105, TRUE)/(COUNTIF(O$2:O105,FALSE) + COUNTIF(O$2:O105, TRUE))</f>
        <v>0.43269230769230771</v>
      </c>
      <c r="Q105" s="346"/>
      <c r="R105" s="346"/>
      <c r="S105" s="346"/>
      <c r="T105" s="346"/>
      <c r="U105" s="189">
        <f>STDEV(D$2:D105)*SQRT(252)</f>
        <v>0.20352342454405692</v>
      </c>
      <c r="V105" s="189">
        <f>STDEV(L$2:L105)*SQRT(252)</f>
        <v>0.32174542830097441</v>
      </c>
    </row>
    <row r="106" spans="2:22" ht="20.100000000000001" customHeight="1" x14ac:dyDescent="0.25">
      <c r="B106" s="176">
        <v>42383</v>
      </c>
      <c r="C106" s="213">
        <v>1921.84</v>
      </c>
      <c r="D106" s="175">
        <f t="shared" si="22"/>
        <v>1.6695939225934753E-2</v>
      </c>
      <c r="E106" s="214">
        <f t="shared" ref="E106:E113" si="31">(C106-$C$2)/$C$2</f>
        <v>-8.5900192157683519E-2</v>
      </c>
      <c r="F106" s="224">
        <v>4615</v>
      </c>
      <c r="G106" s="175">
        <f t="shared" si="20"/>
        <v>1.9650645373680331E-2</v>
      </c>
      <c r="H106" s="208">
        <f t="shared" si="25"/>
        <v>-9.3622955005204511E-2</v>
      </c>
      <c r="I106" s="226">
        <v>267077.40000000002</v>
      </c>
      <c r="J106" s="177">
        <v>400000</v>
      </c>
      <c r="K106" s="177">
        <f t="shared" si="26"/>
        <v>8016.7600000000093</v>
      </c>
      <c r="L106" s="175">
        <f t="shared" si="23"/>
        <v>3.0945496004333228E-2</v>
      </c>
      <c r="M106" s="187">
        <f t="shared" si="28"/>
        <v>-132922.59999999998</v>
      </c>
      <c r="N106" s="189">
        <f t="shared" si="29"/>
        <v>-0.33230649999999995</v>
      </c>
      <c r="O106" s="187" t="b">
        <f t="shared" si="27"/>
        <v>1</v>
      </c>
      <c r="P106" s="189">
        <f>COUNTIF(O$2:O106, TRUE)/(COUNTIF(O$2:O106,FALSE) + COUNTIF(O$2:O106, TRUE))</f>
        <v>0.43809523809523809</v>
      </c>
      <c r="Q106" s="346"/>
      <c r="R106" s="346"/>
      <c r="S106" s="346"/>
      <c r="T106" s="346"/>
      <c r="U106" s="189">
        <f>STDEV(D$2:D106)*SQRT(252)</f>
        <v>0.20438733546247476</v>
      </c>
      <c r="V106" s="189">
        <f>STDEV(L$2:L106)*SQRT(252)</f>
        <v>0.32453820781135018</v>
      </c>
    </row>
    <row r="107" spans="2:22" ht="20.100000000000001" customHeight="1" x14ac:dyDescent="0.25">
      <c r="B107" s="176">
        <v>42384</v>
      </c>
      <c r="C107" s="213">
        <v>1880.33</v>
      </c>
      <c r="D107" s="175">
        <f t="shared" si="22"/>
        <v>-2.1599092536319357E-2</v>
      </c>
      <c r="E107" s="214">
        <f t="shared" si="31"/>
        <v>-0.10564391849470145</v>
      </c>
      <c r="F107" s="224">
        <v>4488.41</v>
      </c>
      <c r="G107" s="175">
        <f t="shared" si="20"/>
        <v>-2.7430119176598083E-2</v>
      </c>
      <c r="H107" s="208">
        <f t="shared" ref="H107:H121" si="32">(F107-F$2)/F$2</f>
        <v>-0.11848498536834456</v>
      </c>
      <c r="I107" s="226">
        <v>249397.57</v>
      </c>
      <c r="J107" s="177">
        <v>400000</v>
      </c>
      <c r="K107" s="177">
        <f t="shared" si="26"/>
        <v>-17679.830000000016</v>
      </c>
      <c r="L107" s="175">
        <f t="shared" si="23"/>
        <v>-6.619740195164403E-2</v>
      </c>
      <c r="M107" s="187">
        <f t="shared" si="28"/>
        <v>-150602.43</v>
      </c>
      <c r="N107" s="189">
        <f t="shared" si="29"/>
        <v>-0.376506075</v>
      </c>
      <c r="O107" s="187" t="b">
        <f t="shared" si="27"/>
        <v>0</v>
      </c>
      <c r="P107" s="189">
        <f>COUNTIF(O$2:O107, TRUE)/(COUNTIF(O$2:O107,FALSE) + COUNTIF(O$2:O107, TRUE))</f>
        <v>0.43396226415094341</v>
      </c>
      <c r="Q107" s="346"/>
      <c r="R107" s="346"/>
      <c r="S107" s="346"/>
      <c r="T107" s="346"/>
      <c r="U107" s="189">
        <f>STDEV(D$2:D107)*SQRT(252)</f>
        <v>0.20594332584152428</v>
      </c>
      <c r="V107" s="189">
        <f>STDEV(L$2:L107)*SQRT(252)</f>
        <v>0.33758588878684614</v>
      </c>
    </row>
    <row r="108" spans="2:22" ht="20.100000000000001" customHeight="1" x14ac:dyDescent="0.25">
      <c r="B108" s="171">
        <v>42388</v>
      </c>
      <c r="C108" s="203">
        <v>1881.33</v>
      </c>
      <c r="D108" s="175">
        <f t="shared" si="22"/>
        <v>5.3182154196337883E-4</v>
      </c>
      <c r="E108" s="204">
        <f t="shared" si="31"/>
        <v>-0.10516828066437098</v>
      </c>
      <c r="F108" s="221">
        <v>4476.95</v>
      </c>
      <c r="G108" s="175">
        <f t="shared" si="20"/>
        <v>-2.5532426850488339E-3</v>
      </c>
      <c r="H108" s="206">
        <f t="shared" si="32"/>
        <v>-0.12073570713121355</v>
      </c>
      <c r="I108" s="225">
        <v>241697.04</v>
      </c>
      <c r="J108" s="173">
        <v>400000</v>
      </c>
      <c r="K108" s="173">
        <f t="shared" si="26"/>
        <v>-7700.5300000000279</v>
      </c>
      <c r="L108" s="175">
        <f t="shared" si="23"/>
        <v>-3.0876523776875723E-2</v>
      </c>
      <c r="M108" s="180">
        <f t="shared" si="28"/>
        <v>-158302.96</v>
      </c>
      <c r="N108" s="188">
        <f t="shared" si="29"/>
        <v>-0.39575739999999998</v>
      </c>
      <c r="O108" s="180" t="b">
        <f t="shared" si="27"/>
        <v>0</v>
      </c>
      <c r="P108" s="188">
        <f>COUNTIF(O$2:O108, TRUE)/(COUNTIF(O$2:O108,FALSE) + COUNTIF(O$2:O108, TRUE))</f>
        <v>0.42990654205607476</v>
      </c>
      <c r="Q108" s="345"/>
      <c r="R108" s="345"/>
      <c r="S108" s="345"/>
      <c r="T108" s="345"/>
      <c r="U108" s="188">
        <f>STDEV(D$2:D108)*SQRT(252)</f>
        <v>0.20497353903003479</v>
      </c>
      <c r="V108" s="188">
        <f>STDEV(L$2:L108)*SQRT(252)</f>
        <v>0.33863790038958375</v>
      </c>
    </row>
    <row r="109" spans="2:22" ht="20.100000000000001" customHeight="1" x14ac:dyDescent="0.25">
      <c r="B109" s="171">
        <v>42389</v>
      </c>
      <c r="C109" s="203">
        <v>1859.33</v>
      </c>
      <c r="D109" s="175">
        <f t="shared" si="22"/>
        <v>-1.1693854879260949E-2</v>
      </c>
      <c r="E109" s="204">
        <f t="shared" si="31"/>
        <v>-0.11563231293164139</v>
      </c>
      <c r="F109" s="221">
        <v>4471.68</v>
      </c>
      <c r="G109" s="175">
        <f t="shared" si="20"/>
        <v>-1.1771406872981666E-3</v>
      </c>
      <c r="H109" s="206">
        <f t="shared" si="32"/>
        <v>-0.12177072490523785</v>
      </c>
      <c r="I109" s="225">
        <v>239001.56</v>
      </c>
      <c r="J109" s="173">
        <v>400000</v>
      </c>
      <c r="K109" s="173">
        <f t="shared" si="26"/>
        <v>-2695.4799999999814</v>
      </c>
      <c r="L109" s="175">
        <f t="shared" si="23"/>
        <v>-1.1152308691906121E-2</v>
      </c>
      <c r="M109" s="180">
        <f t="shared" si="28"/>
        <v>-160998.44</v>
      </c>
      <c r="N109" s="188">
        <f t="shared" si="29"/>
        <v>-0.40249610000000002</v>
      </c>
      <c r="O109" s="180" t="b">
        <f t="shared" si="27"/>
        <v>1</v>
      </c>
      <c r="P109" s="188">
        <f>COUNTIF(O$2:O109, TRUE)/(COUNTIF(O$2:O109,FALSE) + COUNTIF(O$2:O109, TRUE))</f>
        <v>0.43518518518518517</v>
      </c>
      <c r="Q109" s="345"/>
      <c r="R109" s="345"/>
      <c r="S109" s="345"/>
      <c r="T109" s="345"/>
      <c r="U109" s="188">
        <f>STDEV(D$2:D109)*SQRT(252)</f>
        <v>0.20466775158586656</v>
      </c>
      <c r="V109" s="188">
        <f>STDEV(L$2:L109)*SQRT(252)</f>
        <v>0.33723365750596535</v>
      </c>
    </row>
    <row r="110" spans="2:22" ht="20.100000000000001" customHeight="1" x14ac:dyDescent="0.25">
      <c r="B110" s="171">
        <v>42390</v>
      </c>
      <c r="C110" s="203">
        <v>1868.99</v>
      </c>
      <c r="D110" s="175">
        <f t="shared" si="22"/>
        <v>5.1954198555394055E-3</v>
      </c>
      <c r="E110" s="204">
        <f t="shared" si="31"/>
        <v>-0.11103765149064898</v>
      </c>
      <c r="F110" s="221">
        <v>4472.0600000000004</v>
      </c>
      <c r="G110" s="175">
        <f t="shared" si="20"/>
        <v>8.4979247173346285E-5</v>
      </c>
      <c r="H110" s="206">
        <f t="shared" si="32"/>
        <v>-0.1216960936425947</v>
      </c>
      <c r="I110" s="225">
        <v>254991.51</v>
      </c>
      <c r="J110" s="173">
        <v>400000</v>
      </c>
      <c r="K110" s="173">
        <f t="shared" si="26"/>
        <v>15989.950000000012</v>
      </c>
      <c r="L110" s="175">
        <f t="shared" si="23"/>
        <v>6.6903119795536106E-2</v>
      </c>
      <c r="M110" s="180">
        <f t="shared" si="28"/>
        <v>-145008.49</v>
      </c>
      <c r="N110" s="188">
        <f t="shared" si="29"/>
        <v>-0.362521225</v>
      </c>
      <c r="O110" s="180" t="b">
        <f t="shared" si="27"/>
        <v>1</v>
      </c>
      <c r="P110" s="188">
        <f>COUNTIF(O$2:O110, TRUE)/(COUNTIF(O$2:O110,FALSE) + COUNTIF(O$2:O110, TRUE))</f>
        <v>0.44036697247706424</v>
      </c>
      <c r="Q110" s="345"/>
      <c r="R110" s="345"/>
      <c r="S110" s="345"/>
      <c r="T110" s="345"/>
      <c r="U110" s="188">
        <f>STDEV(D$2:D110)*SQRT(252)</f>
        <v>0.20393347244728127</v>
      </c>
      <c r="V110" s="188">
        <f>STDEV(L$2:L110)*SQRT(252)</f>
        <v>0.35256157198523613</v>
      </c>
    </row>
    <row r="111" spans="2:22" ht="20.100000000000001" customHeight="1" x14ac:dyDescent="0.25">
      <c r="B111" s="171">
        <v>42391</v>
      </c>
      <c r="C111" s="209">
        <v>1906.9</v>
      </c>
      <c r="D111" s="175">
        <f t="shared" si="22"/>
        <v>2.0283682630725729E-2</v>
      </c>
      <c r="E111" s="204">
        <f t="shared" si="31"/>
        <v>-9.3006221342820702E-2</v>
      </c>
      <c r="F111" s="221">
        <v>4591.18</v>
      </c>
      <c r="G111" s="175">
        <f t="shared" si="20"/>
        <v>2.6636494143638476E-2</v>
      </c>
      <c r="H111" s="206">
        <f t="shared" si="32"/>
        <v>-9.8301156784570881E-2</v>
      </c>
      <c r="I111" s="225">
        <v>260098.81</v>
      </c>
      <c r="J111" s="173">
        <v>400000</v>
      </c>
      <c r="K111" s="173">
        <f t="shared" si="26"/>
        <v>5107.2999999999884</v>
      </c>
      <c r="L111" s="175">
        <f t="shared" si="23"/>
        <v>2.0029294308661447E-2</v>
      </c>
      <c r="M111" s="180">
        <f t="shared" si="28"/>
        <v>-139901.19</v>
      </c>
      <c r="N111" s="188">
        <f t="shared" si="29"/>
        <v>-0.34975297500000002</v>
      </c>
      <c r="O111" s="180" t="b">
        <f t="shared" si="27"/>
        <v>0</v>
      </c>
      <c r="P111" s="188">
        <f>COUNTIF(O$2:O111, TRUE)/(COUNTIF(O$2:O111,FALSE) + COUNTIF(O$2:O111, TRUE))</f>
        <v>0.43636363636363634</v>
      </c>
      <c r="Q111" s="345"/>
      <c r="R111" s="345"/>
      <c r="S111" s="345"/>
      <c r="T111" s="345"/>
      <c r="U111" s="188">
        <f>STDEV(D$2:D111)*SQRT(252)</f>
        <v>0.20555239783673285</v>
      </c>
      <c r="V111" s="188">
        <f>STDEV(L$2:L111)*SQRT(252)</f>
        <v>0.35267737853182896</v>
      </c>
    </row>
    <row r="112" spans="2:22" ht="20.100000000000001" customHeight="1" x14ac:dyDescent="0.25">
      <c r="B112" s="176">
        <v>42394</v>
      </c>
      <c r="C112" s="220">
        <v>1877.08</v>
      </c>
      <c r="D112" s="175">
        <f t="shared" si="22"/>
        <v>-1.5637946405160294E-2</v>
      </c>
      <c r="E112" s="214">
        <f t="shared" si="31"/>
        <v>-0.10718974144327549</v>
      </c>
      <c r="F112" s="224">
        <v>4518.49</v>
      </c>
      <c r="G112" s="175">
        <f t="shared" si="20"/>
        <v>-1.5832531070443873E-2</v>
      </c>
      <c r="H112" s="208">
        <f t="shared" si="32"/>
        <v>-0.11257733173596246</v>
      </c>
      <c r="I112" s="226">
        <v>241845.81</v>
      </c>
      <c r="J112" s="177">
        <v>400000</v>
      </c>
      <c r="K112" s="177">
        <f t="shared" si="26"/>
        <v>-18253</v>
      </c>
      <c r="L112" s="175">
        <f t="shared" si="23"/>
        <v>-7.0177176127795435E-2</v>
      </c>
      <c r="M112" s="187">
        <f t="shared" si="28"/>
        <v>-158154.19</v>
      </c>
      <c r="N112" s="189">
        <f t="shared" si="29"/>
        <v>-0.39538547499999999</v>
      </c>
      <c r="O112" s="187" t="b">
        <f t="shared" si="27"/>
        <v>0</v>
      </c>
      <c r="P112" s="189">
        <f>COUNTIF(O$2:O112, TRUE)/(COUNTIF(O$2:O112,FALSE) + COUNTIF(O$2:O112, TRUE))</f>
        <v>0.43243243243243246</v>
      </c>
      <c r="Q112" s="346"/>
      <c r="R112" s="346"/>
      <c r="S112" s="346"/>
      <c r="T112" s="346"/>
      <c r="U112" s="189">
        <f>STDEV(D$2:D112)*SQRT(252)</f>
        <v>0.2058342089719612</v>
      </c>
      <c r="V112" s="189">
        <f>STDEV(L$2:L112)*SQRT(252)</f>
        <v>0.36554774877731538</v>
      </c>
    </row>
    <row r="113" spans="2:22" ht="20.100000000000001" customHeight="1" x14ac:dyDescent="0.25">
      <c r="B113" s="176">
        <v>42395</v>
      </c>
      <c r="C113" s="213">
        <v>1903.63</v>
      </c>
      <c r="D113" s="175">
        <f t="shared" si="22"/>
        <v>1.4144309246276229E-2</v>
      </c>
      <c r="E113" s="214">
        <f t="shared" si="31"/>
        <v>-9.4561557048001343E-2</v>
      </c>
      <c r="F113" s="224">
        <v>4567.67</v>
      </c>
      <c r="G113" s="175">
        <f t="shared" si="20"/>
        <v>1.0884167055808532E-2</v>
      </c>
      <c r="H113" s="208">
        <f t="shared" si="32"/>
        <v>-0.10291847516546532</v>
      </c>
      <c r="I113" s="226">
        <v>248055.57</v>
      </c>
      <c r="J113" s="177">
        <v>400000</v>
      </c>
      <c r="K113" s="177">
        <f t="shared" si="26"/>
        <v>6209.7600000000093</v>
      </c>
      <c r="L113" s="175">
        <f t="shared" si="23"/>
        <v>2.5676525055364861E-2</v>
      </c>
      <c r="M113" s="187">
        <f t="shared" si="28"/>
        <v>-151944.43</v>
      </c>
      <c r="N113" s="189">
        <f t="shared" si="29"/>
        <v>-0.37986107499999999</v>
      </c>
      <c r="O113" s="187" t="b">
        <f t="shared" si="27"/>
        <v>1</v>
      </c>
      <c r="P113" s="189">
        <f>COUNTIF(O$2:O113, TRUE)/(COUNTIF(O$2:O113,FALSE) + COUNTIF(O$2:O113, TRUE))</f>
        <v>0.4375</v>
      </c>
      <c r="Q113" s="346"/>
      <c r="R113" s="346"/>
      <c r="S113" s="346"/>
      <c r="T113" s="346"/>
      <c r="U113" s="189">
        <f>STDEV(D$2:D113)*SQRT(252)</f>
        <v>0.20615429037873539</v>
      </c>
      <c r="V113" s="189">
        <f>STDEV(L$2:L113)*SQRT(252)</f>
        <v>0.36652123813825849</v>
      </c>
    </row>
    <row r="114" spans="2:22" ht="20.100000000000001" customHeight="1" x14ac:dyDescent="0.25">
      <c r="B114" s="176">
        <v>42396</v>
      </c>
      <c r="C114" s="213">
        <v>1882.95</v>
      </c>
      <c r="D114" s="175">
        <f t="shared" si="22"/>
        <v>-1.0863455608495382E-2</v>
      </c>
      <c r="E114" s="214">
        <f>(C114-$C$2)/$C$2</f>
        <v>-0.10439774737923556</v>
      </c>
      <c r="F114" s="224">
        <v>4468.16</v>
      </c>
      <c r="G114" s="175">
        <f t="shared" si="20"/>
        <v>-2.1785724450321547E-2</v>
      </c>
      <c r="H114" s="208">
        <f t="shared" si="32"/>
        <v>-0.12246204607498477</v>
      </c>
      <c r="I114" s="226">
        <v>251585.76</v>
      </c>
      <c r="J114" s="177">
        <v>400000</v>
      </c>
      <c r="K114" s="177">
        <f t="shared" si="26"/>
        <v>3530.1900000000023</v>
      </c>
      <c r="L114" s="175">
        <f t="shared" si="23"/>
        <v>1.4231448219445353E-2</v>
      </c>
      <c r="M114" s="187">
        <f t="shared" si="28"/>
        <v>-148414.24</v>
      </c>
      <c r="N114" s="189">
        <f t="shared" si="29"/>
        <v>-0.37103559999999997</v>
      </c>
      <c r="O114" s="187" t="b">
        <f t="shared" si="27"/>
        <v>1</v>
      </c>
      <c r="P114" s="189">
        <f>COUNTIF(O$2:O114, TRUE)/(COUNTIF(O$2:O114,FALSE) + COUNTIF(O$2:O114, TRUE))</f>
        <v>0.44247787610619471</v>
      </c>
      <c r="Q114" s="346"/>
      <c r="R114" s="346"/>
      <c r="S114" s="346"/>
      <c r="T114" s="346"/>
      <c r="U114" s="189">
        <f>STDEV(D$2:D114)*SQRT(252)</f>
        <v>0.20577679311518093</v>
      </c>
      <c r="V114" s="189">
        <f>STDEV(L$2:L114)*SQRT(252)</f>
        <v>0.36580201811385399</v>
      </c>
    </row>
    <row r="115" spans="2:22" ht="20.100000000000001" customHeight="1" x14ac:dyDescent="0.25">
      <c r="B115" s="176">
        <v>42397</v>
      </c>
      <c r="C115" s="213">
        <v>1893.36</v>
      </c>
      <c r="D115" s="175">
        <f t="shared" si="22"/>
        <v>5.5285589102205867E-3</v>
      </c>
      <c r="E115" s="214">
        <f t="shared" ref="E115:E124" si="33">(C115-$C$2)/$C$2</f>
        <v>-9.94463575654954E-2</v>
      </c>
      <c r="F115" s="224">
        <v>4506.67</v>
      </c>
      <c r="G115" s="175">
        <f t="shared" si="20"/>
        <v>8.6187602950655792E-3</v>
      </c>
      <c r="H115" s="208">
        <f t="shared" si="32"/>
        <v>-0.11489875680028276</v>
      </c>
      <c r="I115" s="226">
        <v>256687.6</v>
      </c>
      <c r="J115" s="177">
        <v>400000</v>
      </c>
      <c r="K115" s="177">
        <f t="shared" si="26"/>
        <v>5101.8399999999674</v>
      </c>
      <c r="L115" s="175">
        <f t="shared" si="23"/>
        <v>2.027873119686888E-2</v>
      </c>
      <c r="M115" s="187">
        <f t="shared" si="28"/>
        <v>-143312.4</v>
      </c>
      <c r="N115" s="189">
        <f t="shared" si="29"/>
        <v>-0.35828099999999996</v>
      </c>
      <c r="O115" s="187" t="b">
        <f t="shared" si="27"/>
        <v>1</v>
      </c>
      <c r="P115" s="189">
        <f>COUNTIF(O$2:O115, TRUE)/(COUNTIF(O$2:O115,FALSE) + COUNTIF(O$2:O115, TRUE))</f>
        <v>0.44736842105263158</v>
      </c>
      <c r="Q115" s="346"/>
      <c r="R115" s="346"/>
      <c r="S115" s="346"/>
      <c r="T115" s="346"/>
      <c r="U115" s="189">
        <f>STDEV(D$2:D115)*SQRT(252)</f>
        <v>0.20508094349641362</v>
      </c>
      <c r="V115" s="189">
        <f>STDEV(L$2:L115)*SQRT(252)</f>
        <v>0.36582687593251006</v>
      </c>
    </row>
    <row r="116" spans="2:22" ht="20.100000000000001" customHeight="1" x14ac:dyDescent="0.25">
      <c r="B116" s="176">
        <v>42398</v>
      </c>
      <c r="C116" s="213">
        <v>1940.24</v>
      </c>
      <c r="D116" s="175">
        <f t="shared" si="22"/>
        <v>2.4760214644864217E-2</v>
      </c>
      <c r="E116" s="214">
        <f t="shared" si="33"/>
        <v>-7.7148456079602773E-2</v>
      </c>
      <c r="F116" s="224">
        <v>4613.95</v>
      </c>
      <c r="G116" s="175">
        <f t="shared" si="20"/>
        <v>2.3804716120772042E-2</v>
      </c>
      <c r="H116" s="208">
        <f t="shared" si="32"/>
        <v>-9.3829172967771088E-2</v>
      </c>
      <c r="I116" s="428">
        <v>272541.61</v>
      </c>
      <c r="J116" s="177">
        <v>400000</v>
      </c>
      <c r="K116" s="177">
        <f t="shared" si="26"/>
        <v>15854.010000000009</v>
      </c>
      <c r="L116" s="175">
        <f t="shared" si="23"/>
        <v>6.1763832767924937E-2</v>
      </c>
      <c r="M116" s="187">
        <f t="shared" si="28"/>
        <v>-127458.39000000001</v>
      </c>
      <c r="N116" s="189">
        <f t="shared" si="29"/>
        <v>-0.31864597500000003</v>
      </c>
      <c r="O116" s="187" t="b">
        <f t="shared" si="27"/>
        <v>1</v>
      </c>
      <c r="P116" s="189">
        <f>COUNTIF(O$2:O116, TRUE)/(COUNTIF(O$2:O116,FALSE) + COUNTIF(O$2:O116, TRUE))</f>
        <v>0.45217391304347826</v>
      </c>
      <c r="Q116" s="346"/>
      <c r="R116" s="346"/>
      <c r="S116" s="346"/>
      <c r="T116" s="346"/>
      <c r="U116" s="189">
        <f>STDEV(D$2:D116)*SQRT(252)</f>
        <v>0.2076899725605586</v>
      </c>
      <c r="V116" s="189">
        <f>STDEV(L$2:L116)*SQRT(252)</f>
        <v>0.37665623164224904</v>
      </c>
    </row>
    <row r="117" spans="2:22" ht="20.100000000000001" customHeight="1" x14ac:dyDescent="0.25">
      <c r="B117" s="249">
        <v>42401</v>
      </c>
      <c r="C117" s="250">
        <v>1939.38</v>
      </c>
      <c r="D117" s="175">
        <f t="shared" si="22"/>
        <v>-4.4324413474616542E-4</v>
      </c>
      <c r="E117" s="251">
        <f t="shared" si="33"/>
        <v>-7.755750461368692E-2</v>
      </c>
      <c r="F117" s="252">
        <v>4620.3599999999997</v>
      </c>
      <c r="G117" s="175">
        <f t="shared" si="20"/>
        <v>1.3892651632548803E-3</v>
      </c>
      <c r="H117" s="253">
        <f t="shared" si="32"/>
        <v>-9.2570261405817339E-2</v>
      </c>
      <c r="I117" s="254">
        <v>271687.27</v>
      </c>
      <c r="J117" s="255">
        <v>400000</v>
      </c>
      <c r="K117" s="255">
        <f t="shared" si="26"/>
        <v>-854.3399999999674</v>
      </c>
      <c r="L117" s="175">
        <f t="shared" si="23"/>
        <v>-3.1347139983504443E-3</v>
      </c>
      <c r="M117" s="256">
        <f t="shared" si="28"/>
        <v>-128312.72999999998</v>
      </c>
      <c r="N117" s="257">
        <f t="shared" si="29"/>
        <v>-0.32078182499999996</v>
      </c>
      <c r="O117" s="256" t="b">
        <f t="shared" si="27"/>
        <v>0</v>
      </c>
      <c r="P117" s="257">
        <f>COUNTIF(O$2:O117, TRUE)/(COUNTIF(O$2:O117,FALSE) + COUNTIF(O$2:O117, TRUE))</f>
        <v>0.44827586206896552</v>
      </c>
      <c r="Q117" s="347"/>
      <c r="R117" s="347"/>
      <c r="S117" s="347"/>
      <c r="T117" s="347"/>
      <c r="U117" s="257">
        <f>STDEV(D$2:D117)*SQRT(252)</f>
        <v>0.20677720896061949</v>
      </c>
      <c r="V117" s="257">
        <f>STDEV(L$2:L117)*SQRT(252)</f>
        <v>0.37500277790793834</v>
      </c>
    </row>
    <row r="118" spans="2:22" ht="20.100000000000001" customHeight="1" x14ac:dyDescent="0.25">
      <c r="B118" s="249">
        <v>42402</v>
      </c>
      <c r="C118" s="250">
        <v>1903.03</v>
      </c>
      <c r="D118" s="175">
        <f t="shared" si="22"/>
        <v>-1.8743103466056232E-2</v>
      </c>
      <c r="E118" s="251">
        <f t="shared" si="33"/>
        <v>-9.484693974619969E-2</v>
      </c>
      <c r="F118" s="252">
        <v>4516.9399999999996</v>
      </c>
      <c r="G118" s="175">
        <f t="shared" si="20"/>
        <v>-2.2383537213550478E-2</v>
      </c>
      <c r="H118" s="253">
        <f t="shared" si="32"/>
        <v>-0.11288174872832261</v>
      </c>
      <c r="I118" s="254">
        <v>258167.62</v>
      </c>
      <c r="J118" s="255">
        <v>400000</v>
      </c>
      <c r="K118" s="255">
        <f t="shared" si="26"/>
        <v>-13519.650000000023</v>
      </c>
      <c r="L118" s="175">
        <f t="shared" si="23"/>
        <v>-4.9761808862078899E-2</v>
      </c>
      <c r="M118" s="256">
        <f t="shared" si="28"/>
        <v>-141832.38</v>
      </c>
      <c r="N118" s="257">
        <f t="shared" si="29"/>
        <v>-0.35458095000000001</v>
      </c>
      <c r="O118" s="256" t="b">
        <f t="shared" si="27"/>
        <v>0</v>
      </c>
      <c r="P118" s="257">
        <f>COUNTIF(O$2:O118, TRUE)/(COUNTIF(O$2:O118,FALSE) + COUNTIF(O$2:O118, TRUE))</f>
        <v>0.44444444444444442</v>
      </c>
      <c r="Q118" s="347"/>
      <c r="R118" s="347"/>
      <c r="S118" s="347"/>
      <c r="T118" s="347"/>
      <c r="U118" s="257">
        <f>STDEV(D$2:D118)*SQRT(252)</f>
        <v>0.20760234411553996</v>
      </c>
      <c r="V118" s="257">
        <f>STDEV(L$2:L118)*SQRT(252)</f>
        <v>0.37987177172236325</v>
      </c>
    </row>
    <row r="119" spans="2:22" ht="20.100000000000001" customHeight="1" x14ac:dyDescent="0.25">
      <c r="B119" s="249">
        <v>42403</v>
      </c>
      <c r="C119" s="250">
        <v>1912.53</v>
      </c>
      <c r="D119" s="175">
        <f t="shared" si="22"/>
        <v>4.9920390114711801E-3</v>
      </c>
      <c r="E119" s="251">
        <f t="shared" si="33"/>
        <v>-9.0328380358060192E-2</v>
      </c>
      <c r="F119" s="252">
        <v>4504.2299999999996</v>
      </c>
      <c r="G119" s="175">
        <f t="shared" si="20"/>
        <v>-2.8138518554596779E-3</v>
      </c>
      <c r="H119" s="253">
        <f t="shared" si="32"/>
        <v>-0.11537796806567556</v>
      </c>
      <c r="I119" s="254">
        <v>270997.09999999998</v>
      </c>
      <c r="J119" s="255">
        <v>400000</v>
      </c>
      <c r="K119" s="255">
        <f t="shared" si="26"/>
        <v>12829.479999999981</v>
      </c>
      <c r="L119" s="175">
        <f t="shared" si="23"/>
        <v>4.9694380728303504E-2</v>
      </c>
      <c r="M119" s="256">
        <f t="shared" si="28"/>
        <v>-129002.90000000002</v>
      </c>
      <c r="N119" s="257">
        <f t="shared" si="29"/>
        <v>-0.32250725000000008</v>
      </c>
      <c r="O119" s="256" t="b">
        <f t="shared" si="27"/>
        <v>1</v>
      </c>
      <c r="P119" s="257">
        <f>COUNTIF(O$2:O119, TRUE)/(COUNTIF(O$2:O119,FALSE) + COUNTIF(O$2:O119, TRUE))</f>
        <v>0.44915254237288138</v>
      </c>
      <c r="Q119" s="347"/>
      <c r="R119" s="347"/>
      <c r="S119" s="347"/>
      <c r="T119" s="347"/>
      <c r="U119" s="257">
        <f>STDEV(D$2:D119)*SQRT(252)</f>
        <v>0.20687869960829744</v>
      </c>
      <c r="V119" s="257">
        <f>STDEV(L$2:L119)*SQRT(252)</f>
        <v>0.38596402182857842</v>
      </c>
    </row>
    <row r="120" spans="2:22" ht="20.100000000000001" customHeight="1" x14ac:dyDescent="0.25">
      <c r="B120" s="249">
        <v>42404</v>
      </c>
      <c r="C120" s="250">
        <v>1915.45</v>
      </c>
      <c r="D120" s="175">
        <f t="shared" si="22"/>
        <v>1.5267734362337181E-3</v>
      </c>
      <c r="E120" s="251">
        <f t="shared" si="33"/>
        <v>-8.8939517893495176E-2</v>
      </c>
      <c r="F120" s="252">
        <v>4509.55</v>
      </c>
      <c r="G120" s="175">
        <f t="shared" si="20"/>
        <v>1.1811119769640137E-3</v>
      </c>
      <c r="H120" s="253">
        <f t="shared" si="32"/>
        <v>-0.1143331303886717</v>
      </c>
      <c r="I120" s="254">
        <v>272162.3</v>
      </c>
      <c r="J120" s="255">
        <v>400000</v>
      </c>
      <c r="K120" s="255">
        <f t="shared" ref="K120:K151" si="34">I120-I119-J120+J119</f>
        <v>1165.2000000000116</v>
      </c>
      <c r="L120" s="175">
        <f t="shared" si="23"/>
        <v>4.2996770076137777E-3</v>
      </c>
      <c r="M120" s="256">
        <f t="shared" si="28"/>
        <v>-127837.70000000001</v>
      </c>
      <c r="N120" s="257">
        <f t="shared" si="29"/>
        <v>-0.31959425000000002</v>
      </c>
      <c r="O120" s="256" t="b">
        <f t="shared" si="27"/>
        <v>1</v>
      </c>
      <c r="P120" s="257">
        <f>COUNTIF(O$2:O120, TRUE)/(COUNTIF(O$2:O120,FALSE) + COUNTIF(O$2:O120, TRUE))</f>
        <v>0.45378151260504201</v>
      </c>
      <c r="Q120" s="347"/>
      <c r="R120" s="347"/>
      <c r="S120" s="347"/>
      <c r="T120" s="347"/>
      <c r="U120" s="257">
        <f>STDEV(D$2:D120)*SQRT(252)</f>
        <v>0.20601897567851155</v>
      </c>
      <c r="V120" s="257">
        <f>STDEV(L$2:L120)*SQRT(252)</f>
        <v>0.38442983265447928</v>
      </c>
    </row>
    <row r="121" spans="2:22" ht="20.100000000000001" customHeight="1" x14ac:dyDescent="0.25">
      <c r="B121" s="249">
        <v>42405</v>
      </c>
      <c r="C121" s="250">
        <v>1880.02</v>
      </c>
      <c r="D121" s="175">
        <f t="shared" si="22"/>
        <v>-1.8496958939152711E-2</v>
      </c>
      <c r="E121" s="251">
        <f t="shared" si="33"/>
        <v>-0.10579136622210387</v>
      </c>
      <c r="F121" s="252">
        <v>4363.1400000000003</v>
      </c>
      <c r="G121" s="175">
        <f t="shared" si="20"/>
        <v>-3.2466654100741725E-2</v>
      </c>
      <c r="H121" s="253">
        <f t="shared" si="32"/>
        <v>-0.1430877702928294</v>
      </c>
      <c r="I121" s="254">
        <v>257957.43</v>
      </c>
      <c r="J121" s="255">
        <v>400000</v>
      </c>
      <c r="K121" s="255">
        <f t="shared" si="34"/>
        <v>-14204.869999999995</v>
      </c>
      <c r="L121" s="175">
        <f t="shared" si="23"/>
        <v>-5.2192643874629206E-2</v>
      </c>
      <c r="M121" s="256">
        <f t="shared" si="28"/>
        <v>-142042.57</v>
      </c>
      <c r="N121" s="257">
        <f t="shared" si="29"/>
        <v>-0.355106425</v>
      </c>
      <c r="O121" s="256" t="b">
        <f t="shared" si="27"/>
        <v>0</v>
      </c>
      <c r="P121" s="257">
        <f>COUNTIF(O$2:O121, TRUE)/(COUNTIF(O$2:O121,FALSE) + COUNTIF(O$2:O121, TRUE))</f>
        <v>0.45</v>
      </c>
      <c r="Q121" s="347"/>
      <c r="R121" s="347"/>
      <c r="S121" s="347"/>
      <c r="T121" s="347"/>
      <c r="U121" s="257">
        <f>STDEV(D$2:D121)*SQRT(252)</f>
        <v>0.20677147424628983</v>
      </c>
      <c r="V121" s="257">
        <f>STDEV(L$2:L121)*SQRT(252)</f>
        <v>0.38965360022711565</v>
      </c>
    </row>
    <row r="122" spans="2:22" ht="20.100000000000001" customHeight="1" x14ac:dyDescent="0.25">
      <c r="B122" s="176">
        <v>42408</v>
      </c>
      <c r="C122" s="220">
        <v>1853.44</v>
      </c>
      <c r="D122" s="175">
        <f t="shared" si="22"/>
        <v>-1.4138147466516275E-2</v>
      </c>
      <c r="E122" s="214">
        <f t="shared" si="33"/>
        <v>-0.11843381975228781</v>
      </c>
      <c r="F122" s="224">
        <v>4283.75</v>
      </c>
      <c r="G122" s="175">
        <f t="shared" si="20"/>
        <v>-1.8195611417465476E-2</v>
      </c>
      <c r="H122" s="208">
        <f t="shared" ref="H122:H127" si="35">(F122-F$2)/F$2</f>
        <v>-0.15867981224345501</v>
      </c>
      <c r="I122" s="226">
        <v>244544.61</v>
      </c>
      <c r="J122" s="177">
        <v>400000</v>
      </c>
      <c r="K122" s="177">
        <f t="shared" si="34"/>
        <v>-13412.820000000007</v>
      </c>
      <c r="L122" s="175">
        <f t="shared" si="23"/>
        <v>-5.1996253800481756E-2</v>
      </c>
      <c r="M122" s="187">
        <f t="shared" si="28"/>
        <v>-155455.39000000001</v>
      </c>
      <c r="N122" s="189">
        <f t="shared" si="29"/>
        <v>-0.38863847500000004</v>
      </c>
      <c r="O122" s="187" t="b">
        <f t="shared" si="27"/>
        <v>0</v>
      </c>
      <c r="P122" s="189">
        <f>COUNTIF(O$2:O122, TRUE)/(COUNTIF(O$2:O122,FALSE) + COUNTIF(O$2:O122, TRUE))</f>
        <v>0.4462809917355372</v>
      </c>
      <c r="Q122" s="346"/>
      <c r="R122" s="346"/>
      <c r="S122" s="346"/>
      <c r="T122" s="346"/>
      <c r="U122" s="189">
        <f>STDEV(D$2:D122)*SQRT(252)</f>
        <v>0.20679867923754305</v>
      </c>
      <c r="V122" s="189">
        <f>STDEV(L$2:L122)*SQRT(252)</f>
        <v>0.39455956732672759</v>
      </c>
    </row>
    <row r="123" spans="2:22" ht="20.100000000000001" customHeight="1" x14ac:dyDescent="0.25">
      <c r="B123" s="176">
        <v>42409</v>
      </c>
      <c r="C123" s="213">
        <v>1852.21</v>
      </c>
      <c r="D123" s="175">
        <f t="shared" si="22"/>
        <v>-6.6363087016575565E-4</v>
      </c>
      <c r="E123" s="214">
        <f t="shared" si="33"/>
        <v>-0.11901885428359431</v>
      </c>
      <c r="F123" s="224">
        <v>4268.76</v>
      </c>
      <c r="G123" s="175">
        <f t="shared" si="20"/>
        <v>-3.4992704989786475E-3</v>
      </c>
      <c r="H123" s="208">
        <f t="shared" si="35"/>
        <v>-0.16162381915666665</v>
      </c>
      <c r="I123" s="226">
        <v>239055.86</v>
      </c>
      <c r="J123" s="177">
        <v>400000</v>
      </c>
      <c r="K123" s="177">
        <f t="shared" si="34"/>
        <v>-5488.75</v>
      </c>
      <c r="L123" s="175">
        <f t="shared" si="23"/>
        <v>-2.2444780115987838E-2</v>
      </c>
      <c r="M123" s="187">
        <f t="shared" si="28"/>
        <v>-160944.14000000001</v>
      </c>
      <c r="N123" s="189">
        <f t="shared" si="29"/>
        <v>-0.40236035000000003</v>
      </c>
      <c r="O123" s="187" t="b">
        <f t="shared" ref="O123:O154" si="36">L123&gt;D123</f>
        <v>0</v>
      </c>
      <c r="P123" s="189">
        <f>COUNTIF(O$2:O123, TRUE)/(COUNTIF(O$2:O123,FALSE) + COUNTIF(O$2:O123, TRUE))</f>
        <v>0.44262295081967212</v>
      </c>
      <c r="Q123" s="346"/>
      <c r="R123" s="346"/>
      <c r="S123" s="346"/>
      <c r="T123" s="346"/>
      <c r="U123" s="189">
        <f>STDEV(D$2:D123)*SQRT(252)</f>
        <v>0.20593567657799225</v>
      </c>
      <c r="V123" s="189">
        <f>STDEV(L$2:L123)*SQRT(252)</f>
        <v>0.39391134458203264</v>
      </c>
    </row>
    <row r="124" spans="2:22" ht="20.100000000000001" customHeight="1" x14ac:dyDescent="0.25">
      <c r="B124" s="176">
        <v>42410</v>
      </c>
      <c r="C124" s="213">
        <v>1851.86</v>
      </c>
      <c r="D124" s="175">
        <f t="shared" si="22"/>
        <v>-1.8896345446797955E-4</v>
      </c>
      <c r="E124" s="214">
        <f t="shared" si="33"/>
        <v>-0.11918532752421003</v>
      </c>
      <c r="F124" s="224">
        <v>4283.59</v>
      </c>
      <c r="G124" s="175">
        <f t="shared" si="20"/>
        <v>3.4740767810792659E-3</v>
      </c>
      <c r="H124" s="208">
        <f t="shared" si="35"/>
        <v>-0.15871123593298891</v>
      </c>
      <c r="I124" s="226">
        <v>235873.97</v>
      </c>
      <c r="J124" s="177">
        <v>400000</v>
      </c>
      <c r="K124" s="177">
        <f t="shared" si="34"/>
        <v>-3181.890000000014</v>
      </c>
      <c r="L124" s="175">
        <f t="shared" si="23"/>
        <v>-1.3310236360656518E-2</v>
      </c>
      <c r="M124" s="187">
        <f t="shared" si="28"/>
        <v>-164126.03</v>
      </c>
      <c r="N124" s="189">
        <f t="shared" si="29"/>
        <v>-0.41031507499999997</v>
      </c>
      <c r="O124" s="187" t="b">
        <f t="shared" si="36"/>
        <v>0</v>
      </c>
      <c r="P124" s="189">
        <f>COUNTIF(O$2:O124, TRUE)/(COUNTIF(O$2:O124,FALSE) + COUNTIF(O$2:O124, TRUE))</f>
        <v>0.43902439024390244</v>
      </c>
      <c r="Q124" s="346"/>
      <c r="R124" s="346"/>
      <c r="S124" s="346"/>
      <c r="T124" s="346"/>
      <c r="U124" s="189">
        <f>STDEV(D$2:D124)*SQRT(252)</f>
        <v>0.20508595535618429</v>
      </c>
      <c r="V124" s="189">
        <f>STDEV(L$2:L124)*SQRT(252)</f>
        <v>0.39255054022656277</v>
      </c>
    </row>
    <row r="125" spans="2:22" ht="20.100000000000001" customHeight="1" x14ac:dyDescent="0.25">
      <c r="B125" s="176">
        <v>42411</v>
      </c>
      <c r="C125" s="213">
        <v>1829.08</v>
      </c>
      <c r="D125" s="175">
        <f t="shared" si="22"/>
        <v>-1.2301145874958137E-2</v>
      </c>
      <c r="E125" s="214">
        <f>(C125-$C$2)/$C$2</f>
        <v>-0.13002035729913819</v>
      </c>
      <c r="F125" s="224">
        <v>4266.83</v>
      </c>
      <c r="G125" s="175">
        <f t="shared" si="20"/>
        <v>-3.9126060150481761E-3</v>
      </c>
      <c r="H125" s="208">
        <f t="shared" si="35"/>
        <v>-0.16200286741166997</v>
      </c>
      <c r="I125" s="226">
        <v>230609.13</v>
      </c>
      <c r="J125" s="177">
        <v>400000</v>
      </c>
      <c r="K125" s="177">
        <f t="shared" si="34"/>
        <v>-5264.8399999999674</v>
      </c>
      <c r="L125" s="175">
        <f t="shared" si="23"/>
        <v>-2.2320563816346364E-2</v>
      </c>
      <c r="M125" s="187">
        <f t="shared" si="28"/>
        <v>-169390.87</v>
      </c>
      <c r="N125" s="189">
        <f t="shared" si="29"/>
        <v>-0.42347717499999998</v>
      </c>
      <c r="O125" s="187" t="b">
        <f t="shared" si="36"/>
        <v>0</v>
      </c>
      <c r="P125" s="189">
        <f>COUNTIF(O$2:O125, TRUE)/(COUNTIF(O$2:O125,FALSE) + COUNTIF(O$2:O125, TRUE))</f>
        <v>0.43548387096774194</v>
      </c>
      <c r="Q125" s="346"/>
      <c r="R125" s="346"/>
      <c r="S125" s="346"/>
      <c r="T125" s="346"/>
      <c r="U125" s="189">
        <f>STDEV(D$2:D125)*SQRT(252)</f>
        <v>0.20488816456150158</v>
      </c>
      <c r="V125" s="189">
        <f>STDEV(L$2:L125)*SQRT(252)</f>
        <v>0.39188934391979374</v>
      </c>
    </row>
    <row r="126" spans="2:22" ht="20.100000000000001" customHeight="1" x14ac:dyDescent="0.25">
      <c r="B126" s="176">
        <v>42412</v>
      </c>
      <c r="C126" s="213">
        <v>1864.78</v>
      </c>
      <c r="D126" s="175">
        <f t="shared" si="22"/>
        <v>1.9518009053731956E-2</v>
      </c>
      <c r="E126" s="214">
        <f>(C126-$C$2)/$C$2</f>
        <v>-0.11304008675634029</v>
      </c>
      <c r="F126" s="224">
        <v>4337.51</v>
      </c>
      <c r="G126" s="175">
        <f t="shared" si="20"/>
        <v>1.656499087144327E-2</v>
      </c>
      <c r="H126" s="208">
        <f t="shared" si="35"/>
        <v>-0.14812145256004863</v>
      </c>
      <c r="I126" s="226">
        <v>236989.83</v>
      </c>
      <c r="J126" s="177">
        <v>400000</v>
      </c>
      <c r="K126" s="177">
        <f t="shared" si="34"/>
        <v>6380.6999999999534</v>
      </c>
      <c r="L126" s="175">
        <f t="shared" si="23"/>
        <v>2.7668895849873563E-2</v>
      </c>
      <c r="M126" s="187">
        <f t="shared" ref="M126:M157" si="37">I126-J126</f>
        <v>-163010.17000000001</v>
      </c>
      <c r="N126" s="189">
        <f t="shared" ref="N126:N157" si="38">M126/J126</f>
        <v>-0.40752542500000005</v>
      </c>
      <c r="O126" s="187" t="b">
        <f t="shared" si="36"/>
        <v>1</v>
      </c>
      <c r="P126" s="189">
        <f>COUNTIF(O$2:O126, TRUE)/(COUNTIF(O$2:O126,FALSE) + COUNTIF(O$2:O126, TRUE))</f>
        <v>0.44</v>
      </c>
      <c r="Q126" s="346"/>
      <c r="R126" s="346"/>
      <c r="S126" s="346"/>
      <c r="T126" s="346"/>
      <c r="U126" s="189">
        <f>STDEV(D$2:D126)*SQRT(252)</f>
        <v>0.20614925630726783</v>
      </c>
      <c r="V126" s="189">
        <f>STDEV(L$2:L126)*SQRT(252)</f>
        <v>0.39280034902438915</v>
      </c>
    </row>
    <row r="127" spans="2:22" ht="20.100000000000001" customHeight="1" x14ac:dyDescent="0.25">
      <c r="B127" s="249">
        <v>42416</v>
      </c>
      <c r="C127" s="250">
        <v>1895.58</v>
      </c>
      <c r="D127" s="175">
        <f t="shared" si="22"/>
        <v>1.651669365823312E-2</v>
      </c>
      <c r="E127" s="251">
        <f>(C127-$C$2)/$C$2</f>
        <v>-9.8390441582161731E-2</v>
      </c>
      <c r="F127" s="252">
        <v>4435.96</v>
      </c>
      <c r="G127" s="175">
        <f t="shared" si="20"/>
        <v>2.2697354011863905E-2</v>
      </c>
      <c r="H127" s="253">
        <f t="shared" si="35"/>
        <v>-0.12878606359369166</v>
      </c>
      <c r="I127" s="254">
        <v>243663.46</v>
      </c>
      <c r="J127" s="255">
        <v>400000</v>
      </c>
      <c r="K127" s="255">
        <f t="shared" si="34"/>
        <v>6673.6300000000047</v>
      </c>
      <c r="L127" s="175">
        <f t="shared" si="23"/>
        <v>2.8159984755463999E-2</v>
      </c>
      <c r="M127" s="256">
        <f t="shared" si="37"/>
        <v>-156336.54</v>
      </c>
      <c r="N127" s="257">
        <f t="shared" si="38"/>
        <v>-0.39084135000000003</v>
      </c>
      <c r="O127" s="256" t="b">
        <f t="shared" si="36"/>
        <v>1</v>
      </c>
      <c r="P127" s="257">
        <f>COUNTIF(O$2:O127, TRUE)/(COUNTIF(O$2:O127,FALSE) + COUNTIF(O$2:O127, TRUE))</f>
        <v>0.44444444444444442</v>
      </c>
      <c r="Q127" s="347"/>
      <c r="R127" s="347"/>
      <c r="S127" s="347"/>
      <c r="T127" s="347"/>
      <c r="U127" s="257">
        <f>STDEV(D$2:D127)*SQRT(252)</f>
        <v>0.2067973574201509</v>
      </c>
      <c r="V127" s="257">
        <f>STDEV(L$2:L127)*SQRT(252)</f>
        <v>0.39373317711022293</v>
      </c>
    </row>
    <row r="128" spans="2:22" ht="20.100000000000001" customHeight="1" x14ac:dyDescent="0.25">
      <c r="B128" s="249">
        <v>42417</v>
      </c>
      <c r="C128" s="250">
        <v>1926.82</v>
      </c>
      <c r="D128" s="175">
        <f t="shared" si="22"/>
        <v>1.648044398020659E-2</v>
      </c>
      <c r="E128" s="251">
        <f t="shared" ref="E128:E133" si="39">(C128-$C$2)/$C$2</f>
        <v>-8.3531515762637745E-2</v>
      </c>
      <c r="F128" s="252">
        <v>4534.0600000000004</v>
      </c>
      <c r="G128" s="175">
        <f t="shared" si="20"/>
        <v>2.2114716994743044E-2</v>
      </c>
      <c r="H128" s="253">
        <f t="shared" ref="H128:H141" si="40">(F128-F$2)/F$2</f>
        <v>-0.10951941394819008</v>
      </c>
      <c r="I128" s="254">
        <v>249365.31</v>
      </c>
      <c r="J128" s="255">
        <v>400000</v>
      </c>
      <c r="K128" s="255">
        <f t="shared" si="34"/>
        <v>5701.8499999999767</v>
      </c>
      <c r="L128" s="175">
        <f t="shared" si="23"/>
        <v>2.3400513150391843E-2</v>
      </c>
      <c r="M128" s="256">
        <f t="shared" si="37"/>
        <v>-150634.69</v>
      </c>
      <c r="N128" s="257">
        <f t="shared" si="38"/>
        <v>-0.37658672500000001</v>
      </c>
      <c r="O128" s="256" t="b">
        <f t="shared" si="36"/>
        <v>1</v>
      </c>
      <c r="P128" s="257">
        <f>COUNTIF(O$2:O128, TRUE)/(COUNTIF(O$2:O128,FALSE) + COUNTIF(O$2:O128, TRUE))</f>
        <v>0.44881889763779526</v>
      </c>
      <c r="Q128" s="347"/>
      <c r="R128" s="347"/>
      <c r="S128" s="347"/>
      <c r="T128" s="347"/>
      <c r="U128" s="257">
        <f>STDEV(D$2:D128)*SQRT(252)</f>
        <v>0.20740391827467</v>
      </c>
      <c r="V128" s="257">
        <f>STDEV(L$2:L128)*SQRT(252)</f>
        <v>0.39391671411506929</v>
      </c>
    </row>
    <row r="129" spans="1:22" ht="20.100000000000001" customHeight="1" x14ac:dyDescent="0.25">
      <c r="B129" s="249">
        <v>42418</v>
      </c>
      <c r="C129" s="250">
        <v>1917.83</v>
      </c>
      <c r="D129" s="175">
        <f t="shared" si="22"/>
        <v>-4.6657186452289312E-3</v>
      </c>
      <c r="E129" s="251">
        <f t="shared" si="39"/>
        <v>-8.7807499857308707E-2</v>
      </c>
      <c r="F129" s="252">
        <v>4487.53</v>
      </c>
      <c r="G129" s="175">
        <f t="shared" si="20"/>
        <v>-1.0262325597808731E-2</v>
      </c>
      <c r="H129" s="253">
        <f t="shared" si="40"/>
        <v>-0.11865781566078129</v>
      </c>
      <c r="I129" s="254">
        <v>241680.12</v>
      </c>
      <c r="J129" s="255">
        <v>400000</v>
      </c>
      <c r="K129" s="255">
        <f t="shared" si="34"/>
        <v>-7685.1900000000023</v>
      </c>
      <c r="L129" s="175">
        <f t="shared" si="23"/>
        <v>-3.0819002049643562E-2</v>
      </c>
      <c r="M129" s="256">
        <f t="shared" si="37"/>
        <v>-158319.88</v>
      </c>
      <c r="N129" s="257">
        <f t="shared" si="38"/>
        <v>-0.39579970000000003</v>
      </c>
      <c r="O129" s="256" t="b">
        <f t="shared" si="36"/>
        <v>0</v>
      </c>
      <c r="P129" s="257">
        <f>COUNTIF(O$2:O129, TRUE)/(COUNTIF(O$2:O129,FALSE) + COUNTIF(O$2:O129, TRUE))</f>
        <v>0.4453125</v>
      </c>
      <c r="Q129" s="347"/>
      <c r="R129" s="347"/>
      <c r="S129" s="347"/>
      <c r="T129" s="347"/>
      <c r="U129" s="257">
        <f>STDEV(D$2:D129)*SQRT(252)</f>
        <v>0.20665833739123632</v>
      </c>
      <c r="V129" s="257">
        <f>STDEV(L$2:L129)*SQRT(252)</f>
        <v>0.39434419152440775</v>
      </c>
    </row>
    <row r="130" spans="1:22" ht="20.100000000000001" customHeight="1" x14ac:dyDescent="0.25">
      <c r="B130" s="249">
        <v>42419</v>
      </c>
      <c r="C130" s="250">
        <v>1917.78</v>
      </c>
      <c r="D130" s="175">
        <f t="shared" si="22"/>
        <v>-2.6071132477828863E-5</v>
      </c>
      <c r="E130" s="251">
        <f t="shared" si="39"/>
        <v>-8.7831281748825207E-2</v>
      </c>
      <c r="F130" s="252">
        <v>4504.43</v>
      </c>
      <c r="G130" s="175">
        <f t="shared" si="20"/>
        <v>3.7659915365469529E-3</v>
      </c>
      <c r="H130" s="253">
        <f t="shared" si="40"/>
        <v>-0.11533868845375798</v>
      </c>
      <c r="I130" s="254">
        <v>236145.17</v>
      </c>
      <c r="J130" s="255">
        <v>400000</v>
      </c>
      <c r="K130" s="255">
        <f t="shared" si="34"/>
        <v>-5534.9499999999534</v>
      </c>
      <c r="L130" s="175">
        <f t="shared" si="23"/>
        <v>-2.290196645052954E-2</v>
      </c>
      <c r="M130" s="256">
        <f t="shared" si="37"/>
        <v>-163854.82999999999</v>
      </c>
      <c r="N130" s="257">
        <f t="shared" si="38"/>
        <v>-0.40963707499999996</v>
      </c>
      <c r="O130" s="256" t="b">
        <f t="shared" si="36"/>
        <v>0</v>
      </c>
      <c r="P130" s="257">
        <f>COUNTIF(O$2:O130, TRUE)/(COUNTIF(O$2:O130,FALSE) + COUNTIF(O$2:O130, TRUE))</f>
        <v>0.44186046511627908</v>
      </c>
      <c r="Q130" s="347"/>
      <c r="R130" s="347"/>
      <c r="S130" s="347"/>
      <c r="T130" s="347"/>
      <c r="U130" s="257">
        <f>STDEV(D$2:D130)*SQRT(252)</f>
        <v>0.20584491170892685</v>
      </c>
      <c r="V130" s="257">
        <f>STDEV(L$2:L130)*SQRT(252)</f>
        <v>0.39378743351445816</v>
      </c>
    </row>
    <row r="131" spans="1:22" ht="20.100000000000001" customHeight="1" x14ac:dyDescent="0.25">
      <c r="B131" s="176">
        <v>42422</v>
      </c>
      <c r="C131" s="220">
        <v>1945.5</v>
      </c>
      <c r="D131" s="175">
        <f t="shared" si="22"/>
        <v>1.4454212683415213E-2</v>
      </c>
      <c r="E131" s="214">
        <f t="shared" si="39"/>
        <v>-7.4646601092064488E-2</v>
      </c>
      <c r="F131" s="224">
        <v>4570.6000000000004</v>
      </c>
      <c r="G131" s="175">
        <f t="shared" si="20"/>
        <v>1.4689982972318378E-2</v>
      </c>
      <c r="H131" s="208">
        <f t="shared" si="40"/>
        <v>-0.10234302885087485</v>
      </c>
      <c r="I131" s="226">
        <v>248415.23</v>
      </c>
      <c r="J131" s="177">
        <v>400000</v>
      </c>
      <c r="K131" s="177">
        <f t="shared" si="34"/>
        <v>12270.059999999998</v>
      </c>
      <c r="L131" s="175">
        <f t="shared" si="23"/>
        <v>5.1959817768028022E-2</v>
      </c>
      <c r="M131" s="187">
        <f t="shared" si="37"/>
        <v>-151584.76999999999</v>
      </c>
      <c r="N131" s="189">
        <f t="shared" si="38"/>
        <v>-0.37896192499999998</v>
      </c>
      <c r="O131" s="187" t="b">
        <f t="shared" si="36"/>
        <v>1</v>
      </c>
      <c r="P131" s="189">
        <f>COUNTIF(O$2:O131, TRUE)/(COUNTIF(O$2:O131,FALSE) + COUNTIF(O$2:O131, TRUE))</f>
        <v>0.44615384615384618</v>
      </c>
      <c r="Q131" s="346"/>
      <c r="R131" s="346"/>
      <c r="S131" s="346"/>
      <c r="T131" s="346"/>
      <c r="U131" s="189">
        <f>STDEV(D$2:D131)*SQRT(252)</f>
        <v>0.20612093442208271</v>
      </c>
      <c r="V131" s="189">
        <f>STDEV(L$2:L131)*SQRT(252)</f>
        <v>0.39971891584326358</v>
      </c>
    </row>
    <row r="132" spans="1:22" ht="20.100000000000001" customHeight="1" x14ac:dyDescent="0.25">
      <c r="B132" s="176">
        <v>42423</v>
      </c>
      <c r="C132" s="213">
        <v>1921.27</v>
      </c>
      <c r="D132" s="175">
        <f t="shared" si="22"/>
        <v>-1.2454381906964801E-2</v>
      </c>
      <c r="E132" s="214">
        <f t="shared" si="39"/>
        <v>-8.6171305720971855E-2</v>
      </c>
      <c r="F132" s="224">
        <v>4503.58</v>
      </c>
      <c r="G132" s="175">
        <f t="shared" ref="G132:G165" si="41">(F132-F131)/F131</f>
        <v>-1.4663282719993093E-2</v>
      </c>
      <c r="H132" s="208">
        <f t="shared" si="40"/>
        <v>-0.11550562680440715</v>
      </c>
      <c r="I132" s="226">
        <v>238794.23</v>
      </c>
      <c r="J132" s="177">
        <v>400000</v>
      </c>
      <c r="K132" s="177">
        <f t="shared" si="34"/>
        <v>-9621</v>
      </c>
      <c r="L132" s="175">
        <f t="shared" ref="L132:L195" si="42">K132/I131</f>
        <v>-3.8729509458820213E-2</v>
      </c>
      <c r="M132" s="187">
        <f t="shared" si="37"/>
        <v>-161205.76999999999</v>
      </c>
      <c r="N132" s="189">
        <f t="shared" si="38"/>
        <v>-0.40301442499999995</v>
      </c>
      <c r="O132" s="187" t="b">
        <f t="shared" si="36"/>
        <v>0</v>
      </c>
      <c r="P132" s="189">
        <f>COUNTIF(O$2:O132, TRUE)/(COUNTIF(O$2:O132,FALSE) + COUNTIF(O$2:O132, TRUE))</f>
        <v>0.44274809160305345</v>
      </c>
      <c r="Q132" s="346"/>
      <c r="R132" s="346"/>
      <c r="S132" s="346"/>
      <c r="T132" s="346"/>
      <c r="U132" s="189">
        <f>STDEV(D$2:D132)*SQRT(252)</f>
        <v>0.20599200020691141</v>
      </c>
      <c r="V132" s="189">
        <f>STDEV(L$2:L132)*SQRT(252)</f>
        <v>0.40132200578539856</v>
      </c>
    </row>
    <row r="133" spans="1:22" ht="20.100000000000001" customHeight="1" x14ac:dyDescent="0.25">
      <c r="B133" s="176">
        <v>42424</v>
      </c>
      <c r="C133" s="220">
        <v>1929.8</v>
      </c>
      <c r="D133" s="175">
        <f t="shared" ref="D133:D165" si="43">(C133-C132)/C132</f>
        <v>4.439771609404182E-3</v>
      </c>
      <c r="E133" s="214">
        <f t="shared" si="39"/>
        <v>-8.2114115028252929E-2</v>
      </c>
      <c r="F133" s="224">
        <v>4542.6000000000004</v>
      </c>
      <c r="G133" s="175">
        <f t="shared" si="41"/>
        <v>8.6642182441525276E-3</v>
      </c>
      <c r="H133" s="208">
        <f t="shared" si="40"/>
        <v>-0.10784217451931565</v>
      </c>
      <c r="I133" s="226">
        <v>242422.46</v>
      </c>
      <c r="J133" s="177">
        <v>400000</v>
      </c>
      <c r="K133" s="177">
        <f t="shared" si="34"/>
        <v>3628.2299999999814</v>
      </c>
      <c r="L133" s="175">
        <f t="shared" si="42"/>
        <v>1.5193960088566551E-2</v>
      </c>
      <c r="M133" s="187">
        <f t="shared" si="37"/>
        <v>-157577.54</v>
      </c>
      <c r="N133" s="189">
        <f t="shared" si="38"/>
        <v>-0.39394385000000004</v>
      </c>
      <c r="O133" s="187" t="b">
        <f t="shared" si="36"/>
        <v>1</v>
      </c>
      <c r="P133" s="189">
        <f>COUNTIF(O$2:O133, TRUE)/(COUNTIF(O$2:O133,FALSE) + COUNTIF(O$2:O133, TRUE))</f>
        <v>0.44696969696969696</v>
      </c>
      <c r="Q133" s="346"/>
      <c r="R133" s="346"/>
      <c r="S133" s="346"/>
      <c r="T133" s="346"/>
      <c r="U133" s="189">
        <f>STDEV(D$2:D133)*SQRT(252)</f>
        <v>0.2053176523633603</v>
      </c>
      <c r="V133" s="189">
        <f>STDEV(L$2:L133)*SQRT(252)</f>
        <v>0.40056518042041067</v>
      </c>
    </row>
    <row r="134" spans="1:22" ht="20.100000000000001" customHeight="1" x14ac:dyDescent="0.25">
      <c r="B134" s="176">
        <v>42425</v>
      </c>
      <c r="C134" s="220">
        <v>1951.7</v>
      </c>
      <c r="D134" s="175">
        <f t="shared" si="43"/>
        <v>1.1348326251425065E-2</v>
      </c>
      <c r="E134" s="214">
        <f t="shared" ref="E134:E139" si="44">(C134-$C$2)/$C$2</f>
        <v>-7.1697646544015531E-2</v>
      </c>
      <c r="F134" s="224">
        <v>4582.2</v>
      </c>
      <c r="G134" s="175">
        <f t="shared" si="41"/>
        <v>8.7174745740323713E-3</v>
      </c>
      <c r="H134" s="208">
        <f t="shared" si="40"/>
        <v>-0.10006481135966377</v>
      </c>
      <c r="I134" s="226">
        <v>244524.77</v>
      </c>
      <c r="J134" s="177">
        <v>400000</v>
      </c>
      <c r="K134" s="177">
        <f t="shared" si="34"/>
        <v>2102.3099999999977</v>
      </c>
      <c r="L134" s="175">
        <f t="shared" si="42"/>
        <v>8.6720925115601824E-3</v>
      </c>
      <c r="M134" s="187">
        <f t="shared" si="37"/>
        <v>-155475.23000000001</v>
      </c>
      <c r="N134" s="189">
        <f t="shared" si="38"/>
        <v>-0.38868807500000002</v>
      </c>
      <c r="O134" s="187" t="b">
        <f t="shared" si="36"/>
        <v>0</v>
      </c>
      <c r="P134" s="189">
        <f>COUNTIF(O$2:O134, TRUE)/(COUNTIF(O$2:O134,FALSE) + COUNTIF(O$2:O134, TRUE))</f>
        <v>0.44360902255639095</v>
      </c>
      <c r="Q134" s="346"/>
      <c r="R134" s="346"/>
      <c r="S134" s="346"/>
      <c r="T134" s="346"/>
      <c r="U134" s="189">
        <f>STDEV(D$2:D134)*SQRT(252)</f>
        <v>0.2051944315202551</v>
      </c>
      <c r="V134" s="189">
        <f>STDEV(L$2:L134)*SQRT(252)</f>
        <v>0.399347738080158</v>
      </c>
    </row>
    <row r="135" spans="1:22" ht="20.100000000000001" customHeight="1" x14ac:dyDescent="0.25">
      <c r="B135" s="176">
        <v>42426</v>
      </c>
      <c r="C135" s="220">
        <v>1948.05</v>
      </c>
      <c r="D135" s="175">
        <f t="shared" si="43"/>
        <v>-1.8701644719988169E-3</v>
      </c>
      <c r="E135" s="214">
        <f t="shared" si="44"/>
        <v>-7.3433724624721794E-2</v>
      </c>
      <c r="F135" s="224">
        <v>4590.47</v>
      </c>
      <c r="G135" s="175">
        <f t="shared" si="41"/>
        <v>1.8048099166340266E-3</v>
      </c>
      <c r="H135" s="208">
        <f t="shared" si="40"/>
        <v>-9.8440599406877771E-2</v>
      </c>
      <c r="I135" s="226">
        <v>251916.67</v>
      </c>
      <c r="J135" s="177">
        <v>400000</v>
      </c>
      <c r="K135" s="177">
        <f t="shared" si="34"/>
        <v>7391.9000000000233</v>
      </c>
      <c r="L135" s="175">
        <f t="shared" si="42"/>
        <v>3.0229657306292623E-2</v>
      </c>
      <c r="M135" s="187">
        <f t="shared" si="37"/>
        <v>-148083.32999999999</v>
      </c>
      <c r="N135" s="189">
        <f t="shared" si="38"/>
        <v>-0.37020832499999995</v>
      </c>
      <c r="O135" s="187" t="b">
        <f t="shared" si="36"/>
        <v>1</v>
      </c>
      <c r="P135" s="189">
        <f>COUNTIF(O$2:O135, TRUE)/(COUNTIF(O$2:O135,FALSE) + COUNTIF(O$2:O135, TRUE))</f>
        <v>0.44776119402985076</v>
      </c>
      <c r="Q135" s="346"/>
      <c r="R135" s="346"/>
      <c r="S135" s="346"/>
      <c r="T135" s="346"/>
      <c r="U135" s="189">
        <f>STDEV(D$2:D135)*SQRT(252)</f>
        <v>0.20442465292014791</v>
      </c>
      <c r="V135" s="189">
        <f>STDEV(L$2:L135)*SQRT(252)</f>
        <v>0.40040715107254371</v>
      </c>
    </row>
    <row r="136" spans="1:22" ht="20.100000000000001" customHeight="1" x14ac:dyDescent="0.25">
      <c r="B136" s="249">
        <v>42429</v>
      </c>
      <c r="C136" s="250">
        <v>1932.23</v>
      </c>
      <c r="D136" s="175">
        <f t="shared" si="43"/>
        <v>-8.1209414542747545E-3</v>
      </c>
      <c r="E136" s="251">
        <f t="shared" si="44"/>
        <v>-8.0958315100549849E-2</v>
      </c>
      <c r="F136" s="252">
        <v>4557.95</v>
      </c>
      <c r="G136" s="175">
        <f t="shared" si="41"/>
        <v>-7.0842419185835953E-3</v>
      </c>
      <c r="H136" s="253">
        <f t="shared" si="40"/>
        <v>-0.10482746430465267</v>
      </c>
      <c r="I136" s="427">
        <v>254134.09</v>
      </c>
      <c r="J136" s="255">
        <v>400000</v>
      </c>
      <c r="K136" s="255">
        <f t="shared" si="34"/>
        <v>2217.4199999999837</v>
      </c>
      <c r="L136" s="175">
        <f t="shared" si="42"/>
        <v>8.8021963770797042E-3</v>
      </c>
      <c r="M136" s="256">
        <f t="shared" si="37"/>
        <v>-145865.91</v>
      </c>
      <c r="N136" s="257">
        <f t="shared" si="38"/>
        <v>-0.364664775</v>
      </c>
      <c r="O136" s="256" t="b">
        <f t="shared" si="36"/>
        <v>1</v>
      </c>
      <c r="P136" s="257">
        <f>COUNTIF(O$2:O136, TRUE)/(COUNTIF(O$2:O136,FALSE) + COUNTIF(O$2:O136, TRUE))</f>
        <v>0.45185185185185184</v>
      </c>
      <c r="Q136" s="347"/>
      <c r="R136" s="347"/>
      <c r="S136" s="347"/>
      <c r="T136" s="347"/>
      <c r="U136" s="257">
        <f>STDEV(D$2:D136)*SQRT(252)</f>
        <v>0.20392331073233147</v>
      </c>
      <c r="V136" s="257">
        <f>STDEV(L$2:L136)*SQRT(252)</f>
        <v>0.39919785402030938</v>
      </c>
    </row>
    <row r="137" spans="1:22" ht="20.100000000000001" customHeight="1" x14ac:dyDescent="0.25">
      <c r="B137" s="249">
        <v>42430</v>
      </c>
      <c r="C137" s="250">
        <v>1978.35</v>
      </c>
      <c r="D137" s="175">
        <f t="shared" si="43"/>
        <v>2.3868794087660315E-2</v>
      </c>
      <c r="E137" s="251">
        <f t="shared" si="44"/>
        <v>-5.9021898365708481E-2</v>
      </c>
      <c r="F137" s="252">
        <v>4689.59</v>
      </c>
      <c r="G137" s="175">
        <f t="shared" si="41"/>
        <v>2.8881405017606672E-2</v>
      </c>
      <c r="H137" s="253">
        <f t="shared" si="40"/>
        <v>-7.8973623740597382E-2</v>
      </c>
      <c r="I137" s="254">
        <v>256289.63</v>
      </c>
      <c r="J137" s="255">
        <v>400000</v>
      </c>
      <c r="K137" s="255">
        <f t="shared" si="34"/>
        <v>2155.5400000000373</v>
      </c>
      <c r="L137" s="175">
        <f t="shared" si="42"/>
        <v>8.4819002440799547E-3</v>
      </c>
      <c r="M137" s="256">
        <f t="shared" si="37"/>
        <v>-143710.37</v>
      </c>
      <c r="N137" s="257">
        <f t="shared" si="38"/>
        <v>-0.359275925</v>
      </c>
      <c r="O137" s="256" t="b">
        <f t="shared" si="36"/>
        <v>0</v>
      </c>
      <c r="P137" s="257">
        <f>COUNTIF(O$2:O137, TRUE)/(COUNTIF(O$2:O137,FALSE) + COUNTIF(O$2:O137, TRUE))</f>
        <v>0.4485294117647059</v>
      </c>
      <c r="Q137" s="347"/>
      <c r="R137" s="347"/>
      <c r="S137" s="347"/>
      <c r="T137" s="347"/>
      <c r="U137" s="257">
        <f>STDEV(D$2:D137)*SQRT(252)</f>
        <v>0.205881606235845</v>
      </c>
      <c r="V137" s="257">
        <f>STDEV(L$2:L137)*SQRT(252)</f>
        <v>0.39798205719407453</v>
      </c>
    </row>
    <row r="138" spans="1:22" ht="20.100000000000001" customHeight="1" x14ac:dyDescent="0.25">
      <c r="B138" s="249">
        <v>42431</v>
      </c>
      <c r="C138" s="341">
        <v>1986.4749999999999</v>
      </c>
      <c r="D138" s="175">
        <f t="shared" si="43"/>
        <v>4.1069578183840069E-3</v>
      </c>
      <c r="E138" s="251">
        <f t="shared" si="44"/>
        <v>-5.5157340994273385E-2</v>
      </c>
      <c r="F138" s="252">
        <v>4703.42</v>
      </c>
      <c r="G138" s="175">
        <f t="shared" si="41"/>
        <v>2.9490851012561711E-3</v>
      </c>
      <c r="H138" s="253">
        <f t="shared" si="40"/>
        <v>-7.6257438576506811E-2</v>
      </c>
      <c r="I138" s="254">
        <v>273591.05</v>
      </c>
      <c r="J138" s="255">
        <v>400000</v>
      </c>
      <c r="K138" s="255">
        <f t="shared" si="34"/>
        <v>17301.419999999984</v>
      </c>
      <c r="L138" s="175">
        <f t="shared" si="42"/>
        <v>6.7507296335009667E-2</v>
      </c>
      <c r="M138" s="256">
        <f t="shared" si="37"/>
        <v>-126408.95000000001</v>
      </c>
      <c r="N138" s="257">
        <f t="shared" si="38"/>
        <v>-0.31602237500000002</v>
      </c>
      <c r="O138" s="256" t="b">
        <f t="shared" si="36"/>
        <v>1</v>
      </c>
      <c r="P138" s="257">
        <f>COUNTIF(O$2:O138, TRUE)/(COUNTIF(O$2:O138,FALSE) + COUNTIF(O$2:O138, TRUE))</f>
        <v>0.45255474452554745</v>
      </c>
      <c r="Q138" s="347"/>
      <c r="R138" s="347"/>
      <c r="S138" s="347"/>
      <c r="T138" s="347"/>
      <c r="U138" s="257">
        <f>STDEV(D$2:D138)*SQRT(252)</f>
        <v>0.20520805198323436</v>
      </c>
      <c r="V138" s="257">
        <f>STDEV(L$2:L138)*SQRT(252)</f>
        <v>0.40773104370834762</v>
      </c>
    </row>
    <row r="139" spans="1:22" ht="20.100000000000001" customHeight="1" x14ac:dyDescent="0.25">
      <c r="B139" s="249">
        <v>42432</v>
      </c>
      <c r="C139" s="341">
        <v>1993.4</v>
      </c>
      <c r="D139" s="175">
        <f t="shared" si="43"/>
        <v>3.4860745793428975E-3</v>
      </c>
      <c r="E139" s="251">
        <f t="shared" si="44"/>
        <v>-5.1863549019234775E-2</v>
      </c>
      <c r="F139" s="252">
        <v>4707.42</v>
      </c>
      <c r="G139" s="175">
        <f t="shared" si="41"/>
        <v>8.5044499534381367E-4</v>
      </c>
      <c r="H139" s="253">
        <f t="shared" si="40"/>
        <v>-7.5471846338158136E-2</v>
      </c>
      <c r="I139" s="254">
        <v>284465.09999999998</v>
      </c>
      <c r="J139" s="255">
        <v>400000</v>
      </c>
      <c r="K139" s="255">
        <f t="shared" si="34"/>
        <v>10874.049999999988</v>
      </c>
      <c r="L139" s="175">
        <f t="shared" si="42"/>
        <v>3.9745634954067355E-2</v>
      </c>
      <c r="M139" s="256">
        <f t="shared" si="37"/>
        <v>-115534.90000000002</v>
      </c>
      <c r="N139" s="257">
        <f t="shared" si="38"/>
        <v>-0.28883725000000005</v>
      </c>
      <c r="O139" s="256" t="b">
        <f t="shared" si="36"/>
        <v>1</v>
      </c>
      <c r="P139" s="257">
        <f>COUNTIF(O$2:O139, TRUE)/(COUNTIF(O$2:O139,FALSE) + COUNTIF(O$2:O139, TRUE))</f>
        <v>0.45652173913043476</v>
      </c>
      <c r="Q139" s="347"/>
      <c r="R139" s="347"/>
      <c r="S139" s="347"/>
      <c r="T139" s="347"/>
      <c r="U139" s="257">
        <f>STDEV(D$2:D139)*SQRT(252)</f>
        <v>0.20451785527923064</v>
      </c>
      <c r="V139" s="257">
        <f>STDEV(L$2:L139)*SQRT(252)</f>
        <v>0.41011498593156359</v>
      </c>
    </row>
    <row r="140" spans="1:22" ht="20.100000000000001" customHeight="1" x14ac:dyDescent="0.25">
      <c r="B140" s="249">
        <v>42433</v>
      </c>
      <c r="C140" s="250">
        <v>1999.99</v>
      </c>
      <c r="D140" s="175">
        <f t="shared" si="43"/>
        <v>3.3059095013544286E-3</v>
      </c>
      <c r="E140" s="251">
        <f t="shared" ref="E140:E171" si="45">(C140-$C$2)/$C$2</f>
        <v>-4.8729095717356993E-2</v>
      </c>
      <c r="F140" s="252">
        <v>4717.0200000000004</v>
      </c>
      <c r="G140" s="175">
        <f t="shared" si="41"/>
        <v>2.0393336477306811E-3</v>
      </c>
      <c r="H140" s="253">
        <f t="shared" si="40"/>
        <v>-7.3586424966121222E-2</v>
      </c>
      <c r="I140" s="254">
        <v>295168.58</v>
      </c>
      <c r="J140" s="255">
        <v>400000</v>
      </c>
      <c r="K140" s="255">
        <f t="shared" si="34"/>
        <v>10703.48000000004</v>
      </c>
      <c r="L140" s="175">
        <f t="shared" si="42"/>
        <v>3.7626689530631495E-2</v>
      </c>
      <c r="M140" s="256">
        <f t="shared" si="37"/>
        <v>-104831.41999999998</v>
      </c>
      <c r="N140" s="257">
        <f t="shared" si="38"/>
        <v>-0.26207854999999997</v>
      </c>
      <c r="O140" s="256" t="b">
        <f t="shared" si="36"/>
        <v>1</v>
      </c>
      <c r="P140" s="257">
        <f>COUNTIF(O$2:O140, TRUE)/(COUNTIF(O$2:O140,FALSE) + COUNTIF(O$2:O140, TRUE))</f>
        <v>0.46043165467625902</v>
      </c>
      <c r="Q140" s="347"/>
      <c r="R140" s="347"/>
      <c r="S140" s="347"/>
      <c r="T140" s="347"/>
      <c r="U140" s="257">
        <f>STDEV(D$2:D140)*SQRT(252)</f>
        <v>0.20382852547723848</v>
      </c>
      <c r="V140" s="257">
        <f>STDEV(L$2:L140)*SQRT(252)</f>
        <v>0.41201829569755161</v>
      </c>
    </row>
    <row r="141" spans="1:22" ht="20.100000000000001" customHeight="1" x14ac:dyDescent="0.25">
      <c r="B141" s="176">
        <v>42436</v>
      </c>
      <c r="C141" s="220">
        <v>2001.76</v>
      </c>
      <c r="D141" s="175">
        <f t="shared" si="43"/>
        <v>8.8500442502211603E-4</v>
      </c>
      <c r="E141" s="214">
        <f t="shared" si="45"/>
        <v>-4.7887216757672067E-2</v>
      </c>
      <c r="F141" s="224">
        <v>4708.5200000000004</v>
      </c>
      <c r="G141" s="175">
        <f t="shared" si="41"/>
        <v>-1.8019851516423502E-3</v>
      </c>
      <c r="H141" s="208">
        <f t="shared" si="40"/>
        <v>-7.5255808472612165E-2</v>
      </c>
      <c r="I141" s="226">
        <v>295332.12</v>
      </c>
      <c r="J141" s="177">
        <v>400000</v>
      </c>
      <c r="K141" s="177">
        <f t="shared" si="34"/>
        <v>163.53999999997905</v>
      </c>
      <c r="L141" s="175">
        <f t="shared" si="42"/>
        <v>5.5405626167927171E-4</v>
      </c>
      <c r="M141" s="187">
        <f t="shared" si="37"/>
        <v>-104667.88</v>
      </c>
      <c r="N141" s="189">
        <f t="shared" si="38"/>
        <v>-0.26166970000000001</v>
      </c>
      <c r="O141" s="187" t="b">
        <f t="shared" si="36"/>
        <v>0</v>
      </c>
      <c r="P141" s="189">
        <f>COUNTIF(O$2:O141, TRUE)/(COUNTIF(O$2:O141,FALSE) + COUNTIF(O$2:O141, TRUE))</f>
        <v>0.45714285714285713</v>
      </c>
      <c r="Q141" s="346"/>
      <c r="R141" s="346"/>
      <c r="S141" s="346"/>
      <c r="T141" s="346"/>
      <c r="U141" s="189">
        <f>STDEV(D$2:D141)*SQRT(252)</f>
        <v>0.20309473146639889</v>
      </c>
      <c r="V141" s="189">
        <f>STDEV(L$2:L141)*SQRT(252)</f>
        <v>0.41052951691081185</v>
      </c>
    </row>
    <row r="142" spans="1:22" ht="20.100000000000001" customHeight="1" x14ac:dyDescent="0.25">
      <c r="B142" s="176">
        <v>42437</v>
      </c>
      <c r="C142" s="220">
        <v>1979.26</v>
      </c>
      <c r="D142" s="175">
        <f t="shared" si="43"/>
        <v>-1.124010870434018E-2</v>
      </c>
      <c r="E142" s="214">
        <f t="shared" si="45"/>
        <v>-5.8589067940107716E-2</v>
      </c>
      <c r="F142" s="224">
        <v>4648.82</v>
      </c>
      <c r="G142" s="175">
        <f t="shared" si="41"/>
        <v>-1.2679143340157994E-2</v>
      </c>
      <c r="H142" s="208">
        <f t="shared" ref="H142:H173" si="46">(F142-F$2)/F$2</f>
        <v>-8.6980772629966438E-2</v>
      </c>
      <c r="I142" s="226">
        <v>279655.23</v>
      </c>
      <c r="J142" s="177">
        <v>400000</v>
      </c>
      <c r="K142" s="177">
        <f t="shared" si="34"/>
        <v>-15676.890000000014</v>
      </c>
      <c r="L142" s="175">
        <f t="shared" si="42"/>
        <v>-5.3082238396555084E-2</v>
      </c>
      <c r="M142" s="187">
        <f t="shared" si="37"/>
        <v>-120344.77000000002</v>
      </c>
      <c r="N142" s="189">
        <f t="shared" si="38"/>
        <v>-0.30086192500000003</v>
      </c>
      <c r="O142" s="187" t="b">
        <f t="shared" si="36"/>
        <v>0</v>
      </c>
      <c r="P142" s="189">
        <f>COUNTIF(O$2:O142, TRUE)/(COUNTIF(O$2:O142,FALSE) + COUNTIF(O$2:O142, TRUE))</f>
        <v>0.45390070921985815</v>
      </c>
      <c r="Q142" s="346"/>
      <c r="R142" s="346"/>
      <c r="S142" s="346"/>
      <c r="T142" s="346"/>
      <c r="U142" s="189">
        <f>STDEV(D$2:D142)*SQRT(252)</f>
        <v>0.2028972139328496</v>
      </c>
      <c r="V142" s="189">
        <f>STDEV(L$2:L142)*SQRT(252)</f>
        <v>0.41493428525347442</v>
      </c>
    </row>
    <row r="143" spans="1:22" ht="20.100000000000001" customHeight="1" x14ac:dyDescent="0.25">
      <c r="B143" s="176">
        <v>42438</v>
      </c>
      <c r="C143" s="220">
        <v>1989.26</v>
      </c>
      <c r="D143" s="175">
        <f t="shared" si="43"/>
        <v>5.0523933187150757E-3</v>
      </c>
      <c r="E143" s="214">
        <f t="shared" si="45"/>
        <v>-5.3832689636802981E-2</v>
      </c>
      <c r="F143" s="224">
        <v>4674.37</v>
      </c>
      <c r="G143" s="175">
        <f t="shared" si="41"/>
        <v>5.4960183444401336E-3</v>
      </c>
      <c r="H143" s="208">
        <f t="shared" si="46"/>
        <v>-8.1962802207514174E-2</v>
      </c>
      <c r="I143" s="226">
        <v>284441.56</v>
      </c>
      <c r="J143" s="177">
        <v>400000</v>
      </c>
      <c r="K143" s="177">
        <f t="shared" si="34"/>
        <v>4786.3300000000163</v>
      </c>
      <c r="L143" s="175">
        <f t="shared" si="42"/>
        <v>1.7115109915877547E-2</v>
      </c>
      <c r="M143" s="187">
        <f t="shared" si="37"/>
        <v>-115558.44</v>
      </c>
      <c r="N143" s="189">
        <f t="shared" si="38"/>
        <v>-0.28889609999999999</v>
      </c>
      <c r="O143" s="187" t="b">
        <f t="shared" si="36"/>
        <v>1</v>
      </c>
      <c r="P143" s="189">
        <f>COUNTIF(O$2:O143, TRUE)/(COUNTIF(O$2:O143,FALSE) + COUNTIF(O$2:O143, TRUE))</f>
        <v>0.45774647887323944</v>
      </c>
      <c r="Q143" s="346"/>
      <c r="R143" s="346"/>
      <c r="S143" s="346"/>
      <c r="T143" s="346"/>
      <c r="U143" s="189">
        <f>STDEV(D$2:D143)*SQRT(252)</f>
        <v>0.20230024410689199</v>
      </c>
      <c r="V143" s="189">
        <f>STDEV(L$2:L143)*SQRT(252)</f>
        <v>0.41420228414527577</v>
      </c>
    </row>
    <row r="144" spans="1:22" ht="20.100000000000001" customHeight="1" x14ac:dyDescent="0.25">
      <c r="A144" s="226"/>
      <c r="B144" s="176">
        <v>42439</v>
      </c>
      <c r="C144" s="220">
        <v>1989.57</v>
      </c>
      <c r="D144" s="175">
        <f t="shared" si="43"/>
        <v>1.5583684385145504E-4</v>
      </c>
      <c r="E144" s="214">
        <f t="shared" si="45"/>
        <v>-5.3685241909400563E-2</v>
      </c>
      <c r="F144" s="224">
        <v>4662.1499999999996</v>
      </c>
      <c r="G144" s="175">
        <f t="shared" si="41"/>
        <v>-2.6142560387817514E-3</v>
      </c>
      <c r="H144" s="208">
        <f t="shared" si="46"/>
        <v>-8.4362786495669459E-2</v>
      </c>
      <c r="I144" s="226">
        <v>287418.99</v>
      </c>
      <c r="J144" s="177">
        <v>400000</v>
      </c>
      <c r="K144" s="177">
        <f t="shared" si="34"/>
        <v>2977.429999999993</v>
      </c>
      <c r="L144" s="175">
        <f t="shared" si="42"/>
        <v>1.0467633492095856E-2</v>
      </c>
      <c r="M144" s="187">
        <f t="shared" si="37"/>
        <v>-112581.01000000001</v>
      </c>
      <c r="N144" s="189">
        <f t="shared" si="38"/>
        <v>-0.28145252500000001</v>
      </c>
      <c r="O144" s="187" t="b">
        <f t="shared" si="36"/>
        <v>1</v>
      </c>
      <c r="P144" s="189">
        <f>COUNTIF(O$2:O144, TRUE)/(COUNTIF(O$2:O144,FALSE) + COUNTIF(O$2:O144, TRUE))</f>
        <v>0.46153846153846156</v>
      </c>
      <c r="Q144" s="346"/>
      <c r="R144" s="346"/>
      <c r="S144" s="346"/>
      <c r="T144" s="346"/>
      <c r="U144" s="189">
        <f>STDEV(D$2:D144)*SQRT(252)</f>
        <v>0.20158255288168328</v>
      </c>
      <c r="V144" s="189">
        <f>STDEV(L$2:L144)*SQRT(252)</f>
        <v>0.41303460915058671</v>
      </c>
    </row>
    <row r="145" spans="2:22" ht="20.100000000000001" customHeight="1" x14ac:dyDescent="0.25">
      <c r="B145" s="176">
        <v>42440</v>
      </c>
      <c r="C145" s="220">
        <v>2022.19</v>
      </c>
      <c r="D145" s="175">
        <f t="shared" si="43"/>
        <v>1.6395502545776285E-2</v>
      </c>
      <c r="E145" s="214">
        <f t="shared" si="45"/>
        <v>-3.816993588402047E-2</v>
      </c>
      <c r="F145" s="224">
        <v>4748.47</v>
      </c>
      <c r="G145" s="175">
        <f t="shared" si="41"/>
        <v>1.8515062792917564E-2</v>
      </c>
      <c r="H145" s="208">
        <f t="shared" si="46"/>
        <v>-6.7409705992104718E-2</v>
      </c>
      <c r="I145" s="226">
        <v>297529.25</v>
      </c>
      <c r="J145" s="177">
        <v>400000</v>
      </c>
      <c r="K145" s="177">
        <f t="shared" si="34"/>
        <v>10110.260000000009</v>
      </c>
      <c r="L145" s="175">
        <f t="shared" si="42"/>
        <v>3.5176033427714741E-2</v>
      </c>
      <c r="M145" s="187">
        <f t="shared" si="37"/>
        <v>-102470.75</v>
      </c>
      <c r="N145" s="189">
        <f t="shared" si="38"/>
        <v>-0.25617687500000003</v>
      </c>
      <c r="O145" s="187" t="b">
        <f t="shared" si="36"/>
        <v>1</v>
      </c>
      <c r="P145" s="189">
        <f>COUNTIF(O$2:O145, TRUE)/(COUNTIF(O$2:O145,FALSE) + COUNTIF(O$2:O145, TRUE))</f>
        <v>0.46527777777777779</v>
      </c>
      <c r="Q145" s="346"/>
      <c r="R145" s="346"/>
      <c r="S145" s="346"/>
      <c r="T145" s="346"/>
      <c r="U145" s="189">
        <f>STDEV(D$2:D145)*SQRT(252)</f>
        <v>0.20209170666788678</v>
      </c>
      <c r="V145" s="189">
        <f>STDEV(L$2:L145)*SQRT(252)</f>
        <v>0.41442203469244021</v>
      </c>
    </row>
    <row r="146" spans="2:22" ht="20.100000000000001" customHeight="1" x14ac:dyDescent="0.25">
      <c r="B146" s="249">
        <v>42443</v>
      </c>
      <c r="C146" s="250">
        <v>2019.64</v>
      </c>
      <c r="D146" s="175">
        <f t="shared" si="43"/>
        <v>-1.261009103991195E-3</v>
      </c>
      <c r="E146" s="251">
        <f t="shared" si="45"/>
        <v>-3.9382812351363157E-2</v>
      </c>
      <c r="F146" s="252">
        <v>4750.28</v>
      </c>
      <c r="G146" s="175">
        <f t="shared" si="41"/>
        <v>3.8117541018464697E-4</v>
      </c>
      <c r="H146" s="253">
        <f t="shared" si="46"/>
        <v>-6.7054225504252038E-2</v>
      </c>
      <c r="I146" s="254">
        <v>295383.49</v>
      </c>
      <c r="J146" s="255">
        <v>400000</v>
      </c>
      <c r="K146" s="255">
        <f t="shared" si="34"/>
        <v>-2145.7600000000093</v>
      </c>
      <c r="L146" s="175">
        <f t="shared" si="42"/>
        <v>-7.2119295833939327E-3</v>
      </c>
      <c r="M146" s="256">
        <f t="shared" si="37"/>
        <v>-104616.51000000001</v>
      </c>
      <c r="N146" s="257">
        <f t="shared" si="38"/>
        <v>-0.26154127500000002</v>
      </c>
      <c r="O146" s="256" t="b">
        <f t="shared" si="36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</row>
    <row r="147" spans="2:22" ht="20.100000000000001" customHeight="1" x14ac:dyDescent="0.25">
      <c r="B147" s="249">
        <v>42444</v>
      </c>
      <c r="C147" s="250">
        <v>2015.93</v>
      </c>
      <c r="D147" s="175">
        <f t="shared" si="43"/>
        <v>-1.8369610425620587E-3</v>
      </c>
      <c r="E147" s="251">
        <f t="shared" si="45"/>
        <v>-4.1147428701889227E-2</v>
      </c>
      <c r="F147" s="252">
        <v>4728.66</v>
      </c>
      <c r="G147" s="175">
        <f t="shared" si="41"/>
        <v>-4.5513106595821496E-3</v>
      </c>
      <c r="H147" s="253">
        <f t="shared" si="46"/>
        <v>-7.1300351552526661E-2</v>
      </c>
      <c r="I147" s="254">
        <v>295669.06</v>
      </c>
      <c r="J147" s="255">
        <v>400000</v>
      </c>
      <c r="K147" s="255">
        <f t="shared" si="34"/>
        <v>285.57000000000698</v>
      </c>
      <c r="L147" s="175">
        <f t="shared" si="42"/>
        <v>9.6677712082014809E-4</v>
      </c>
      <c r="M147" s="256">
        <f t="shared" si="37"/>
        <v>-104330.94</v>
      </c>
      <c r="N147" s="257">
        <f t="shared" si="38"/>
        <v>-0.26082735000000001</v>
      </c>
      <c r="O147" s="256" t="b">
        <f t="shared" si="36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</row>
    <row r="148" spans="2:22" ht="20.100000000000001" customHeight="1" x14ac:dyDescent="0.25">
      <c r="B148" s="249">
        <v>42445</v>
      </c>
      <c r="C148" s="250">
        <v>2027.22</v>
      </c>
      <c r="D148" s="175">
        <f t="shared" si="43"/>
        <v>5.6003928707841853E-3</v>
      </c>
      <c r="E148" s="251">
        <f t="shared" si="45"/>
        <v>-3.5777477597458203E-2</v>
      </c>
      <c r="F148" s="252">
        <v>4763.97</v>
      </c>
      <c r="G148" s="175">
        <f t="shared" si="41"/>
        <v>7.467231731611154E-3</v>
      </c>
      <c r="H148" s="253">
        <f t="shared" si="46"/>
        <v>-6.4365536068503565E-2</v>
      </c>
      <c r="I148" s="254">
        <v>297622.03999999998</v>
      </c>
      <c r="J148" s="255">
        <v>400000</v>
      </c>
      <c r="K148" s="255">
        <f t="shared" si="34"/>
        <v>1952.9799999999814</v>
      </c>
      <c r="L148" s="175">
        <f t="shared" si="42"/>
        <v>6.6052903878409917E-3</v>
      </c>
      <c r="M148" s="256">
        <f t="shared" si="37"/>
        <v>-102377.96000000002</v>
      </c>
      <c r="N148" s="257">
        <f t="shared" si="38"/>
        <v>-0.25594490000000003</v>
      </c>
      <c r="O148" s="256" t="b">
        <f t="shared" si="36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47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</row>
    <row r="149" spans="2:22" ht="20.100000000000001" customHeight="1" x14ac:dyDescent="0.25">
      <c r="B149" s="249">
        <v>42446</v>
      </c>
      <c r="C149" s="250">
        <v>2040.59</v>
      </c>
      <c r="D149" s="175">
        <f t="shared" si="43"/>
        <v>6.5952387999328593E-3</v>
      </c>
      <c r="E149" s="251">
        <f t="shared" si="45"/>
        <v>-2.9418199805939828E-2</v>
      </c>
      <c r="F149" s="252">
        <v>4774.9799999999996</v>
      </c>
      <c r="G149" s="175">
        <f t="shared" si="41"/>
        <v>2.3110976769373671E-3</v>
      </c>
      <c r="H149" s="253">
        <f t="shared" si="46"/>
        <v>-6.2203193432448942E-2</v>
      </c>
      <c r="I149" s="254">
        <v>298243.74</v>
      </c>
      <c r="J149" s="255">
        <v>400000</v>
      </c>
      <c r="K149" s="255">
        <f t="shared" si="34"/>
        <v>621.70000000001164</v>
      </c>
      <c r="L149" s="175">
        <f t="shared" si="42"/>
        <v>2.0888909974543946E-3</v>
      </c>
      <c r="M149" s="256">
        <f t="shared" si="37"/>
        <v>-101756.26000000001</v>
      </c>
      <c r="N149" s="257">
        <f t="shared" si="38"/>
        <v>-0.25439065</v>
      </c>
      <c r="O149" s="256" t="b">
        <f t="shared" si="36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47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</row>
    <row r="150" spans="2:22" ht="20.100000000000001" customHeight="1" x14ac:dyDescent="0.25">
      <c r="B150" s="249">
        <v>42447</v>
      </c>
      <c r="C150" s="250">
        <v>2049.56</v>
      </c>
      <c r="D150" s="175">
        <f t="shared" si="43"/>
        <v>4.3957874928329688E-3</v>
      </c>
      <c r="E150" s="251">
        <f t="shared" si="45"/>
        <v>-2.5151728467875473E-2</v>
      </c>
      <c r="F150" s="252">
        <v>4795.6499999999996</v>
      </c>
      <c r="G150" s="175">
        <f t="shared" si="41"/>
        <v>4.3288139426762157E-3</v>
      </c>
      <c r="H150" s="253">
        <f t="shared" si="46"/>
        <v>-5.8143645540782093E-2</v>
      </c>
      <c r="I150" s="254">
        <v>302252.61</v>
      </c>
      <c r="J150" s="255">
        <v>400000</v>
      </c>
      <c r="K150" s="255">
        <f t="shared" si="34"/>
        <v>4008.8699999999953</v>
      </c>
      <c r="L150" s="175">
        <f t="shared" si="42"/>
        <v>1.3441589754742196E-2</v>
      </c>
      <c r="M150" s="256">
        <f t="shared" si="37"/>
        <v>-97747.390000000014</v>
      </c>
      <c r="N150" s="257">
        <f t="shared" si="38"/>
        <v>-0.24436847500000003</v>
      </c>
      <c r="O150" s="256" t="b">
        <f t="shared" si="36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47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</row>
    <row r="151" spans="2:22" ht="20.100000000000001" customHeight="1" x14ac:dyDescent="0.25">
      <c r="B151" s="176">
        <v>42450</v>
      </c>
      <c r="C151" s="220">
        <v>2051.6</v>
      </c>
      <c r="D151" s="175">
        <f t="shared" si="43"/>
        <v>9.9533558422293736E-4</v>
      </c>
      <c r="E151" s="214">
        <f t="shared" si="45"/>
        <v>-2.4181427294001325E-2</v>
      </c>
      <c r="F151" s="224">
        <v>4808.87</v>
      </c>
      <c r="G151" s="175">
        <f t="shared" si="41"/>
        <v>2.7566648942271132E-3</v>
      </c>
      <c r="H151" s="208">
        <f t="shared" si="46"/>
        <v>-5.5547263193039639E-2</v>
      </c>
      <c r="I151" s="226">
        <v>302397.02</v>
      </c>
      <c r="J151" s="177">
        <v>400000</v>
      </c>
      <c r="K151" s="177">
        <f t="shared" si="34"/>
        <v>144.4100000000326</v>
      </c>
      <c r="L151" s="175">
        <f t="shared" si="42"/>
        <v>4.7777916624121991E-4</v>
      </c>
      <c r="M151" s="187">
        <f t="shared" si="37"/>
        <v>-97602.979999999981</v>
      </c>
      <c r="N151" s="189">
        <f t="shared" si="38"/>
        <v>-0.24400744999999996</v>
      </c>
      <c r="O151" s="187" t="b">
        <f t="shared" si="36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47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</row>
    <row r="152" spans="2:22" ht="20.100000000000001" customHeight="1" x14ac:dyDescent="0.25">
      <c r="B152" s="176">
        <v>42451</v>
      </c>
      <c r="C152" s="220">
        <v>2052.6</v>
      </c>
      <c r="D152" s="175">
        <f t="shared" si="43"/>
        <v>4.8742444921037243E-4</v>
      </c>
      <c r="E152" s="214">
        <f t="shared" si="45"/>
        <v>-2.370578946367085E-2</v>
      </c>
      <c r="F152" s="224">
        <v>4809.87</v>
      </c>
      <c r="G152" s="175">
        <f t="shared" si="41"/>
        <v>2.0794906079806691E-4</v>
      </c>
      <c r="H152" s="208">
        <f t="shared" si="46"/>
        <v>-5.535086513345247E-2</v>
      </c>
      <c r="I152" s="226">
        <v>300927.05</v>
      </c>
      <c r="J152" s="177">
        <v>400000</v>
      </c>
      <c r="K152" s="177">
        <f t="shared" ref="K152:K183" si="48">I152-I151-J152+J151</f>
        <v>-1469.9700000000303</v>
      </c>
      <c r="L152" s="175">
        <f t="shared" si="42"/>
        <v>-4.8610598080630228E-3</v>
      </c>
      <c r="M152" s="187">
        <f t="shared" si="37"/>
        <v>-99072.950000000012</v>
      </c>
      <c r="N152" s="189">
        <f t="shared" si="38"/>
        <v>-0.24768237500000004</v>
      </c>
      <c r="O152" s="187" t="b">
        <f t="shared" si="36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47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</row>
    <row r="153" spans="2:22" ht="20.100000000000001" customHeight="1" x14ac:dyDescent="0.25">
      <c r="B153" s="176">
        <v>42452</v>
      </c>
      <c r="C153" s="220">
        <v>2036.71</v>
      </c>
      <c r="D153" s="175">
        <f t="shared" si="43"/>
        <v>-7.7414011497612166E-3</v>
      </c>
      <c r="E153" s="214">
        <f t="shared" si="45"/>
        <v>-3.1263674587622012E-2</v>
      </c>
      <c r="F153" s="224">
        <v>4768.8599999999997</v>
      </c>
      <c r="G153" s="175">
        <f t="shared" si="41"/>
        <v>-8.5262179643109306E-3</v>
      </c>
      <c r="H153" s="208">
        <f t="shared" si="46"/>
        <v>-6.3405149557122412E-2</v>
      </c>
      <c r="I153" s="226">
        <v>283106.53999999998</v>
      </c>
      <c r="J153" s="177">
        <v>400000</v>
      </c>
      <c r="K153" s="177">
        <f t="shared" si="48"/>
        <v>-17820.510000000009</v>
      </c>
      <c r="L153" s="175">
        <f t="shared" si="42"/>
        <v>-5.9218704333824458E-2</v>
      </c>
      <c r="M153" s="187">
        <f t="shared" si="37"/>
        <v>-116893.46000000002</v>
      </c>
      <c r="N153" s="189">
        <f t="shared" si="38"/>
        <v>-0.29223365000000007</v>
      </c>
      <c r="O153" s="187" t="b">
        <f t="shared" si="36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47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</row>
    <row r="154" spans="2:22" ht="20.100000000000001" customHeight="1" x14ac:dyDescent="0.25">
      <c r="B154" s="176">
        <v>42453</v>
      </c>
      <c r="C154" s="220">
        <v>2035.94</v>
      </c>
      <c r="D154" s="175">
        <f t="shared" si="43"/>
        <v>-3.7806069592626431E-4</v>
      </c>
      <c r="E154" s="214">
        <f t="shared" si="45"/>
        <v>-3.1629915716976466E-2</v>
      </c>
      <c r="F154" s="224">
        <v>4773.5</v>
      </c>
      <c r="G154" s="175">
        <f t="shared" si="41"/>
        <v>9.7297886706683098E-4</v>
      </c>
      <c r="H154" s="208">
        <f t="shared" si="46"/>
        <v>-6.2493862560637867E-2</v>
      </c>
      <c r="I154" s="226">
        <v>283603.99</v>
      </c>
      <c r="J154" s="177">
        <v>400000</v>
      </c>
      <c r="K154" s="177">
        <f t="shared" si="48"/>
        <v>497.45000000001164</v>
      </c>
      <c r="L154" s="175">
        <f t="shared" si="42"/>
        <v>1.7571123577717832E-3</v>
      </c>
      <c r="M154" s="187">
        <f t="shared" si="37"/>
        <v>-116396.01000000001</v>
      </c>
      <c r="N154" s="189">
        <f t="shared" si="38"/>
        <v>-0.29099002500000004</v>
      </c>
      <c r="O154" s="187" t="b">
        <f t="shared" si="36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49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</row>
    <row r="155" spans="2:22" ht="20.100000000000001" customHeight="1" x14ac:dyDescent="0.25">
      <c r="B155" s="249">
        <v>42457</v>
      </c>
      <c r="C155" s="250">
        <v>2037.05</v>
      </c>
      <c r="D155" s="175">
        <f t="shared" si="43"/>
        <v>5.4520270734889045E-4</v>
      </c>
      <c r="E155" s="251">
        <f t="shared" si="45"/>
        <v>-3.1101957725309687E-2</v>
      </c>
      <c r="F155" s="252">
        <v>4766.78</v>
      </c>
      <c r="G155" s="175">
        <f t="shared" si="41"/>
        <v>-1.4077720749974348E-3</v>
      </c>
      <c r="H155" s="253">
        <f t="shared" si="46"/>
        <v>-6.3813657521063702E-2</v>
      </c>
      <c r="I155" s="254">
        <v>281306.2</v>
      </c>
      <c r="J155" s="255">
        <v>400000</v>
      </c>
      <c r="K155" s="255">
        <f t="shared" si="48"/>
        <v>-2297.789999999979</v>
      </c>
      <c r="L155" s="175">
        <f t="shared" si="42"/>
        <v>-8.1021074491934297E-3</v>
      </c>
      <c r="M155" s="256">
        <f t="shared" si="37"/>
        <v>-118693.79999999999</v>
      </c>
      <c r="N155" s="257">
        <f t="shared" si="38"/>
        <v>-0.29673449999999996</v>
      </c>
      <c r="O155" s="256" t="b">
        <f t="shared" ref="O155:O191" si="50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49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</row>
    <row r="156" spans="2:22" ht="20.100000000000001" customHeight="1" x14ac:dyDescent="0.25">
      <c r="B156" s="249">
        <v>42458</v>
      </c>
      <c r="C156" s="250">
        <v>2055.0100000000002</v>
      </c>
      <c r="D156" s="175">
        <f t="shared" si="43"/>
        <v>8.8166711666381598E-3</v>
      </c>
      <c r="E156" s="251">
        <f t="shared" si="45"/>
        <v>-2.2559502292574262E-2</v>
      </c>
      <c r="F156" s="252">
        <v>4846.62</v>
      </c>
      <c r="G156" s="175">
        <f t="shared" si="41"/>
        <v>1.6749252115683993E-2</v>
      </c>
      <c r="H156" s="253">
        <f t="shared" si="46"/>
        <v>-4.8133236443623925E-2</v>
      </c>
      <c r="I156" s="254">
        <v>285322.46999999997</v>
      </c>
      <c r="J156" s="255">
        <v>400000</v>
      </c>
      <c r="K156" s="255">
        <f t="shared" si="48"/>
        <v>4016.2699999999604</v>
      </c>
      <c r="L156" s="175">
        <f t="shared" si="42"/>
        <v>1.4277218205641967E-2</v>
      </c>
      <c r="M156" s="256">
        <f t="shared" si="37"/>
        <v>-114677.53000000003</v>
      </c>
      <c r="N156" s="257">
        <f t="shared" si="38"/>
        <v>-0.28669382500000007</v>
      </c>
      <c r="O156" s="256" t="b">
        <f t="shared" si="50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49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</row>
    <row r="157" spans="2:22" ht="20.100000000000001" customHeight="1" x14ac:dyDescent="0.25">
      <c r="B157" s="249">
        <v>42459</v>
      </c>
      <c r="C157" s="250">
        <v>2063.9499999999998</v>
      </c>
      <c r="D157" s="175">
        <f t="shared" si="43"/>
        <v>4.3503437939472799E-3</v>
      </c>
      <c r="E157" s="251">
        <f t="shared" si="45"/>
        <v>-1.8307300089420026E-2</v>
      </c>
      <c r="F157" s="252">
        <v>4869.29</v>
      </c>
      <c r="G157" s="175">
        <f t="shared" si="41"/>
        <v>4.6774865782751845E-3</v>
      </c>
      <c r="H157" s="253">
        <f t="shared" si="46"/>
        <v>-4.3680892432782739E-2</v>
      </c>
      <c r="I157" s="254">
        <v>288126.49</v>
      </c>
      <c r="J157" s="255">
        <v>400000</v>
      </c>
      <c r="K157" s="255">
        <f t="shared" si="48"/>
        <v>2804.0200000000186</v>
      </c>
      <c r="L157" s="175">
        <f t="shared" si="42"/>
        <v>9.8275470557927635E-3</v>
      </c>
      <c r="M157" s="256">
        <f t="shared" si="37"/>
        <v>-111873.51000000001</v>
      </c>
      <c r="N157" s="257">
        <f t="shared" si="38"/>
        <v>-0.27968377500000002</v>
      </c>
      <c r="O157" s="256" t="b">
        <f t="shared" si="50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49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</row>
    <row r="158" spans="2:22" ht="20.100000000000001" customHeight="1" x14ac:dyDescent="0.25">
      <c r="B158" s="249">
        <v>42460</v>
      </c>
      <c r="C158" s="250">
        <v>2059.7399999999998</v>
      </c>
      <c r="D158" s="175">
        <f t="shared" si="43"/>
        <v>-2.0397780953996156E-3</v>
      </c>
      <c r="E158" s="251">
        <f t="shared" si="45"/>
        <v>-2.0309735355111335E-2</v>
      </c>
      <c r="F158" s="252">
        <v>4869.84</v>
      </c>
      <c r="G158" s="175">
        <f t="shared" si="41"/>
        <v>1.129528124223823E-4</v>
      </c>
      <c r="H158" s="253">
        <f t="shared" si="46"/>
        <v>-4.3572873500009754E-2</v>
      </c>
      <c r="I158" s="512">
        <v>295667.37</v>
      </c>
      <c r="J158" s="255">
        <v>400000</v>
      </c>
      <c r="K158" s="255">
        <f t="shared" si="48"/>
        <v>7540.8800000000047</v>
      </c>
      <c r="L158" s="175">
        <f t="shared" si="42"/>
        <v>2.6172116281290222E-2</v>
      </c>
      <c r="M158" s="256">
        <f t="shared" ref="M158:M191" si="51">I158-J158</f>
        <v>-104332.63</v>
      </c>
      <c r="N158" s="257">
        <f t="shared" ref="N158:N189" si="52">M158/J158</f>
        <v>-0.26083157500000004</v>
      </c>
      <c r="O158" s="256" t="b">
        <f t="shared" si="50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49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</row>
    <row r="159" spans="2:22" ht="20.100000000000001" customHeight="1" x14ac:dyDescent="0.25">
      <c r="B159" s="249">
        <v>42461</v>
      </c>
      <c r="C159" s="250">
        <v>2072.7800000000002</v>
      </c>
      <c r="D159" s="175">
        <f t="shared" si="43"/>
        <v>6.3308961325217843E-3</v>
      </c>
      <c r="E159" s="251">
        <f t="shared" si="45"/>
        <v>-1.4107418047601765E-2</v>
      </c>
      <c r="F159" s="252">
        <v>4914.54</v>
      </c>
      <c r="G159" s="175">
        <f t="shared" si="41"/>
        <v>9.1789463308855762E-3</v>
      </c>
      <c r="H159" s="253">
        <f t="shared" si="46"/>
        <v>-3.4793880236463237E-2</v>
      </c>
      <c r="I159" s="254">
        <v>293885.49</v>
      </c>
      <c r="J159" s="255">
        <v>400000</v>
      </c>
      <c r="K159" s="255">
        <f t="shared" si="48"/>
        <v>-1781.8800000000047</v>
      </c>
      <c r="L159" s="175">
        <f t="shared" si="42"/>
        <v>-6.026637298529103E-3</v>
      </c>
      <c r="M159" s="256">
        <f t="shared" si="51"/>
        <v>-106114.51000000001</v>
      </c>
      <c r="N159" s="257">
        <f t="shared" si="52"/>
        <v>-0.26528627500000002</v>
      </c>
      <c r="O159" s="256" t="b">
        <f t="shared" si="50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49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</row>
    <row r="160" spans="2:22" ht="20.100000000000001" customHeight="1" x14ac:dyDescent="0.25">
      <c r="B160" s="176">
        <v>42464</v>
      </c>
      <c r="C160" s="220">
        <v>2066.13</v>
      </c>
      <c r="D160" s="175">
        <f t="shared" si="43"/>
        <v>-3.2082517199124318E-3</v>
      </c>
      <c r="E160" s="214">
        <f t="shared" si="45"/>
        <v>-1.7270409619299456E-2</v>
      </c>
      <c r="F160" s="224">
        <v>4891.79</v>
      </c>
      <c r="G160" s="175">
        <f t="shared" si="41"/>
        <v>-4.6291209350213854E-3</v>
      </c>
      <c r="H160" s="208">
        <f t="shared" si="46"/>
        <v>-3.9261936092071383E-2</v>
      </c>
      <c r="I160" s="226">
        <v>291382.05</v>
      </c>
      <c r="J160" s="177">
        <v>400000</v>
      </c>
      <c r="K160" s="177">
        <f t="shared" si="48"/>
        <v>-2503.4400000000023</v>
      </c>
      <c r="L160" s="175">
        <f t="shared" si="42"/>
        <v>-8.5184198784363334E-3</v>
      </c>
      <c r="M160" s="187">
        <f t="shared" si="51"/>
        <v>-108617.95000000001</v>
      </c>
      <c r="N160" s="189">
        <f t="shared" si="52"/>
        <v>-0.27154487500000002</v>
      </c>
      <c r="O160" s="187" t="b">
        <f t="shared" si="50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49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</row>
    <row r="161" spans="2:22" ht="20.100000000000001" customHeight="1" x14ac:dyDescent="0.25">
      <c r="B161" s="176">
        <v>42465</v>
      </c>
      <c r="C161" s="220">
        <v>2045.17</v>
      </c>
      <c r="D161" s="175">
        <f t="shared" si="43"/>
        <v>-1.0144569799577004E-2</v>
      </c>
      <c r="E161" s="214">
        <f t="shared" si="45"/>
        <v>-2.7239778543026189E-2</v>
      </c>
      <c r="F161" s="224">
        <v>4843.93</v>
      </c>
      <c r="G161" s="175">
        <f t="shared" si="41"/>
        <v>-9.7837396944676028E-3</v>
      </c>
      <c r="H161" s="208">
        <f t="shared" si="46"/>
        <v>-4.8661547223913339E-2</v>
      </c>
      <c r="I161" s="226">
        <v>289909.68</v>
      </c>
      <c r="J161" s="177">
        <v>400000</v>
      </c>
      <c r="K161" s="177">
        <f t="shared" si="48"/>
        <v>-1472.3699999999953</v>
      </c>
      <c r="L161" s="175">
        <f t="shared" si="42"/>
        <v>-5.0530566313195871E-3</v>
      </c>
      <c r="M161" s="187">
        <f t="shared" si="51"/>
        <v>-110090.32</v>
      </c>
      <c r="N161" s="189">
        <f t="shared" si="52"/>
        <v>-0.27522580000000002</v>
      </c>
      <c r="O161" s="187" t="b">
        <f t="shared" si="50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49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</row>
    <row r="162" spans="2:22" ht="20.100000000000001" customHeight="1" x14ac:dyDescent="0.25">
      <c r="B162" s="176">
        <v>42466</v>
      </c>
      <c r="C162" s="220">
        <v>2066.66</v>
      </c>
      <c r="D162" s="175">
        <f t="shared" si="43"/>
        <v>1.0507683957812691E-2</v>
      </c>
      <c r="E162" s="214">
        <f t="shared" si="45"/>
        <v>-1.7018321569224424E-2</v>
      </c>
      <c r="F162" s="224">
        <v>4920.71</v>
      </c>
      <c r="G162" s="175">
        <f t="shared" si="41"/>
        <v>1.5850765803799755E-2</v>
      </c>
      <c r="H162" s="208">
        <f t="shared" si="46"/>
        <v>-3.3582104208810373E-2</v>
      </c>
      <c r="I162" s="226">
        <v>294800.27</v>
      </c>
      <c r="J162" s="177">
        <v>400000</v>
      </c>
      <c r="K162" s="177">
        <f t="shared" si="48"/>
        <v>4890.5900000000256</v>
      </c>
      <c r="L162" s="175">
        <f t="shared" si="42"/>
        <v>1.6869357380547022E-2</v>
      </c>
      <c r="M162" s="187">
        <f t="shared" si="51"/>
        <v>-105199.72999999998</v>
      </c>
      <c r="N162" s="189">
        <f t="shared" si="52"/>
        <v>-0.26299932499999995</v>
      </c>
      <c r="O162" s="187" t="b">
        <f t="shared" si="50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49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</row>
    <row r="163" spans="2:22" ht="20.100000000000001" customHeight="1" x14ac:dyDescent="0.25">
      <c r="B163" s="176">
        <v>42467</v>
      </c>
      <c r="C163" s="220">
        <v>2041.91</v>
      </c>
      <c r="D163" s="175">
        <f t="shared" si="43"/>
        <v>-1.1975845083371128E-2</v>
      </c>
      <c r="E163" s="214">
        <f t="shared" si="45"/>
        <v>-2.8790357869903527E-2</v>
      </c>
      <c r="F163" s="224">
        <v>4848.3599999999997</v>
      </c>
      <c r="G163" s="175">
        <f t="shared" si="41"/>
        <v>-1.4703162754968361E-2</v>
      </c>
      <c r="H163" s="208">
        <f t="shared" si="46"/>
        <v>-4.7791503819942287E-2</v>
      </c>
      <c r="I163" s="226">
        <v>296412.12</v>
      </c>
      <c r="J163" s="177">
        <v>400000</v>
      </c>
      <c r="K163" s="177">
        <f t="shared" si="48"/>
        <v>1611.8499999999767</v>
      </c>
      <c r="L163" s="175">
        <f t="shared" si="42"/>
        <v>5.4676001483986991E-3</v>
      </c>
      <c r="M163" s="187">
        <f t="shared" si="51"/>
        <v>-103587.88</v>
      </c>
      <c r="N163" s="189">
        <f t="shared" si="52"/>
        <v>-0.25896970000000002</v>
      </c>
      <c r="O163" s="187" t="b">
        <f t="shared" si="50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49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</row>
    <row r="164" spans="2:22" ht="20.100000000000001" customHeight="1" x14ac:dyDescent="0.25">
      <c r="B164" s="176">
        <v>42468</v>
      </c>
      <c r="C164" s="220">
        <v>2047.6</v>
      </c>
      <c r="D164" s="175">
        <f t="shared" si="43"/>
        <v>2.7866066574921654E-3</v>
      </c>
      <c r="E164" s="214">
        <f t="shared" si="45"/>
        <v>-2.6083978615323217E-2</v>
      </c>
      <c r="F164" s="224">
        <v>4850.6899999999996</v>
      </c>
      <c r="G164" s="175">
        <f t="shared" si="41"/>
        <v>4.8057487480301122E-4</v>
      </c>
      <c r="H164" s="208">
        <f t="shared" si="46"/>
        <v>-4.7333896341104194E-2</v>
      </c>
      <c r="I164" s="226">
        <v>303561.17</v>
      </c>
      <c r="J164" s="177">
        <v>400000</v>
      </c>
      <c r="K164" s="177">
        <f t="shared" si="48"/>
        <v>7149.0499999999884</v>
      </c>
      <c r="L164" s="175">
        <f t="shared" si="42"/>
        <v>2.4118615662544394E-2</v>
      </c>
      <c r="M164" s="187">
        <f t="shared" si="51"/>
        <v>-96438.830000000016</v>
      </c>
      <c r="N164" s="189">
        <f t="shared" si="52"/>
        <v>-0.24109707500000005</v>
      </c>
      <c r="O164" s="187" t="b">
        <f t="shared" si="50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49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</row>
    <row r="165" spans="2:22" ht="20.100000000000001" customHeight="1" x14ac:dyDescent="0.25">
      <c r="B165" s="249">
        <v>42471</v>
      </c>
      <c r="C165" s="250">
        <v>2041.99</v>
      </c>
      <c r="D165" s="175">
        <f t="shared" si="43"/>
        <v>-2.7397929283062613E-3</v>
      </c>
      <c r="E165" s="251">
        <f t="shared" si="45"/>
        <v>-2.8752306843477123E-2</v>
      </c>
      <c r="F165" s="252">
        <v>4833.3900000000003</v>
      </c>
      <c r="G165" s="175">
        <f t="shared" si="41"/>
        <v>-3.5665029098951436E-3</v>
      </c>
      <c r="H165" s="253">
        <f t="shared" si="46"/>
        <v>-5.0731582771962117E-2</v>
      </c>
      <c r="I165" s="254">
        <v>301374.21999999997</v>
      </c>
      <c r="J165" s="255">
        <v>400000</v>
      </c>
      <c r="K165" s="255">
        <f t="shared" si="48"/>
        <v>-2186.9500000000116</v>
      </c>
      <c r="L165" s="175">
        <f t="shared" si="42"/>
        <v>-7.2043140431960117E-3</v>
      </c>
      <c r="M165" s="256">
        <f t="shared" si="51"/>
        <v>-98625.780000000028</v>
      </c>
      <c r="N165" s="257">
        <f t="shared" si="52"/>
        <v>-0.24656445000000007</v>
      </c>
      <c r="O165" s="256" t="b">
        <f t="shared" si="50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49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</row>
    <row r="166" spans="2:22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5"/>
        <v>-1.9367972451056988E-2</v>
      </c>
      <c r="F166" s="252">
        <v>4872.09</v>
      </c>
      <c r="G166" s="175">
        <f t="shared" ref="G166:G171" si="53">(F166-F165)/F165</f>
        <v>8.0068026788651069E-3</v>
      </c>
      <c r="H166" s="253">
        <f t="shared" si="46"/>
        <v>-4.313097786593862E-2</v>
      </c>
      <c r="I166" s="254">
        <v>314750.48</v>
      </c>
      <c r="J166" s="255">
        <v>400000</v>
      </c>
      <c r="K166" s="255">
        <f t="shared" si="48"/>
        <v>13376.260000000009</v>
      </c>
      <c r="L166" s="175">
        <f t="shared" si="42"/>
        <v>4.438422105248422E-2</v>
      </c>
      <c r="M166" s="256">
        <f t="shared" si="51"/>
        <v>-85249.520000000019</v>
      </c>
      <c r="N166" s="257">
        <f t="shared" si="52"/>
        <v>-0.21312380000000006</v>
      </c>
      <c r="O166" s="256" t="b">
        <f t="shared" si="50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49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</row>
    <row r="167" spans="2:22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5"/>
        <v>-9.522269363216063E-3</v>
      </c>
      <c r="F167" s="252">
        <v>4947.42</v>
      </c>
      <c r="G167" s="175">
        <f t="shared" si="53"/>
        <v>1.5461537040571896E-2</v>
      </c>
      <c r="H167" s="253">
        <f t="shared" si="46"/>
        <v>-2.8336312037237021E-2</v>
      </c>
      <c r="I167" s="254">
        <v>317683.34999999998</v>
      </c>
      <c r="J167" s="255">
        <v>400000</v>
      </c>
      <c r="K167" s="255">
        <f t="shared" si="48"/>
        <v>2932.8699999999953</v>
      </c>
      <c r="L167" s="175">
        <f t="shared" si="42"/>
        <v>9.3180795149224102E-3</v>
      </c>
      <c r="M167" s="256">
        <f t="shared" si="51"/>
        <v>-82316.650000000023</v>
      </c>
      <c r="N167" s="257">
        <f t="shared" si="52"/>
        <v>-0.20579162500000006</v>
      </c>
      <c r="O167" s="256" t="b">
        <f t="shared" si="50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49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</row>
    <row r="168" spans="2:22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5"/>
        <v>-9.3510397442970322E-3</v>
      </c>
      <c r="F168" s="252">
        <v>4945.88</v>
      </c>
      <c r="G168" s="175">
        <f t="shared" si="53"/>
        <v>-3.1127335055442304E-4</v>
      </c>
      <c r="H168" s="253">
        <f t="shared" si="46"/>
        <v>-2.8638765049001261E-2</v>
      </c>
      <c r="I168" s="254">
        <v>317242.28999999998</v>
      </c>
      <c r="J168" s="255">
        <v>400000</v>
      </c>
      <c r="K168" s="255">
        <f t="shared" si="48"/>
        <v>-441.05999999999767</v>
      </c>
      <c r="L168" s="175">
        <f t="shared" si="42"/>
        <v>-1.3883636016807229E-3</v>
      </c>
      <c r="M168" s="256">
        <f t="shared" si="51"/>
        <v>-82757.710000000021</v>
      </c>
      <c r="N168" s="257">
        <f t="shared" si="52"/>
        <v>-0.20689427500000004</v>
      </c>
      <c r="O168" s="256" t="b">
        <f t="shared" si="50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49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</row>
    <row r="169" spans="2:22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5"/>
        <v>-1.0326097296474589E-2</v>
      </c>
      <c r="F169" s="252">
        <v>4938.21</v>
      </c>
      <c r="G169" s="175">
        <f t="shared" si="53"/>
        <v>-1.5507857044651453E-3</v>
      </c>
      <c r="H169" s="253">
        <f t="shared" si="46"/>
        <v>-3.0145138166034879E-2</v>
      </c>
      <c r="I169" s="254">
        <v>317721.64</v>
      </c>
      <c r="J169" s="255">
        <v>400000</v>
      </c>
      <c r="K169" s="255">
        <f t="shared" si="48"/>
        <v>479.35000000003492</v>
      </c>
      <c r="L169" s="175">
        <f t="shared" si="42"/>
        <v>1.5109902276901196E-3</v>
      </c>
      <c r="M169" s="256">
        <f t="shared" si="51"/>
        <v>-82278.359999999986</v>
      </c>
      <c r="N169" s="257">
        <f t="shared" si="52"/>
        <v>-0.20569589999999996</v>
      </c>
      <c r="O169" s="256" t="b">
        <f t="shared" si="50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49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</row>
    <row r="170" spans="2:22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5"/>
        <v>-3.8288845341603954E-3</v>
      </c>
      <c r="F170" s="224">
        <v>4960.01</v>
      </c>
      <c r="G170" s="175">
        <f t="shared" si="53"/>
        <v>4.414555071574555E-3</v>
      </c>
      <c r="H170" s="208">
        <f t="shared" si="46"/>
        <v>-2.5863660467034508E-2</v>
      </c>
      <c r="I170" s="226">
        <v>322899.31</v>
      </c>
      <c r="J170" s="177">
        <v>400000</v>
      </c>
      <c r="K170" s="177">
        <f t="shared" si="48"/>
        <v>5177.6699999999837</v>
      </c>
      <c r="L170" s="175">
        <f t="shared" si="42"/>
        <v>1.6296245984377972E-2</v>
      </c>
      <c r="M170" s="187">
        <f t="shared" si="51"/>
        <v>-77100.69</v>
      </c>
      <c r="N170" s="189">
        <f t="shared" si="52"/>
        <v>-0.19275172500000001</v>
      </c>
      <c r="O170" s="187" t="b">
        <f t="shared" si="50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49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</row>
    <row r="171" spans="2:22" ht="20.100000000000001" customHeight="1" x14ac:dyDescent="0.25">
      <c r="B171" s="176">
        <v>42479</v>
      </c>
      <c r="C171" s="220">
        <v>2100.8000000000002</v>
      </c>
      <c r="D171" s="175">
        <f t="shared" ref="D171:D190" si="54">(C171-C170)/C170</f>
        <v>3.0605570118269806E-3</v>
      </c>
      <c r="E171" s="214">
        <f t="shared" si="45"/>
        <v>-7.8004604174191543E-4</v>
      </c>
      <c r="F171" s="224">
        <v>4940.33</v>
      </c>
      <c r="G171" s="175">
        <f t="shared" si="53"/>
        <v>-3.9677339360203491E-3</v>
      </c>
      <c r="H171" s="208">
        <f t="shared" si="46"/>
        <v>-2.9728774279710095E-2</v>
      </c>
      <c r="I171" s="226">
        <v>328320.36</v>
      </c>
      <c r="J171" s="177">
        <v>400000</v>
      </c>
      <c r="K171" s="177">
        <f t="shared" si="48"/>
        <v>5421.0499999999884</v>
      </c>
      <c r="L171" s="175">
        <f t="shared" si="42"/>
        <v>1.6788670127539103E-2</v>
      </c>
      <c r="M171" s="187">
        <f t="shared" si="51"/>
        <v>-71679.640000000014</v>
      </c>
      <c r="N171" s="189">
        <f t="shared" si="52"/>
        <v>-0.17919910000000003</v>
      </c>
      <c r="O171" s="187" t="b">
        <f t="shared" si="50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49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</row>
    <row r="172" spans="2:22" ht="20.100000000000001" customHeight="1" x14ac:dyDescent="0.25">
      <c r="B172" s="176">
        <v>42480</v>
      </c>
      <c r="C172" s="220">
        <v>2102.4</v>
      </c>
      <c r="D172" s="175">
        <f t="shared" si="54"/>
        <v>7.6161462300071826E-4</v>
      </c>
      <c r="E172" s="214">
        <f t="shared" ref="E172:E191" si="55">(C172-$C$2)/$C$2</f>
        <v>-1.9025513213201623E-5</v>
      </c>
      <c r="F172" s="224">
        <v>4948.13</v>
      </c>
      <c r="G172" s="175">
        <f t="shared" ref="G172:G190" si="56">(F172-F171)/F171</f>
        <v>1.5788418992253922E-3</v>
      </c>
      <c r="H172" s="208">
        <f t="shared" si="46"/>
        <v>-2.8196869414930124E-2</v>
      </c>
      <c r="I172" s="226">
        <v>329335.82</v>
      </c>
      <c r="J172" s="177">
        <v>400000</v>
      </c>
      <c r="K172" s="177">
        <f t="shared" si="48"/>
        <v>1015.460000000021</v>
      </c>
      <c r="L172" s="175">
        <f t="shared" si="42"/>
        <v>3.0928937821584411E-3</v>
      </c>
      <c r="M172" s="187">
        <f t="shared" si="51"/>
        <v>-70664.179999999993</v>
      </c>
      <c r="N172" s="189">
        <f t="shared" si="52"/>
        <v>-0.17666044999999997</v>
      </c>
      <c r="O172" s="187" t="b">
        <f t="shared" si="50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49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</row>
    <row r="173" spans="2:22" ht="20.100000000000001" customHeight="1" x14ac:dyDescent="0.25">
      <c r="B173" s="176">
        <v>42481</v>
      </c>
      <c r="C173" s="220">
        <v>2091.48</v>
      </c>
      <c r="D173" s="175">
        <f t="shared" si="54"/>
        <v>-5.194063926940674E-3</v>
      </c>
      <c r="E173" s="214">
        <f t="shared" si="55"/>
        <v>-5.2129906204220026E-3</v>
      </c>
      <c r="F173" s="224">
        <v>4945.88</v>
      </c>
      <c r="G173" s="175">
        <f t="shared" si="56"/>
        <v>-4.547172366126193E-4</v>
      </c>
      <c r="H173" s="208">
        <f t="shared" si="46"/>
        <v>-2.8638765049001261E-2</v>
      </c>
      <c r="I173" s="226">
        <v>327169.02</v>
      </c>
      <c r="J173" s="177">
        <v>400000</v>
      </c>
      <c r="K173" s="177">
        <f t="shared" si="48"/>
        <v>-2166.7999999999884</v>
      </c>
      <c r="L173" s="175">
        <f t="shared" si="42"/>
        <v>-6.5793025489908393E-3</v>
      </c>
      <c r="M173" s="187">
        <f t="shared" si="51"/>
        <v>-72830.979999999981</v>
      </c>
      <c r="N173" s="189">
        <f t="shared" si="52"/>
        <v>-0.18207744999999995</v>
      </c>
      <c r="O173" s="187" t="b">
        <f t="shared" si="50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49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</row>
    <row r="174" spans="2:22" ht="20.100000000000001" customHeight="1" x14ac:dyDescent="0.25">
      <c r="B174" s="176">
        <v>42482</v>
      </c>
      <c r="C174" s="220">
        <v>2091.58</v>
      </c>
      <c r="D174" s="175">
        <f t="shared" si="54"/>
        <v>4.7813031919936622E-5</v>
      </c>
      <c r="E174" s="214">
        <f t="shared" si="55"/>
        <v>-5.1654268373889992E-3</v>
      </c>
      <c r="F174" s="224">
        <v>4906.28</v>
      </c>
      <c r="G174" s="175">
        <f t="shared" si="56"/>
        <v>-8.006664132571022E-3</v>
      </c>
      <c r="H174" s="208">
        <f t="shared" ref="H174:H191" si="57">(F174-F$2)/F$2</f>
        <v>-3.6416128208653316E-2</v>
      </c>
      <c r="I174" s="226">
        <v>331471.71000000002</v>
      </c>
      <c r="J174" s="177">
        <v>400000</v>
      </c>
      <c r="K174" s="177">
        <f t="shared" si="48"/>
        <v>4302.6900000000023</v>
      </c>
      <c r="L174" s="175">
        <f t="shared" si="42"/>
        <v>1.3151275753431673E-2</v>
      </c>
      <c r="M174" s="187">
        <f t="shared" si="51"/>
        <v>-68528.289999999979</v>
      </c>
      <c r="N174" s="189">
        <f t="shared" si="52"/>
        <v>-0.17132072499999995</v>
      </c>
      <c r="O174" s="187" t="b">
        <f t="shared" si="50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49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</row>
    <row r="175" spans="2:22" ht="20.100000000000001" customHeight="1" x14ac:dyDescent="0.25">
      <c r="B175" s="249">
        <v>42485</v>
      </c>
      <c r="C175" s="250">
        <v>2087.79</v>
      </c>
      <c r="D175" s="175">
        <f t="shared" si="54"/>
        <v>-1.8120272712494688E-3</v>
      </c>
      <c r="E175" s="251">
        <f t="shared" si="55"/>
        <v>-6.9680942143414753E-3</v>
      </c>
      <c r="F175" s="252">
        <v>4895.78</v>
      </c>
      <c r="G175" s="175">
        <f t="shared" si="56"/>
        <v>-2.140114302485794E-3</v>
      </c>
      <c r="H175" s="253">
        <f t="shared" si="57"/>
        <v>-3.8478307834318611E-2</v>
      </c>
      <c r="I175" s="254">
        <v>325541.03000000003</v>
      </c>
      <c r="J175" s="255">
        <v>400000</v>
      </c>
      <c r="K175" s="255">
        <f t="shared" si="48"/>
        <v>-5930.679999999993</v>
      </c>
      <c r="L175" s="175">
        <f t="shared" si="42"/>
        <v>-1.7891964294630129E-2</v>
      </c>
      <c r="M175" s="256">
        <f t="shared" si="51"/>
        <v>-74458.969999999972</v>
      </c>
      <c r="N175" s="257">
        <f t="shared" si="52"/>
        <v>-0.18614742499999992</v>
      </c>
      <c r="O175" s="256" t="b">
        <f t="shared" si="50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49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</row>
    <row r="176" spans="2:22" ht="20.100000000000001" customHeight="1" x14ac:dyDescent="0.25">
      <c r="B176" s="249">
        <v>42486</v>
      </c>
      <c r="C176" s="341">
        <v>2091.6999999999998</v>
      </c>
      <c r="D176" s="175">
        <f t="shared" si="54"/>
        <v>1.8727937196748019E-3</v>
      </c>
      <c r="E176" s="251">
        <f t="shared" si="55"/>
        <v>-5.1083502977493939E-3</v>
      </c>
      <c r="F176" s="252">
        <v>4888.28</v>
      </c>
      <c r="G176" s="175">
        <f t="shared" si="56"/>
        <v>-1.5319315818929772E-3</v>
      </c>
      <c r="H176" s="253">
        <f t="shared" si="57"/>
        <v>-3.9951293281222398E-2</v>
      </c>
      <c r="I176" s="254">
        <v>336797.26</v>
      </c>
      <c r="J176" s="255">
        <v>400000</v>
      </c>
      <c r="K176" s="255">
        <f t="shared" si="48"/>
        <v>11256.229999999981</v>
      </c>
      <c r="L176" s="175">
        <f t="shared" si="42"/>
        <v>3.4576993259497826E-2</v>
      </c>
      <c r="M176" s="256">
        <f t="shared" si="51"/>
        <v>-63202.739999999991</v>
      </c>
      <c r="N176" s="257">
        <f t="shared" si="52"/>
        <v>-0.15800684999999998</v>
      </c>
      <c r="O176" s="256" t="b">
        <f t="shared" si="50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49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</row>
    <row r="177" spans="2:22" ht="20.100000000000001" customHeight="1" x14ac:dyDescent="0.25">
      <c r="B177" s="249">
        <v>42487</v>
      </c>
      <c r="C177" s="341">
        <v>2095.15</v>
      </c>
      <c r="D177" s="175">
        <f t="shared" si="54"/>
        <v>1.6493761055602013E-3</v>
      </c>
      <c r="E177" s="251">
        <f t="shared" si="55"/>
        <v>-3.4673997831091321E-3</v>
      </c>
      <c r="F177" s="252">
        <v>4863.1400000000003</v>
      </c>
      <c r="G177" s="175">
        <f t="shared" si="56"/>
        <v>-5.1429132537414834E-3</v>
      </c>
      <c r="H177" s="253">
        <f t="shared" si="57"/>
        <v>-4.4888740499243768E-2</v>
      </c>
      <c r="I177" s="254">
        <v>341540.33</v>
      </c>
      <c r="J177" s="255">
        <v>400000</v>
      </c>
      <c r="K177" s="255">
        <f t="shared" si="48"/>
        <v>4743.070000000007</v>
      </c>
      <c r="L177" s="175">
        <f t="shared" si="42"/>
        <v>1.4082863975793648E-2</v>
      </c>
      <c r="M177" s="256">
        <f t="shared" si="51"/>
        <v>-58459.669999999984</v>
      </c>
      <c r="N177" s="257">
        <f t="shared" si="52"/>
        <v>-0.14614917499999996</v>
      </c>
      <c r="O177" s="256" t="b">
        <f t="shared" si="50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49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</row>
    <row r="178" spans="2:22" ht="20.100000000000001" customHeight="1" x14ac:dyDescent="0.25">
      <c r="B178" s="249">
        <v>42488</v>
      </c>
      <c r="C178" s="341">
        <v>2075.81</v>
      </c>
      <c r="D178" s="175">
        <f t="shared" si="54"/>
        <v>-9.2308426604301094E-3</v>
      </c>
      <c r="E178" s="251">
        <f t="shared" si="55"/>
        <v>-1.2666235421700553E-2</v>
      </c>
      <c r="F178" s="252">
        <v>4805.29</v>
      </c>
      <c r="G178" s="175">
        <f t="shared" si="56"/>
        <v>-1.1895606542275229E-2</v>
      </c>
      <c r="H178" s="253">
        <f t="shared" si="57"/>
        <v>-5.6250368246361697E-2</v>
      </c>
      <c r="I178" s="254">
        <v>336936.02</v>
      </c>
      <c r="J178" s="255">
        <v>400000</v>
      </c>
      <c r="K178" s="255">
        <f t="shared" si="48"/>
        <v>-4604.3099999999977</v>
      </c>
      <c r="L178" s="175">
        <f t="shared" si="42"/>
        <v>-1.3481014086974729E-2</v>
      </c>
      <c r="M178" s="256">
        <f t="shared" si="51"/>
        <v>-63063.979999999981</v>
      </c>
      <c r="N178" s="257">
        <f t="shared" si="52"/>
        <v>-0.15765994999999997</v>
      </c>
      <c r="O178" s="256" t="b">
        <f t="shared" si="50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49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</row>
    <row r="179" spans="2:22" ht="20.100000000000001" customHeight="1" x14ac:dyDescent="0.25">
      <c r="B179" s="249">
        <v>42489</v>
      </c>
      <c r="C179" s="341">
        <v>2065.3000000000002</v>
      </c>
      <c r="D179" s="175">
        <f t="shared" si="54"/>
        <v>-5.0630838082482326E-3</v>
      </c>
      <c r="E179" s="251">
        <f t="shared" si="55"/>
        <v>-1.7665189018473713E-2</v>
      </c>
      <c r="F179" s="252">
        <v>4775.3599999999997</v>
      </c>
      <c r="G179" s="175">
        <f t="shared" si="56"/>
        <v>-6.2285522830048323E-3</v>
      </c>
      <c r="H179" s="253">
        <f t="shared" si="57"/>
        <v>-6.2128562169805793E-2</v>
      </c>
      <c r="I179" s="512">
        <v>329545.53999999998</v>
      </c>
      <c r="J179" s="255">
        <v>400000</v>
      </c>
      <c r="K179" s="255">
        <f t="shared" si="48"/>
        <v>-7390.4800000000396</v>
      </c>
      <c r="L179" s="175">
        <f t="shared" si="42"/>
        <v>-2.1934371991454163E-2</v>
      </c>
      <c r="M179" s="256">
        <f t="shared" si="51"/>
        <v>-70454.460000000021</v>
      </c>
      <c r="N179" s="257">
        <f t="shared" si="52"/>
        <v>-0.17613615000000005</v>
      </c>
      <c r="O179" s="256" t="b">
        <f t="shared" si="50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49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</row>
    <row r="180" spans="2:22" ht="20.100000000000001" customHeight="1" x14ac:dyDescent="0.25">
      <c r="B180" s="176">
        <v>42492</v>
      </c>
      <c r="C180" s="220">
        <v>2081.4299999999998</v>
      </c>
      <c r="D180" s="175">
        <f t="shared" si="54"/>
        <v>7.8100033893379424E-3</v>
      </c>
      <c r="E180" s="214">
        <f t="shared" si="55"/>
        <v>-9.9931508152433443E-3</v>
      </c>
      <c r="F180" s="224">
        <v>4817.59</v>
      </c>
      <c r="G180" s="175">
        <f t="shared" si="56"/>
        <v>8.8433123366616281E-3</v>
      </c>
      <c r="H180" s="208">
        <f t="shared" si="57"/>
        <v>-5.3834672113439459E-2</v>
      </c>
      <c r="I180" s="226">
        <v>323730.93</v>
      </c>
      <c r="J180" s="177">
        <v>400000</v>
      </c>
      <c r="K180" s="177">
        <f t="shared" si="48"/>
        <v>-5814.609999999986</v>
      </c>
      <c r="L180" s="175">
        <f t="shared" si="42"/>
        <v>-1.7644329217746314E-2</v>
      </c>
      <c r="M180" s="187">
        <f t="shared" si="51"/>
        <v>-76269.070000000007</v>
      </c>
      <c r="N180" s="189">
        <f t="shared" si="52"/>
        <v>-0.19067267500000001</v>
      </c>
      <c r="O180" s="187" t="b">
        <f t="shared" si="50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49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</row>
    <row r="181" spans="2:22" ht="20.100000000000001" customHeight="1" x14ac:dyDescent="0.25">
      <c r="B181" s="176">
        <v>42493</v>
      </c>
      <c r="C181" s="220">
        <v>2063.37</v>
      </c>
      <c r="D181" s="175">
        <f t="shared" si="54"/>
        <v>-8.6767270578400179E-3</v>
      </c>
      <c r="E181" s="214">
        <f t="shared" si="55"/>
        <v>-1.8583170031011665E-2</v>
      </c>
      <c r="F181" s="224">
        <v>4763.22</v>
      </c>
      <c r="G181" s="175">
        <f t="shared" si="56"/>
        <v>-1.1285725850477083E-2</v>
      </c>
      <c r="H181" s="208">
        <f t="shared" si="57"/>
        <v>-6.4512834613193945E-2</v>
      </c>
      <c r="I181" s="226">
        <v>314233.52</v>
      </c>
      <c r="J181" s="177">
        <v>400000</v>
      </c>
      <c r="K181" s="177">
        <f t="shared" si="48"/>
        <v>-9497.4099999999744</v>
      </c>
      <c r="L181" s="175">
        <f t="shared" si="42"/>
        <v>-2.9337357415925549E-2</v>
      </c>
      <c r="M181" s="187">
        <f t="shared" si="51"/>
        <v>-85766.479999999981</v>
      </c>
      <c r="N181" s="189">
        <f t="shared" si="52"/>
        <v>-0.21441619999999995</v>
      </c>
      <c r="O181" s="187" t="b">
        <f t="shared" si="50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49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</row>
    <row r="182" spans="2:22" ht="20.100000000000001" customHeight="1" x14ac:dyDescent="0.25">
      <c r="B182" s="176">
        <v>42494</v>
      </c>
      <c r="C182" s="220">
        <v>2051.12</v>
      </c>
      <c r="D182" s="175">
        <f t="shared" si="54"/>
        <v>-5.9368896513955329E-3</v>
      </c>
      <c r="E182" s="214">
        <f t="shared" si="55"/>
        <v>-2.4409733452559961E-2</v>
      </c>
      <c r="F182" s="224">
        <v>4725.6400000000003</v>
      </c>
      <c r="G182" s="175">
        <f t="shared" si="56"/>
        <v>-7.8896208867110743E-3</v>
      </c>
      <c r="H182" s="208">
        <f t="shared" si="57"/>
        <v>-7.1893473692479823E-2</v>
      </c>
      <c r="I182" s="226">
        <v>304379.90999999997</v>
      </c>
      <c r="J182" s="177">
        <v>400000</v>
      </c>
      <c r="K182" s="177">
        <f t="shared" si="48"/>
        <v>-9853.6100000000442</v>
      </c>
      <c r="L182" s="175">
        <f t="shared" si="42"/>
        <v>-3.135760309721268E-2</v>
      </c>
      <c r="M182" s="187">
        <f t="shared" si="51"/>
        <v>-95620.090000000026</v>
      </c>
      <c r="N182" s="189">
        <f t="shared" si="52"/>
        <v>-0.23905022500000006</v>
      </c>
      <c r="O182" s="187" t="b">
        <f t="shared" si="50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49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</row>
    <row r="183" spans="2:22" ht="20.100000000000001" customHeight="1" x14ac:dyDescent="0.25">
      <c r="B183" s="176">
        <v>42495</v>
      </c>
      <c r="C183" s="220">
        <v>2050.63</v>
      </c>
      <c r="D183" s="175">
        <f t="shared" si="54"/>
        <v>-2.3889387261583024E-4</v>
      </c>
      <c r="E183" s="214">
        <f t="shared" si="55"/>
        <v>-2.464279598942179E-2</v>
      </c>
      <c r="F183" s="224">
        <v>4717.09</v>
      </c>
      <c r="G183" s="175">
        <f t="shared" si="56"/>
        <v>-1.8092787431967271E-3</v>
      </c>
      <c r="H183" s="208">
        <f t="shared" si="57"/>
        <v>-7.3572677101950174E-2</v>
      </c>
      <c r="I183" s="226">
        <v>304854.58</v>
      </c>
      <c r="J183" s="177">
        <v>400000</v>
      </c>
      <c r="K183" s="177">
        <f t="shared" si="48"/>
        <v>474.67000000004191</v>
      </c>
      <c r="L183" s="175">
        <f t="shared" si="42"/>
        <v>1.5594656033640392E-3</v>
      </c>
      <c r="M183" s="187">
        <f t="shared" si="51"/>
        <v>-95145.419999999984</v>
      </c>
      <c r="N183" s="189">
        <f t="shared" si="52"/>
        <v>-0.23786354999999995</v>
      </c>
      <c r="O183" s="187" t="b">
        <f t="shared" si="50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49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</row>
    <row r="184" spans="2:22" ht="20.100000000000001" customHeight="1" x14ac:dyDescent="0.25">
      <c r="B184" s="176">
        <v>42496</v>
      </c>
      <c r="C184" s="220">
        <v>2057.14</v>
      </c>
      <c r="D184" s="175">
        <f t="shared" si="54"/>
        <v>3.1746341368261281E-3</v>
      </c>
      <c r="E184" s="214">
        <f t="shared" si="55"/>
        <v>-2.1546393713970519E-2</v>
      </c>
      <c r="F184" s="224">
        <v>4736.1499999999996</v>
      </c>
      <c r="G184" s="175">
        <f t="shared" si="56"/>
        <v>4.0406267423346784E-3</v>
      </c>
      <c r="H184" s="208">
        <f t="shared" si="57"/>
        <v>-6.9829330086218791E-2</v>
      </c>
      <c r="I184" s="226">
        <v>304553.01</v>
      </c>
      <c r="J184" s="177">
        <v>400000</v>
      </c>
      <c r="K184" s="177">
        <f t="shared" ref="K184:K191" si="58">I184-I183-J184+J183</f>
        <v>-301.57000000000698</v>
      </c>
      <c r="L184" s="175">
        <f t="shared" si="42"/>
        <v>-9.8922574822397935E-4</v>
      </c>
      <c r="M184" s="187">
        <f t="shared" si="51"/>
        <v>-95446.989999999991</v>
      </c>
      <c r="N184" s="189">
        <f t="shared" si="52"/>
        <v>-0.23861747499999997</v>
      </c>
      <c r="O184" s="187" t="b">
        <f t="shared" si="50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49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</row>
    <row r="185" spans="2:22" ht="20.100000000000001" customHeight="1" x14ac:dyDescent="0.25">
      <c r="B185" s="249">
        <v>42499</v>
      </c>
      <c r="C185" s="250">
        <v>2058.69</v>
      </c>
      <c r="D185" s="175">
        <f t="shared" si="54"/>
        <v>7.5347326871296166E-4</v>
      </c>
      <c r="E185" s="251">
        <f t="shared" si="55"/>
        <v>-2.08091550769582E-2</v>
      </c>
      <c r="F185" s="252">
        <v>4750.2</v>
      </c>
      <c r="G185" s="175">
        <f t="shared" si="56"/>
        <v>2.9665445562324214E-3</v>
      </c>
      <c r="H185" s="253">
        <f t="shared" si="57"/>
        <v>-6.706993734901899E-2</v>
      </c>
      <c r="I185" s="254">
        <v>298140.64</v>
      </c>
      <c r="J185" s="255">
        <v>400000</v>
      </c>
      <c r="K185" s="255">
        <f t="shared" si="58"/>
        <v>-6412.3699999999953</v>
      </c>
      <c r="L185" s="175">
        <f t="shared" si="42"/>
        <v>-2.1055020930510572E-2</v>
      </c>
      <c r="M185" s="256">
        <f t="shared" si="51"/>
        <v>-101859.35999999999</v>
      </c>
      <c r="N185" s="257">
        <f t="shared" si="52"/>
        <v>-0.25464839999999994</v>
      </c>
      <c r="O185" s="256" t="b">
        <f t="shared" si="50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49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</row>
    <row r="186" spans="2:22" ht="20.100000000000001" customHeight="1" x14ac:dyDescent="0.25">
      <c r="B186" s="249">
        <v>42500</v>
      </c>
      <c r="C186" s="250">
        <v>2084.39</v>
      </c>
      <c r="D186" s="175">
        <f t="shared" si="54"/>
        <v>1.2483666797817941E-2</v>
      </c>
      <c r="E186" s="251">
        <f t="shared" si="55"/>
        <v>-8.5852628374651265E-3</v>
      </c>
      <c r="F186" s="252">
        <v>4809.88</v>
      </c>
      <c r="G186" s="175">
        <f t="shared" si="56"/>
        <v>1.2563681529198832E-2</v>
      </c>
      <c r="H186" s="253">
        <f t="shared" si="57"/>
        <v>-5.5348901152856553E-2</v>
      </c>
      <c r="I186" s="254">
        <v>304800.26</v>
      </c>
      <c r="J186" s="255">
        <v>400000</v>
      </c>
      <c r="K186" s="255">
        <f t="shared" si="58"/>
        <v>6659.6199999999953</v>
      </c>
      <c r="L186" s="175">
        <f t="shared" si="42"/>
        <v>2.2337176172963186E-2</v>
      </c>
      <c r="M186" s="256">
        <f t="shared" si="51"/>
        <v>-95199.739999999991</v>
      </c>
      <c r="N186" s="257">
        <f t="shared" si="52"/>
        <v>-0.23799934999999997</v>
      </c>
      <c r="O186" s="256" t="b">
        <f t="shared" si="50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49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</row>
    <row r="187" spans="2:22" ht="20.100000000000001" customHeight="1" x14ac:dyDescent="0.25">
      <c r="B187" s="249">
        <v>42501</v>
      </c>
      <c r="C187" s="250">
        <v>2064.46</v>
      </c>
      <c r="D187" s="175">
        <f t="shared" si="54"/>
        <v>-9.5615503816463502E-3</v>
      </c>
      <c r="E187" s="251">
        <f t="shared" si="55"/>
        <v>-1.8064724795951378E-2</v>
      </c>
      <c r="F187" s="252">
        <v>4760.68</v>
      </c>
      <c r="G187" s="175">
        <f t="shared" si="56"/>
        <v>-1.0228945420675737E-2</v>
      </c>
      <c r="H187" s="253">
        <f t="shared" si="57"/>
        <v>-6.5011685684545351E-2</v>
      </c>
      <c r="I187" s="254">
        <v>308835.23</v>
      </c>
      <c r="J187" s="255">
        <v>400000</v>
      </c>
      <c r="K187" s="255">
        <f t="shared" si="58"/>
        <v>4034.9699999999721</v>
      </c>
      <c r="L187" s="175">
        <f t="shared" si="42"/>
        <v>1.3238079258856183E-2</v>
      </c>
      <c r="M187" s="256">
        <f t="shared" si="51"/>
        <v>-91164.770000000019</v>
      </c>
      <c r="N187" s="257">
        <f t="shared" si="52"/>
        <v>-0.22791192500000004</v>
      </c>
      <c r="O187" s="256" t="b">
        <f t="shared" si="50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49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</row>
    <row r="188" spans="2:22" ht="20.100000000000001" customHeight="1" x14ac:dyDescent="0.25">
      <c r="B188" s="249">
        <v>42502</v>
      </c>
      <c r="C188" s="250">
        <v>2064.11</v>
      </c>
      <c r="D188" s="175">
        <f t="shared" si="54"/>
        <v>-1.6953585925612947E-4</v>
      </c>
      <c r="E188" s="251">
        <f t="shared" si="55"/>
        <v>-1.8231198036567E-2</v>
      </c>
      <c r="F188" s="252">
        <v>4737.33</v>
      </c>
      <c r="G188" s="175">
        <f t="shared" si="56"/>
        <v>-4.9047615046590746E-3</v>
      </c>
      <c r="H188" s="253">
        <f t="shared" si="57"/>
        <v>-6.9597580375905868E-2</v>
      </c>
      <c r="I188" s="254">
        <v>304301.34000000003</v>
      </c>
      <c r="J188" s="255">
        <v>400000</v>
      </c>
      <c r="K188" s="255">
        <f t="shared" si="58"/>
        <v>-4533.8899999999558</v>
      </c>
      <c r="L188" s="175">
        <f t="shared" si="42"/>
        <v>-1.4680611405635154E-2</v>
      </c>
      <c r="M188" s="256">
        <f t="shared" si="51"/>
        <v>-95698.659999999974</v>
      </c>
      <c r="N188" s="257">
        <f t="shared" si="52"/>
        <v>-0.23924664999999995</v>
      </c>
      <c r="O188" s="256" t="b">
        <f t="shared" si="50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49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</row>
    <row r="189" spans="2:22" ht="20.100000000000001" customHeight="1" x14ac:dyDescent="0.25">
      <c r="B189" s="249">
        <v>42503</v>
      </c>
      <c r="C189" s="250">
        <v>2046.61</v>
      </c>
      <c r="D189" s="175">
        <f t="shared" si="54"/>
        <v>-8.4782303268722235E-3</v>
      </c>
      <c r="E189" s="251">
        <f t="shared" si="55"/>
        <v>-2.6554860067350389E-2</v>
      </c>
      <c r="F189" s="252">
        <v>4717.68</v>
      </c>
      <c r="G189" s="175">
        <f t="shared" si="56"/>
        <v>-4.1479060990050592E-3</v>
      </c>
      <c r="H189" s="253">
        <f t="shared" si="57"/>
        <v>-7.3456802246793712E-2</v>
      </c>
      <c r="I189" s="254">
        <v>303736.26</v>
      </c>
      <c r="J189" s="255">
        <v>400000</v>
      </c>
      <c r="K189" s="255">
        <f t="shared" si="58"/>
        <v>-565.0800000000163</v>
      </c>
      <c r="L189" s="175">
        <f t="shared" si="42"/>
        <v>-1.8569750629425959E-3</v>
      </c>
      <c r="M189" s="256">
        <f t="shared" si="51"/>
        <v>-96263.739999999991</v>
      </c>
      <c r="N189" s="257">
        <f t="shared" si="52"/>
        <v>-0.24065934999999997</v>
      </c>
      <c r="O189" s="256" t="b">
        <f t="shared" si="50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49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</row>
    <row r="190" spans="2:22" ht="20.100000000000001" customHeight="1" x14ac:dyDescent="0.25">
      <c r="B190" s="176">
        <v>42506</v>
      </c>
      <c r="C190" s="220">
        <v>2066.66</v>
      </c>
      <c r="D190" s="175">
        <f t="shared" si="54"/>
        <v>9.7966881819203239E-3</v>
      </c>
      <c r="E190" s="214">
        <f t="shared" si="55"/>
        <v>-1.7018321569224424E-2</v>
      </c>
      <c r="F190" s="224">
        <v>4775.45</v>
      </c>
      <c r="G190" s="175">
        <f t="shared" si="56"/>
        <v>1.224542571772556E-2</v>
      </c>
      <c r="H190" s="208">
        <f t="shared" si="57"/>
        <v>-6.2110886344442916E-2</v>
      </c>
      <c r="I190" s="226">
        <v>310136.52</v>
      </c>
      <c r="J190" s="177">
        <v>400000</v>
      </c>
      <c r="K190" s="177">
        <f t="shared" si="58"/>
        <v>6400.2600000000093</v>
      </c>
      <c r="L190" s="175">
        <f t="shared" si="42"/>
        <v>2.1071767987134657E-2</v>
      </c>
      <c r="M190" s="187">
        <f t="shared" si="51"/>
        <v>-89863.479999999981</v>
      </c>
      <c r="N190" s="189">
        <f t="shared" ref="N190:N191" si="59">M190/J190</f>
        <v>-0.22465869999999996</v>
      </c>
      <c r="O190" s="187" t="b">
        <f t="shared" si="50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49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</row>
    <row r="191" spans="2:22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5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57"/>
        <v>-7.3839778462988837E-2</v>
      </c>
      <c r="I191" s="226">
        <v>311039.01</v>
      </c>
      <c r="J191" s="177">
        <v>400000</v>
      </c>
      <c r="K191" s="177">
        <f t="shared" si="58"/>
        <v>902.48999999999069</v>
      </c>
      <c r="L191" s="175">
        <f t="shared" si="42"/>
        <v>2.9099765483922711E-3</v>
      </c>
      <c r="M191" s="187">
        <f t="shared" si="51"/>
        <v>-88960.989999999991</v>
      </c>
      <c r="N191" s="189">
        <f t="shared" si="59"/>
        <v>-0.22240247499999999</v>
      </c>
      <c r="O191" s="187" t="b">
        <f t="shared" si="50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49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</row>
    <row r="192" spans="2:22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0">(C192-$C$2)/$C$2</f>
        <v>-2.6069709480413209E-2</v>
      </c>
      <c r="F192" s="224">
        <v>4739.1099999999997</v>
      </c>
      <c r="G192" s="175">
        <f t="shared" ref="G192:G255" si="61">(F192-F191)/F191</f>
        <v>4.9578750267721249E-3</v>
      </c>
      <c r="H192" s="208">
        <f t="shared" ref="H192" si="62">(F192-F$2)/F$2</f>
        <v>-6.9247991829840747E-2</v>
      </c>
      <c r="I192" s="226">
        <v>310817.56</v>
      </c>
      <c r="J192" s="177">
        <v>400000</v>
      </c>
      <c r="K192" s="177">
        <f t="shared" ref="K192" si="63">I192-I191-J192+J191</f>
        <v>-221.45000000001164</v>
      </c>
      <c r="L192" s="175">
        <f t="shared" si="42"/>
        <v>-7.1196857268807415E-4</v>
      </c>
      <c r="M192" s="187">
        <f t="shared" ref="M192" si="64">I192-J192</f>
        <v>-89182.44</v>
      </c>
      <c r="N192" s="189">
        <f t="shared" ref="N192" si="65">M192/J192</f>
        <v>-0.22295610000000002</v>
      </c>
      <c r="O192" s="187" t="b">
        <f t="shared" ref="O192" si="66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67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</row>
    <row r="193" spans="2:22" ht="20.100000000000001" customHeight="1" x14ac:dyDescent="0.25">
      <c r="B193" s="176">
        <v>42509</v>
      </c>
      <c r="C193" s="220">
        <v>2040.04</v>
      </c>
      <c r="D193" s="175">
        <f t="shared" ref="D193:D256" si="68">(C193-C192)/C192</f>
        <v>-3.7067243593814046E-3</v>
      </c>
      <c r="E193" s="214">
        <f t="shared" ref="E193" si="69">(C193-$C$2)/$C$2</f>
        <v>-2.9679800612621567E-2</v>
      </c>
      <c r="F193" s="224">
        <v>4712.53</v>
      </c>
      <c r="G193" s="175">
        <f t="shared" si="61"/>
        <v>-5.6086480372896869E-3</v>
      </c>
      <c r="H193" s="208">
        <f t="shared" ref="H193" si="70">(F193-F$2)/F$2</f>
        <v>-7.4468252253667752E-2</v>
      </c>
      <c r="I193" s="226">
        <v>311569.3</v>
      </c>
      <c r="J193" s="177">
        <v>400000</v>
      </c>
      <c r="K193" s="177">
        <f t="shared" ref="K193" si="71">I193-I192-J193+J192</f>
        <v>751.73999999999069</v>
      </c>
      <c r="L193" s="175">
        <f t="shared" si="42"/>
        <v>2.4185892199912731E-3</v>
      </c>
      <c r="M193" s="187">
        <f t="shared" ref="M193" si="72">I193-J193</f>
        <v>-88430.700000000012</v>
      </c>
      <c r="N193" s="189">
        <f t="shared" ref="N193" si="73">M193/J193</f>
        <v>-0.22107675000000002</v>
      </c>
      <c r="O193" s="187" t="b">
        <f t="shared" ref="O193" si="74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5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</row>
    <row r="194" spans="2:22" ht="20.100000000000001" customHeight="1" x14ac:dyDescent="0.25">
      <c r="B194" s="176">
        <v>42510</v>
      </c>
      <c r="C194" s="220">
        <v>2052.3200000000002</v>
      </c>
      <c r="D194" s="175">
        <f t="shared" si="68"/>
        <v>6.0194898139253154E-3</v>
      </c>
      <c r="E194" s="214">
        <f t="shared" ref="E194:E195" si="76">(C194-$C$2)/$C$2</f>
        <v>-2.3838968056163264E-2</v>
      </c>
      <c r="F194" s="224">
        <v>4769.55</v>
      </c>
      <c r="G194" s="175">
        <f t="shared" si="61"/>
        <v>1.209965772101195E-2</v>
      </c>
      <c r="H194" s="208">
        <f t="shared" ref="H194:H195" si="77">(F194-F$2)/F$2</f>
        <v>-6.3269634896007163E-2</v>
      </c>
      <c r="I194" s="226">
        <v>320418.83</v>
      </c>
      <c r="J194" s="177">
        <v>400000</v>
      </c>
      <c r="K194" s="177">
        <f t="shared" ref="K194:K195" si="78">I194-I193-J194+J193</f>
        <v>8849.5300000000279</v>
      </c>
      <c r="L194" s="175">
        <f t="shared" si="42"/>
        <v>2.8403087210453752E-2</v>
      </c>
      <c r="M194" s="187">
        <f t="shared" ref="M194:M195" si="79">I194-J194</f>
        <v>-79581.169999999984</v>
      </c>
      <c r="N194" s="189">
        <f t="shared" ref="N194:N195" si="80">M194/J194</f>
        <v>-0.19895292499999995</v>
      </c>
      <c r="O194" s="187" t="b">
        <f t="shared" ref="O194:O195" si="81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2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</row>
    <row r="195" spans="2:22" ht="20.100000000000001" customHeight="1" x14ac:dyDescent="0.25">
      <c r="B195" s="249">
        <v>42513</v>
      </c>
      <c r="C195" s="250">
        <v>2048.04</v>
      </c>
      <c r="D195" s="175">
        <f t="shared" si="68"/>
        <v>-2.085444764949033E-3</v>
      </c>
      <c r="E195" s="251">
        <f t="shared" si="76"/>
        <v>-2.5874697969977784E-2</v>
      </c>
      <c r="F195" s="252">
        <v>4765.78</v>
      </c>
      <c r="G195" s="175">
        <f t="shared" si="61"/>
        <v>-7.9043096308885254E-4</v>
      </c>
      <c r="H195" s="253">
        <f t="shared" si="77"/>
        <v>-6.4010055580650885E-2</v>
      </c>
      <c r="I195" s="254">
        <v>322945.12</v>
      </c>
      <c r="J195" s="255">
        <v>400000</v>
      </c>
      <c r="K195" s="255">
        <f t="shared" si="78"/>
        <v>2526.289999999979</v>
      </c>
      <c r="L195" s="175">
        <f t="shared" si="42"/>
        <v>7.8843368849451784E-3</v>
      </c>
      <c r="M195" s="256">
        <f t="shared" si="79"/>
        <v>-77054.880000000005</v>
      </c>
      <c r="N195" s="257">
        <f t="shared" si="80"/>
        <v>-0.19263720000000001</v>
      </c>
      <c r="O195" s="256" t="b">
        <f t="shared" si="81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2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</row>
    <row r="196" spans="2:22" ht="20.100000000000001" customHeight="1" x14ac:dyDescent="0.25">
      <c r="B196" s="249">
        <v>42514</v>
      </c>
      <c r="C196" s="250">
        <v>2076.06</v>
      </c>
      <c r="D196" s="175">
        <f t="shared" si="68"/>
        <v>1.3681373410675565E-2</v>
      </c>
      <c r="E196" s="251">
        <f t="shared" ref="E196" si="83">(C196-$C$2)/$C$2</f>
        <v>-1.2547325964117933E-2</v>
      </c>
      <c r="F196" s="252">
        <v>4861.05</v>
      </c>
      <c r="G196" s="175">
        <f t="shared" si="61"/>
        <v>1.9990431786612146E-2</v>
      </c>
      <c r="H196" s="253">
        <f t="shared" ref="H196" si="84">(F196-F$2)/F$2</f>
        <v>-4.5299212443780983E-2</v>
      </c>
      <c r="I196" s="254">
        <v>324441.06</v>
      </c>
      <c r="J196" s="255">
        <v>400000</v>
      </c>
      <c r="K196" s="255">
        <f t="shared" ref="K196" si="85">I196-I195-J196+J195</f>
        <v>1495.9400000000023</v>
      </c>
      <c r="L196" s="175">
        <f t="shared" ref="L196:L219" si="86">K196/I195</f>
        <v>4.6321802292600125E-3</v>
      </c>
      <c r="M196" s="256">
        <f t="shared" ref="M196" si="87">I196-J196</f>
        <v>-75558.94</v>
      </c>
      <c r="N196" s="257">
        <f t="shared" ref="N196" si="88">M196/J196</f>
        <v>-0.18889735000000002</v>
      </c>
      <c r="O196" s="256" t="b">
        <f t="shared" ref="O196" si="89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0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</row>
    <row r="197" spans="2:22" ht="20.100000000000001" customHeight="1" x14ac:dyDescent="0.25">
      <c r="B197" s="249">
        <v>42515</v>
      </c>
      <c r="C197" s="250">
        <v>2090.54</v>
      </c>
      <c r="D197" s="175">
        <f t="shared" si="68"/>
        <v>6.9747502480660573E-3</v>
      </c>
      <c r="E197" s="251">
        <f t="shared" ref="E197" si="91">(C197-$C$2)/$C$2</f>
        <v>-5.6600901809326738E-3</v>
      </c>
      <c r="F197" s="252">
        <v>4894.8900000000003</v>
      </c>
      <c r="G197" s="175">
        <f t="shared" si="61"/>
        <v>6.9614589440553263E-3</v>
      </c>
      <c r="H197" s="253">
        <f t="shared" ref="H197" si="92">(F197-F$2)/F$2</f>
        <v>-3.8653102107351081E-2</v>
      </c>
      <c r="I197" s="254">
        <v>329556.86</v>
      </c>
      <c r="J197" s="255">
        <v>400000</v>
      </c>
      <c r="K197" s="255">
        <f t="shared" ref="K197" si="93">I197-I196-J197+J196</f>
        <v>5115.7999999999884</v>
      </c>
      <c r="L197" s="175">
        <f t="shared" si="86"/>
        <v>1.5768041196758474E-2</v>
      </c>
      <c r="M197" s="256">
        <f t="shared" ref="M197" si="94">I197-J197</f>
        <v>-70443.140000000014</v>
      </c>
      <c r="N197" s="257">
        <f t="shared" ref="N197" si="95">M197/J197</f>
        <v>-0.17610785000000004</v>
      </c>
      <c r="O197" s="256" t="b">
        <f t="shared" ref="O197" si="96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97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</row>
    <row r="198" spans="2:22" ht="20.100000000000001" customHeight="1" x14ac:dyDescent="0.25">
      <c r="B198" s="249">
        <v>42516</v>
      </c>
      <c r="C198" s="250">
        <v>2090.1</v>
      </c>
      <c r="D198" s="175">
        <f t="shared" si="68"/>
        <v>-2.1047193548081098E-4</v>
      </c>
      <c r="E198" s="251">
        <f t="shared" ref="E198" si="98">(C198-$C$2)/$C$2</f>
        <v>-5.8693708262781081E-3</v>
      </c>
      <c r="F198" s="252">
        <v>4901.76</v>
      </c>
      <c r="G198" s="175">
        <f t="shared" si="61"/>
        <v>1.4035044709891111E-3</v>
      </c>
      <c r="H198" s="253">
        <f t="shared" ref="H198" si="99">(F198-F$2)/F$2</f>
        <v>-3.7303847437987238E-2</v>
      </c>
      <c r="I198" s="254">
        <v>327477.31</v>
      </c>
      <c r="J198" s="255">
        <v>400000</v>
      </c>
      <c r="K198" s="255">
        <f t="shared" ref="K198" si="100">I198-I197-J198+J197</f>
        <v>-2079.5499999999884</v>
      </c>
      <c r="L198" s="175">
        <f t="shared" si="86"/>
        <v>-6.3101402289122083E-3</v>
      </c>
      <c r="M198" s="256">
        <f t="shared" ref="M198" si="101">I198-J198</f>
        <v>-72522.69</v>
      </c>
      <c r="N198" s="257">
        <f t="shared" ref="N198" si="102">M198/J198</f>
        <v>-0.181306725</v>
      </c>
      <c r="O198" s="256" t="b">
        <f t="shared" ref="O198" si="103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4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</row>
    <row r="199" spans="2:22" ht="20.100000000000001" customHeight="1" x14ac:dyDescent="0.25">
      <c r="B199" s="249">
        <v>42517</v>
      </c>
      <c r="C199" s="250">
        <v>2099.06</v>
      </c>
      <c r="D199" s="175">
        <f t="shared" si="68"/>
        <v>4.2868762260179112E-3</v>
      </c>
      <c r="E199" s="251">
        <f t="shared" ref="E199:E200" si="105">(C199-$C$2)/$C$2</f>
        <v>-1.6076558665170512E-3</v>
      </c>
      <c r="F199" s="252">
        <v>4933.5</v>
      </c>
      <c r="G199" s="175">
        <f t="shared" si="61"/>
        <v>6.4752252252251808E-3</v>
      </c>
      <c r="H199" s="253">
        <f t="shared" ref="H199:H200" si="106">(F199-F$2)/F$2</f>
        <v>-3.1070173026690462E-2</v>
      </c>
      <c r="I199" s="254">
        <v>327126.28999999998</v>
      </c>
      <c r="J199" s="255">
        <v>400000</v>
      </c>
      <c r="K199" s="255">
        <f t="shared" ref="K199:K200" si="107">I199-I198-J199+J198</f>
        <v>-351.02000000001863</v>
      </c>
      <c r="L199" s="175">
        <f t="shared" si="86"/>
        <v>-1.0718910571239841E-3</v>
      </c>
      <c r="M199" s="256">
        <f t="shared" ref="M199:M200" si="108">I199-J199</f>
        <v>-72873.710000000021</v>
      </c>
      <c r="N199" s="257">
        <f t="shared" ref="N199:N200" si="109">M199/J199</f>
        <v>-0.18218427500000006</v>
      </c>
      <c r="O199" s="256" t="b">
        <f t="shared" ref="O199:O200" si="110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1">I199-Q199</f>
        <v>75022.939999999973</v>
      </c>
      <c r="S199" s="255">
        <v>-82653.611999999514</v>
      </c>
      <c r="T199" s="255">
        <f t="shared" ref="T199:T204" si="112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</row>
    <row r="200" spans="2:22" ht="20.100000000000001" customHeight="1" x14ac:dyDescent="0.25">
      <c r="B200" s="176">
        <v>42521</v>
      </c>
      <c r="C200" s="220">
        <v>2096.9499999999998</v>
      </c>
      <c r="D200" s="175">
        <f t="shared" si="68"/>
        <v>-1.0052118567359328E-3</v>
      </c>
      <c r="E200" s="214">
        <f t="shared" si="105"/>
        <v>-2.6112516885144102E-3</v>
      </c>
      <c r="F200" s="224">
        <v>4948.05</v>
      </c>
      <c r="G200" s="175">
        <f t="shared" si="61"/>
        <v>2.9492246883551601E-3</v>
      </c>
      <c r="H200" s="208">
        <f t="shared" si="106"/>
        <v>-2.8212581259697084E-2</v>
      </c>
      <c r="I200" s="513">
        <v>330773</v>
      </c>
      <c r="J200" s="177">
        <v>400000</v>
      </c>
      <c r="K200" s="177">
        <f t="shared" si="107"/>
        <v>3646.710000000021</v>
      </c>
      <c r="L200" s="175">
        <f t="shared" si="86"/>
        <v>1.1147713013221962E-2</v>
      </c>
      <c r="M200" s="187">
        <f t="shared" si="108"/>
        <v>-69227</v>
      </c>
      <c r="N200" s="189">
        <f t="shared" si="109"/>
        <v>-0.17306750000000001</v>
      </c>
      <c r="O200" s="187" t="b">
        <f t="shared" si="110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1"/>
        <v>76923.670000000013</v>
      </c>
      <c r="S200" s="177">
        <v>-78775</v>
      </c>
      <c r="T200" s="177">
        <f t="shared" si="112"/>
        <v>9548</v>
      </c>
      <c r="U200" s="189">
        <f>STDEV(D$2:D200)*SQRT(252)</f>
        <v>0.17916254338672621</v>
      </c>
      <c r="V200" s="189">
        <f>STDEV(L$2:L200)*SQRT(252)</f>
        <v>0.38079113185082497</v>
      </c>
    </row>
    <row r="201" spans="2:22" ht="20.100000000000001" customHeight="1" x14ac:dyDescent="0.25">
      <c r="B201" s="176">
        <v>42522</v>
      </c>
      <c r="C201" s="220">
        <v>2099.33</v>
      </c>
      <c r="D201" s="175">
        <f t="shared" si="68"/>
        <v>1.1349817592217789E-3</v>
      </c>
      <c r="E201" s="214">
        <f t="shared" ref="E201" si="113">(C201-$C$2)/$C$2</f>
        <v>-1.4792336523278321E-3</v>
      </c>
      <c r="F201" s="224">
        <v>4952.25</v>
      </c>
      <c r="G201" s="175">
        <f t="shared" si="61"/>
        <v>8.4881923181855839E-4</v>
      </c>
      <c r="H201" s="208">
        <f t="shared" ref="H201" si="114">(F201-F$2)/F$2</f>
        <v>-2.7387709409430999E-2</v>
      </c>
      <c r="I201" s="226">
        <v>334317.64</v>
      </c>
      <c r="J201" s="177">
        <v>400000</v>
      </c>
      <c r="K201" s="177">
        <f t="shared" ref="K201" si="115">I201-I200-J201+J200</f>
        <v>3544.640000000014</v>
      </c>
      <c r="L201" s="175">
        <f t="shared" si="86"/>
        <v>1.0716231373177417E-2</v>
      </c>
      <c r="M201" s="187">
        <f t="shared" ref="M201" si="116">I201-J201</f>
        <v>-65682.359999999986</v>
      </c>
      <c r="N201" s="189">
        <f t="shared" ref="N201" si="117">M201/J201</f>
        <v>-0.16420589999999996</v>
      </c>
      <c r="O201" s="187" t="b">
        <f t="shared" ref="O201" si="118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19">I201-Q201</f>
        <v>85683.450000000012</v>
      </c>
      <c r="S201" s="177">
        <v>-75736.72</v>
      </c>
      <c r="T201" s="177">
        <f t="shared" si="112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</row>
    <row r="202" spans="2:22" ht="20.100000000000001" customHeight="1" x14ac:dyDescent="0.25">
      <c r="B202" s="176">
        <v>42523</v>
      </c>
      <c r="C202" s="220">
        <v>2105.2600000000002</v>
      </c>
      <c r="D202" s="175">
        <f t="shared" si="68"/>
        <v>2.8247107410460915E-3</v>
      </c>
      <c r="E202" s="214">
        <f t="shared" ref="E202" si="120">(C202-$C$2)/$C$2</f>
        <v>1.3412986815320121E-3</v>
      </c>
      <c r="F202" s="224">
        <v>4971.3599999999997</v>
      </c>
      <c r="G202" s="175">
        <f t="shared" si="61"/>
        <v>3.8588520369528339E-3</v>
      </c>
      <c r="H202" s="208">
        <f t="shared" ref="H202" si="121">(F202-F$2)/F$2</f>
        <v>-2.3634542490720223E-2</v>
      </c>
      <c r="I202" s="226">
        <v>335688.99</v>
      </c>
      <c r="J202" s="177">
        <v>400000</v>
      </c>
      <c r="K202" s="177">
        <f t="shared" ref="K202" si="122">I202-I201-J202+J201</f>
        <v>1371.3499999999767</v>
      </c>
      <c r="L202" s="175">
        <f t="shared" si="86"/>
        <v>4.1019373072864974E-3</v>
      </c>
      <c r="M202" s="187">
        <f t="shared" ref="M202" si="123">I202-J202</f>
        <v>-64311.010000000009</v>
      </c>
      <c r="N202" s="189">
        <f t="shared" ref="N202" si="124">M202/J202</f>
        <v>-0.16077752500000003</v>
      </c>
      <c r="O202" s="187" t="b">
        <f t="shared" ref="O202" si="125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26">I202-Q202</f>
        <v>85683.449999999983</v>
      </c>
      <c r="S202" s="177">
        <v>-74052.52</v>
      </c>
      <c r="T202" s="177">
        <f t="shared" si="112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</row>
    <row r="203" spans="2:22" ht="20.100000000000001" customHeight="1" x14ac:dyDescent="0.25">
      <c r="B203" s="176">
        <v>42524</v>
      </c>
      <c r="C203" s="220">
        <v>2099.13</v>
      </c>
      <c r="D203" s="175">
        <f t="shared" si="68"/>
        <v>-2.911754367631603E-3</v>
      </c>
      <c r="E203" s="214">
        <f t="shared" ref="E203" si="127">(C203-$C$2)/$C$2</f>
        <v>-1.5743612183938402E-3</v>
      </c>
      <c r="F203" s="224">
        <v>4942.51</v>
      </c>
      <c r="G203" s="175">
        <f t="shared" si="61"/>
        <v>-5.8032409642430755E-3</v>
      </c>
      <c r="H203" s="208">
        <f t="shared" ref="H203" si="128">(F203-F$2)/F$2</f>
        <v>-2.9300626509810006E-2</v>
      </c>
      <c r="I203" s="226">
        <v>333931.11</v>
      </c>
      <c r="J203" s="177">
        <v>400000</v>
      </c>
      <c r="K203" s="177">
        <f t="shared" ref="K203" si="129">I203-I202-J203+J202</f>
        <v>-1757.8800000000047</v>
      </c>
      <c r="L203" s="175">
        <f t="shared" si="86"/>
        <v>-5.2366328725884179E-3</v>
      </c>
      <c r="M203" s="187">
        <f t="shared" ref="M203" si="130">I203-J203</f>
        <v>-66068.890000000014</v>
      </c>
      <c r="N203" s="189">
        <f t="shared" ref="N203" si="131">M203/J203</f>
        <v>-0.16517222500000003</v>
      </c>
      <c r="O203" s="187" t="b">
        <f t="shared" ref="O203" si="132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3">I203-Q203</f>
        <v>73642.349999999977</v>
      </c>
      <c r="S203" s="177">
        <v>-75134.75</v>
      </c>
      <c r="T203" s="177">
        <f t="shared" si="112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</row>
    <row r="204" spans="2:22" ht="20.100000000000001" customHeight="1" x14ac:dyDescent="0.25">
      <c r="B204" s="249">
        <v>42527</v>
      </c>
      <c r="C204" s="250">
        <v>2109.41</v>
      </c>
      <c r="D204" s="175">
        <f t="shared" si="68"/>
        <v>4.8972669629797792E-3</v>
      </c>
      <c r="E204" s="251">
        <f t="shared" ref="E204" si="134">(C204-$C$2)/$C$2</f>
        <v>3.3151956774033027E-3</v>
      </c>
      <c r="F204" s="252">
        <v>4968.71</v>
      </c>
      <c r="G204" s="175">
        <f t="shared" si="61"/>
        <v>5.300950326858179E-3</v>
      </c>
      <c r="H204" s="253">
        <f t="shared" ref="H204" si="135">(F204-F$2)/F$2</f>
        <v>-2.4154997348626153E-2</v>
      </c>
      <c r="I204" s="254">
        <v>340934.25</v>
      </c>
      <c r="J204" s="255">
        <v>400000</v>
      </c>
      <c r="K204" s="255">
        <f t="shared" ref="K204" si="136">I204-I203-J204+J203</f>
        <v>7003.140000000014</v>
      </c>
      <c r="L204" s="175">
        <f t="shared" si="86"/>
        <v>2.0971810622855757E-2</v>
      </c>
      <c r="M204" s="256">
        <f t="shared" ref="M204" si="137">I204-J204</f>
        <v>-59065.75</v>
      </c>
      <c r="N204" s="257">
        <f t="shared" ref="N204" si="138">M204/J204</f>
        <v>-0.14766437499999999</v>
      </c>
      <c r="O204" s="256" t="b">
        <f t="shared" ref="O204" si="139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0">I204-Q204</f>
        <v>114837.67000000001</v>
      </c>
      <c r="S204" s="255">
        <v>-68552.800000000003</v>
      </c>
      <c r="T204" s="255">
        <f t="shared" si="112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</row>
    <row r="205" spans="2:22" ht="20.100000000000001" customHeight="1" x14ac:dyDescent="0.25">
      <c r="B205" s="249">
        <v>42528</v>
      </c>
      <c r="C205" s="250">
        <v>2112.13</v>
      </c>
      <c r="D205" s="175">
        <f t="shared" si="68"/>
        <v>1.289460085995731E-3</v>
      </c>
      <c r="E205" s="251">
        <f t="shared" ref="E205" si="141">(C205-$C$2)/$C$2</f>
        <v>4.6089305759023109E-3</v>
      </c>
      <c r="F205" s="252">
        <v>4961.75</v>
      </c>
      <c r="G205" s="175">
        <f t="shared" si="61"/>
        <v>-1.4007659935878802E-3</v>
      </c>
      <c r="H205" s="253">
        <f t="shared" ref="H205" si="142">(F205-F$2)/F$2</f>
        <v>-2.5521927843352873E-2</v>
      </c>
      <c r="I205" s="254">
        <v>347691.97</v>
      </c>
      <c r="J205" s="255">
        <v>400000</v>
      </c>
      <c r="K205" s="255">
        <f t="shared" ref="K205" si="143">I205-I204-J205+J204</f>
        <v>6757.7199999999721</v>
      </c>
      <c r="L205" s="175">
        <f t="shared" si="86"/>
        <v>1.9821182530062532E-2</v>
      </c>
      <c r="M205" s="256">
        <f t="shared" ref="M205" si="144">I205-J205</f>
        <v>-52308.030000000028</v>
      </c>
      <c r="N205" s="257">
        <f t="shared" ref="N205" si="145">M205/J205</f>
        <v>-0.13077007500000007</v>
      </c>
      <c r="O205" s="256" t="b">
        <f t="shared" ref="O205" si="146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47">I205-Q205</f>
        <v>126350.50999999998</v>
      </c>
      <c r="S205" s="255">
        <v>-62220.480000000003</v>
      </c>
      <c r="T205" s="255">
        <f t="shared" ref="T205" si="148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</row>
    <row r="206" spans="2:22" ht="20.100000000000001" customHeight="1" x14ac:dyDescent="0.25">
      <c r="B206" s="249">
        <v>42529</v>
      </c>
      <c r="C206" s="250">
        <v>2119.12</v>
      </c>
      <c r="D206" s="175">
        <f t="shared" si="68"/>
        <v>3.3094553839014555E-3</v>
      </c>
      <c r="E206" s="251">
        <f t="shared" ref="E206" si="149">(C206-$C$2)/$C$2</f>
        <v>7.9336390099122144E-3</v>
      </c>
      <c r="F206" s="252">
        <v>4974.6400000000003</v>
      </c>
      <c r="G206" s="175">
        <f t="shared" si="61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86"/>
        <v>-6.5472032615535372E-3</v>
      </c>
      <c r="M206" s="256">
        <f t="shared" ref="M206" si="150">I206-J206</f>
        <v>-54584.44</v>
      </c>
      <c r="N206" s="257">
        <f t="shared" ref="N206" si="151">M206/J206</f>
        <v>-0.1364611</v>
      </c>
      <c r="O206" s="256" t="b">
        <f t="shared" ref="O206" si="152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3">I206-Q206</f>
        <v>120815.87</v>
      </c>
      <c r="S206" s="255">
        <v>-64591.5</v>
      </c>
      <c r="T206" s="255">
        <f t="shared" ref="T206" si="154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</row>
    <row r="207" spans="2:22" ht="20.100000000000001" customHeight="1" x14ac:dyDescent="0.25">
      <c r="B207" s="249">
        <v>42530</v>
      </c>
      <c r="C207" s="250">
        <v>2115.48</v>
      </c>
      <c r="D207" s="175">
        <f t="shared" si="68"/>
        <v>-1.7176941371889619E-3</v>
      </c>
      <c r="E207" s="251">
        <f t="shared" ref="E207" si="155">(C207-$C$2)/$C$2</f>
        <v>6.2023173075093528E-3</v>
      </c>
      <c r="F207" s="252">
        <v>4958.6099999999997</v>
      </c>
      <c r="G207" s="175">
        <f t="shared" si="61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86"/>
        <v>-6.0146392941881031E-3</v>
      </c>
      <c r="M207" s="256">
        <f t="shared" ref="M207" si="156">I207-J207</f>
        <v>-56661.989999999991</v>
      </c>
      <c r="N207" s="257">
        <f t="shared" ref="N207" si="157">M207/J207</f>
        <v>-0.14165497499999999</v>
      </c>
      <c r="O207" s="256" t="b">
        <f t="shared" ref="O207" si="158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59">I207-Q207</f>
        <v>118737.32</v>
      </c>
      <c r="S207" s="255">
        <v>-66856.5</v>
      </c>
      <c r="T207" s="255">
        <f t="shared" ref="T207" si="160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</row>
    <row r="208" spans="2:22" ht="20.100000000000001" customHeight="1" x14ac:dyDescent="0.25">
      <c r="B208" s="249">
        <v>42531</v>
      </c>
      <c r="C208" s="250">
        <v>2096.0700000000002</v>
      </c>
      <c r="D208" s="175">
        <f t="shared" si="68"/>
        <v>-9.1752226445061431E-3</v>
      </c>
      <c r="E208" s="251">
        <f t="shared" ref="E208:E209" si="161">(C208-$C$2)/$C$2</f>
        <v>-3.0298129792050619E-3</v>
      </c>
      <c r="F208" s="252">
        <v>4894.54</v>
      </c>
      <c r="G208" s="175">
        <f t="shared" si="61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86"/>
        <v>-3.0287791322609493E-2</v>
      </c>
      <c r="M208" s="256">
        <f t="shared" ref="M208:M209" si="162">I208-J208</f>
        <v>-67060.94</v>
      </c>
      <c r="N208" s="257">
        <f t="shared" ref="N208:N209" si="163">M208/J208</f>
        <v>-0.16765235000000001</v>
      </c>
      <c r="O208" s="256" t="b">
        <f t="shared" ref="O208:O209" si="164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5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</row>
    <row r="209" spans="2:22" ht="20.100000000000001" customHeight="1" x14ac:dyDescent="0.25">
      <c r="B209" s="176">
        <v>42534</v>
      </c>
      <c r="C209" s="220">
        <v>2079.06</v>
      </c>
      <c r="D209" s="175">
        <f t="shared" si="68"/>
        <v>-8.1151869928009161E-3</v>
      </c>
      <c r="E209" s="214">
        <f t="shared" si="161"/>
        <v>-1.1120412473126515E-2</v>
      </c>
      <c r="F209" s="224">
        <v>4848.4399999999996</v>
      </c>
      <c r="G209" s="175">
        <f t="shared" si="61"/>
        <v>-9.4186583417441398E-3</v>
      </c>
      <c r="H209" s="208">
        <f t="shared" ref="H209" si="166">(F209-F$2)/F$2</f>
        <v>-4.7775791975175327E-2</v>
      </c>
      <c r="I209" s="226">
        <v>329797.69</v>
      </c>
      <c r="J209" s="177">
        <v>400000</v>
      </c>
      <c r="K209" s="177">
        <f t="shared" ref="K209" si="167">I209-I208-J209+J208</f>
        <v>-3141.3699999999953</v>
      </c>
      <c r="L209" s="175">
        <f t="shared" si="86"/>
        <v>-9.4352702263290934E-3</v>
      </c>
      <c r="M209" s="187">
        <f t="shared" si="162"/>
        <v>-70202.31</v>
      </c>
      <c r="N209" s="189">
        <f t="shared" si="163"/>
        <v>-0.175505775</v>
      </c>
      <c r="O209" s="187" t="b">
        <f t="shared" si="164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5"/>
        <v>74268.760000000009</v>
      </c>
      <c r="S209" s="177">
        <v>-78829.440000000002</v>
      </c>
      <c r="T209" s="177">
        <f t="shared" ref="T209" si="168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</row>
    <row r="210" spans="2:22" ht="20.100000000000001" customHeight="1" x14ac:dyDescent="0.25">
      <c r="B210" s="176">
        <v>42535</v>
      </c>
      <c r="C210" s="220">
        <v>2075.3200000000002</v>
      </c>
      <c r="D210" s="175">
        <f t="shared" si="68"/>
        <v>-1.7988898829277566E-3</v>
      </c>
      <c r="E210" s="214">
        <f t="shared" ref="E210:E211" si="169">(C210-$C$2)/$C$2</f>
        <v>-1.2899297958562379E-2</v>
      </c>
      <c r="F210" s="224">
        <v>4843.55</v>
      </c>
      <c r="G210" s="175">
        <f t="shared" si="61"/>
        <v>-1.0085718292893008E-3</v>
      </c>
      <c r="H210" s="208">
        <f t="shared" ref="H210:H211" si="170">(F210-F$2)/F$2</f>
        <v>-4.8736178486556481E-2</v>
      </c>
      <c r="I210" s="226">
        <v>327192.19</v>
      </c>
      <c r="J210" s="177">
        <v>400000</v>
      </c>
      <c r="K210" s="177">
        <f t="shared" ref="K210" si="171">I210-I209-J210+J209</f>
        <v>-2605.5</v>
      </c>
      <c r="L210" s="175">
        <f t="shared" si="86"/>
        <v>-7.9002979068773949E-3</v>
      </c>
      <c r="M210" s="187">
        <f t="shared" ref="M210" si="172">I210-J210</f>
        <v>-72807.81</v>
      </c>
      <c r="N210" s="189">
        <f t="shared" ref="N210" si="173">M210/J210</f>
        <v>-0.18201952499999999</v>
      </c>
      <c r="O210" s="187" t="b">
        <f t="shared" ref="O210" si="174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5">I210-Q210</f>
        <v>54607</v>
      </c>
      <c r="S210" s="177">
        <v>-80356</v>
      </c>
      <c r="T210" s="177">
        <f t="shared" ref="T210" si="176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</row>
    <row r="211" spans="2:22" ht="20.100000000000001" customHeight="1" x14ac:dyDescent="0.25">
      <c r="B211" s="176">
        <v>42536</v>
      </c>
      <c r="C211" s="220">
        <v>2071.5</v>
      </c>
      <c r="D211" s="175">
        <f t="shared" si="68"/>
        <v>-1.8406799915194588E-3</v>
      </c>
      <c r="E211" s="214">
        <f t="shared" si="169"/>
        <v>-1.4716234470424866E-2</v>
      </c>
      <c r="F211" s="224">
        <v>4834.93</v>
      </c>
      <c r="G211" s="175">
        <f t="shared" si="61"/>
        <v>-1.7796863870507976E-3</v>
      </c>
      <c r="H211" s="208">
        <f t="shared" si="170"/>
        <v>-5.042912976019788E-2</v>
      </c>
      <c r="I211" s="226">
        <v>325610.21000000002</v>
      </c>
      <c r="J211" s="177">
        <v>400000</v>
      </c>
      <c r="K211" s="177">
        <f t="shared" ref="K211" si="177">I211-I210-J211+J210</f>
        <v>-1581.9799999999814</v>
      </c>
      <c r="L211" s="175">
        <f t="shared" si="86"/>
        <v>-4.8350176084581403E-3</v>
      </c>
      <c r="M211" s="187">
        <f t="shared" ref="M211" si="178">I211-J211</f>
        <v>-74389.789999999979</v>
      </c>
      <c r="N211" s="189">
        <f t="shared" ref="N211" si="179">M211/J211</f>
        <v>-0.18597447499999994</v>
      </c>
      <c r="O211" s="187" t="b">
        <f t="shared" ref="O211" si="180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1">I211-Q211</f>
        <v>56487.48000000004</v>
      </c>
      <c r="S211" s="177">
        <v>-82018</v>
      </c>
      <c r="T211" s="177">
        <f t="shared" ref="T211" si="182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</row>
    <row r="212" spans="2:22" ht="20.100000000000001" customHeight="1" x14ac:dyDescent="0.25">
      <c r="B212" s="176">
        <v>42537</v>
      </c>
      <c r="C212" s="220">
        <v>2077.9899999999998</v>
      </c>
      <c r="D212" s="175">
        <f t="shared" si="68"/>
        <v>3.1329954139511377E-3</v>
      </c>
      <c r="E212" s="214">
        <f t="shared" ref="E212" si="183">(C212-$C$2)/$C$2</f>
        <v>-1.1629344951580198E-2</v>
      </c>
      <c r="F212" s="224">
        <v>4844.91</v>
      </c>
      <c r="G212" s="175">
        <f t="shared" si="61"/>
        <v>2.0641457063493292E-3</v>
      </c>
      <c r="H212" s="208">
        <f t="shared" ref="H212" si="184">(F212-F$2)/F$2</f>
        <v>-4.8469077125517991E-2</v>
      </c>
      <c r="I212" s="226">
        <v>321688.28999999998</v>
      </c>
      <c r="J212" s="177">
        <v>400000</v>
      </c>
      <c r="K212" s="177">
        <f t="shared" ref="K212" si="185">I212-I211-J212+J211</f>
        <v>-3921.9200000000419</v>
      </c>
      <c r="L212" s="175">
        <f t="shared" si="86"/>
        <v>-1.2044831149490188E-2</v>
      </c>
      <c r="M212" s="187">
        <f t="shared" ref="M212" si="186">I212-J212</f>
        <v>-78311.710000000021</v>
      </c>
      <c r="N212" s="189">
        <f t="shared" ref="N212" si="187">M212/J212</f>
        <v>-0.19577927500000006</v>
      </c>
      <c r="O212" s="187" t="b">
        <f t="shared" ref="O212" si="188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89">I212-Q212</f>
        <v>51029.27999999997</v>
      </c>
      <c r="S212" s="177">
        <v>-85365</v>
      </c>
      <c r="T212" s="177">
        <f t="shared" ref="T212" si="190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</row>
    <row r="213" spans="2:22" ht="20.100000000000001" customHeight="1" x14ac:dyDescent="0.25">
      <c r="B213" s="176">
        <v>42538</v>
      </c>
      <c r="C213" s="220">
        <v>2071.2199999999998</v>
      </c>
      <c r="D213" s="175">
        <f t="shared" si="68"/>
        <v>-3.2579560055630598E-3</v>
      </c>
      <c r="E213" s="214">
        <f t="shared" ref="E213:E214" si="191">(C213-$C$2)/$C$2</f>
        <v>-1.4849413062917493E-2</v>
      </c>
      <c r="F213" s="224">
        <v>4800.34</v>
      </c>
      <c r="G213" s="175">
        <f t="shared" si="61"/>
        <v>-9.1993452922757516E-3</v>
      </c>
      <c r="H213" s="208">
        <f t="shared" ref="H213:H214" si="192">(F213-F$2)/F$2</f>
        <v>-5.7222538641318162E-2</v>
      </c>
      <c r="I213" s="226">
        <v>328584.48</v>
      </c>
      <c r="J213" s="177">
        <v>400000</v>
      </c>
      <c r="K213" s="177">
        <f t="shared" ref="K213:K214" si="193">I213-I212-J213+J212</f>
        <v>6896.1900000000023</v>
      </c>
      <c r="L213" s="175">
        <f t="shared" si="86"/>
        <v>2.1437491554324228E-2</v>
      </c>
      <c r="M213" s="187">
        <f t="shared" ref="M213:M214" si="194">I213-J213</f>
        <v>-71415.520000000019</v>
      </c>
      <c r="N213" s="189">
        <f t="shared" ref="N213:N214" si="195">M213/J213</f>
        <v>-0.17853880000000005</v>
      </c>
      <c r="O213" s="187" t="b">
        <f t="shared" ref="O213:O214" si="196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197">I213-Q213</f>
        <v>59291.099999999977</v>
      </c>
      <c r="S213" s="177">
        <v>-78578</v>
      </c>
      <c r="T213" s="177">
        <f t="shared" ref="T213:T214" si="198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</row>
    <row r="214" spans="2:22" ht="20.100000000000001" customHeight="1" x14ac:dyDescent="0.25">
      <c r="B214" s="249">
        <v>42541</v>
      </c>
      <c r="C214" s="250">
        <v>2083.25</v>
      </c>
      <c r="D214" s="175">
        <f t="shared" si="68"/>
        <v>5.808171029634805E-3</v>
      </c>
      <c r="E214" s="251">
        <f t="shared" si="191"/>
        <v>-9.1274899640418055E-3</v>
      </c>
      <c r="F214" s="252">
        <v>4837.21</v>
      </c>
      <c r="G214" s="175">
        <f t="shared" si="61"/>
        <v>7.6807059499951853E-3</v>
      </c>
      <c r="H214" s="253">
        <f t="shared" si="192"/>
        <v>-4.9981342184339181E-2</v>
      </c>
      <c r="I214" s="254">
        <v>341742.75</v>
      </c>
      <c r="J214" s="255">
        <v>400000</v>
      </c>
      <c r="K214" s="255">
        <f t="shared" si="193"/>
        <v>13158.270000000019</v>
      </c>
      <c r="L214" s="175">
        <f t="shared" si="86"/>
        <v>4.0045318025976211E-2</v>
      </c>
      <c r="M214" s="256">
        <f t="shared" si="194"/>
        <v>-58257.25</v>
      </c>
      <c r="N214" s="257">
        <f t="shared" si="195"/>
        <v>-0.14564312500000001</v>
      </c>
      <c r="O214" s="256" t="b">
        <f t="shared" si="196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197"/>
        <v>88091.109999999986</v>
      </c>
      <c r="S214" s="255">
        <v>-65989</v>
      </c>
      <c r="T214" s="255">
        <f t="shared" si="198"/>
        <v>7731.75</v>
      </c>
      <c r="U214" s="257">
        <f>STDEV(D$2:D214)*SQRT(252)</f>
        <v>0.1740406908760673</v>
      </c>
      <c r="V214" s="257">
        <f>STDEV(L$2:L214)*SQRT(252)</f>
        <v>0.37498171296802196</v>
      </c>
    </row>
    <row r="215" spans="2:22" ht="20.100000000000001" customHeight="1" x14ac:dyDescent="0.25">
      <c r="B215" s="249">
        <v>42542</v>
      </c>
      <c r="C215" s="250">
        <v>2088.9</v>
      </c>
      <c r="D215" s="175">
        <f t="shared" si="68"/>
        <v>2.7121084843394171E-3</v>
      </c>
      <c r="E215" s="251">
        <f t="shared" ref="E215" si="199">(C215-$C$2)/$C$2</f>
        <v>-6.4401362226745888E-3</v>
      </c>
      <c r="F215" s="252">
        <v>4843.76</v>
      </c>
      <c r="G215" s="175">
        <f t="shared" si="61"/>
        <v>1.3540863431606611E-3</v>
      </c>
      <c r="H215" s="253">
        <f t="shared" ref="H215" si="200">(F215-F$2)/F$2</f>
        <v>-4.8694934894043168E-2</v>
      </c>
      <c r="I215" s="254">
        <v>348811.35</v>
      </c>
      <c r="J215" s="255">
        <v>400000</v>
      </c>
      <c r="K215" s="255">
        <f t="shared" ref="K215" si="201">I215-I214-J215+J214</f>
        <v>7068.5999999999767</v>
      </c>
      <c r="L215" s="175">
        <f t="shared" si="86"/>
        <v>2.0683979396783039E-2</v>
      </c>
      <c r="M215" s="256">
        <f t="shared" ref="M215" si="202">I215-J215</f>
        <v>-51188.650000000023</v>
      </c>
      <c r="N215" s="257">
        <f t="shared" ref="N215" si="203">M215/J215</f>
        <v>-0.12797162500000006</v>
      </c>
      <c r="O215" s="256" t="b">
        <f t="shared" ref="O215" si="204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5">I215-Q215</f>
        <v>108984.14999999997</v>
      </c>
      <c r="S215" s="255">
        <v>-59378</v>
      </c>
      <c r="T215" s="255">
        <f t="shared" ref="T215" si="206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</row>
    <row r="216" spans="2:22" ht="20.100000000000001" customHeight="1" x14ac:dyDescent="0.25">
      <c r="B216" s="249">
        <v>42543</v>
      </c>
      <c r="C216" s="250">
        <v>2085.4499999999998</v>
      </c>
      <c r="D216" s="175">
        <f t="shared" si="68"/>
        <v>-1.6515869596439622E-3</v>
      </c>
      <c r="E216" s="251">
        <f t="shared" ref="E216" si="207">(C216-$C$2)/$C$2</f>
        <v>-8.081086737314851E-3</v>
      </c>
      <c r="F216" s="252">
        <v>4833.3100000000004</v>
      </c>
      <c r="G216" s="175">
        <f t="shared" si="61"/>
        <v>-2.1574149008208123E-3</v>
      </c>
      <c r="H216" s="253">
        <f t="shared" ref="H216" si="208">(F216-F$2)/F$2</f>
        <v>-5.0747294616729076E-2</v>
      </c>
      <c r="I216" s="254">
        <v>345838.5</v>
      </c>
      <c r="J216" s="255">
        <v>400000</v>
      </c>
      <c r="K216" s="255">
        <f t="shared" ref="K216" si="209">I216-I215-J216+J215</f>
        <v>-2972.8499999999767</v>
      </c>
      <c r="L216" s="175">
        <f t="shared" si="86"/>
        <v>-8.5228017952970192E-3</v>
      </c>
      <c r="M216" s="256">
        <f t="shared" ref="M216" si="210">I216-J216</f>
        <v>-54161.5</v>
      </c>
      <c r="N216" s="257">
        <f t="shared" ref="N216" si="211">M216/J216</f>
        <v>-0.13540374999999999</v>
      </c>
      <c r="O216" s="256" t="b">
        <f t="shared" ref="O216" si="212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3">I216-Q216</f>
        <v>94926.85</v>
      </c>
      <c r="S216" s="255">
        <v>-62340</v>
      </c>
      <c r="T216" s="255">
        <f t="shared" ref="T216" si="214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</row>
    <row r="217" spans="2:22" ht="20.100000000000001" customHeight="1" x14ac:dyDescent="0.25">
      <c r="B217" s="249">
        <v>42544</v>
      </c>
      <c r="C217" s="250">
        <v>2113.3200000000002</v>
      </c>
      <c r="D217" s="175">
        <f t="shared" si="68"/>
        <v>1.3364022153492219E-2</v>
      </c>
      <c r="E217" s="251">
        <f t="shared" ref="E217" si="215">(C217-$C$2)/$C$2</f>
        <v>5.1749395939956E-3</v>
      </c>
      <c r="F217" s="252">
        <v>4910.04</v>
      </c>
      <c r="G217" s="175">
        <f t="shared" si="61"/>
        <v>1.5875249052926369E-2</v>
      </c>
      <c r="H217" s="253">
        <f t="shared" ref="H217" si="216">(F217-F$2)/F$2</f>
        <v>-3.5677671504605504E-2</v>
      </c>
      <c r="I217" s="254">
        <v>355595.65</v>
      </c>
      <c r="J217" s="255">
        <v>400000</v>
      </c>
      <c r="K217" s="255">
        <f t="shared" ref="K217" si="217">I217-I216-J217+J216</f>
        <v>9757.1500000000233</v>
      </c>
      <c r="L217" s="175">
        <f t="shared" si="86"/>
        <v>2.8213024287348065E-2</v>
      </c>
      <c r="M217" s="256">
        <f t="shared" ref="M217" si="218">I217-J217</f>
        <v>-44404.349999999977</v>
      </c>
      <c r="N217" s="257">
        <f t="shared" ref="N217" si="219">M217/J217</f>
        <v>-0.11101087499999994</v>
      </c>
      <c r="O217" s="256" t="b">
        <f t="shared" ref="O217" si="220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1">I217-Q217</f>
        <v>133407.05000000002</v>
      </c>
      <c r="S217" s="255">
        <v>-52883</v>
      </c>
      <c r="T217" s="255">
        <f t="shared" ref="T217" si="222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</row>
    <row r="218" spans="2:22" ht="20.100000000000001" customHeight="1" x14ac:dyDescent="0.25">
      <c r="B218" s="249">
        <v>42545</v>
      </c>
      <c r="C218" s="250">
        <v>2037.3</v>
      </c>
      <c r="D218" s="175">
        <f t="shared" si="68"/>
        <v>-3.5971835784452996E-2</v>
      </c>
      <c r="E218" s="251">
        <f t="shared" ref="E218" si="223">(C218-$C$2)/$C$2</f>
        <v>-3.0983048267727069E-2</v>
      </c>
      <c r="F218" s="252">
        <v>4707.9799999999996</v>
      </c>
      <c r="G218" s="175">
        <f t="shared" si="61"/>
        <v>-4.1152414236951311E-2</v>
      </c>
      <c r="H218" s="253">
        <f t="shared" ref="H218" si="224">(F218-F$2)/F$2</f>
        <v>-7.5361863424789413E-2</v>
      </c>
      <c r="I218" s="254">
        <v>344597.21</v>
      </c>
      <c r="J218" s="255">
        <v>400000</v>
      </c>
      <c r="K218" s="255">
        <f t="shared" ref="K218" si="225">I218-I217-J218+J217</f>
        <v>-10998.440000000002</v>
      </c>
      <c r="L218" s="175">
        <f t="shared" si="86"/>
        <v>-3.092962470153952E-2</v>
      </c>
      <c r="M218" s="256">
        <f t="shared" ref="M218" si="226">I218-J218</f>
        <v>-55402.789999999979</v>
      </c>
      <c r="N218" s="257">
        <f t="shared" ref="N218" si="227">M218/J218</f>
        <v>-0.13850697499999995</v>
      </c>
      <c r="O218" s="256" t="b">
        <f t="shared" ref="O218" si="228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29">I218-Q218</f>
        <v>52384.340000000026</v>
      </c>
      <c r="S218" s="255">
        <v>-60319</v>
      </c>
      <c r="T218" s="255">
        <f t="shared" ref="T218" si="230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</row>
    <row r="219" spans="2:22" ht="20.100000000000001" customHeight="1" x14ac:dyDescent="0.25">
      <c r="B219" s="176">
        <v>42548</v>
      </c>
      <c r="C219" s="220">
        <v>2000.54</v>
      </c>
      <c r="D219" s="175">
        <f t="shared" si="68"/>
        <v>-1.8043488931428847E-2</v>
      </c>
      <c r="E219" s="214">
        <f t="shared" ref="E219" si="231">(C219-$C$2)/$C$2</f>
        <v>-4.8467494910675257E-2</v>
      </c>
      <c r="F219" s="224">
        <v>4594.4399999999996</v>
      </c>
      <c r="G219" s="175">
        <f t="shared" si="61"/>
        <v>-2.4116500070093749E-2</v>
      </c>
      <c r="H219" s="208">
        <f t="shared" ref="H219" si="232">(F219-F$2)/F$2</f>
        <v>-9.7660899110316834E-2</v>
      </c>
      <c r="I219" s="226">
        <v>328090.52</v>
      </c>
      <c r="J219" s="177">
        <v>400000</v>
      </c>
      <c r="K219" s="177">
        <f t="shared" ref="K219" si="233">I219-I218-J219+J218</f>
        <v>-16506.690000000002</v>
      </c>
      <c r="L219" s="175">
        <f t="shared" si="86"/>
        <v>-4.7901403496563424E-2</v>
      </c>
      <c r="M219" s="187">
        <f t="shared" ref="M219" si="234">I219-J219</f>
        <v>-71909.479999999981</v>
      </c>
      <c r="N219" s="189">
        <f t="shared" ref="N219" si="235">M219/J219</f>
        <v>-0.17977369999999995</v>
      </c>
      <c r="O219" s="187" t="b">
        <f t="shared" ref="O219" si="236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37">I219-Q219</f>
        <v>-2736.7099999999627</v>
      </c>
      <c r="S219" s="177">
        <v>-73004</v>
      </c>
      <c r="T219" s="177">
        <f t="shared" ref="T219" si="238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</row>
    <row r="220" spans="2:22" ht="20.100000000000001" customHeight="1" x14ac:dyDescent="0.25">
      <c r="B220" s="176">
        <v>42549</v>
      </c>
      <c r="C220" s="220">
        <v>2036.09</v>
      </c>
      <c r="D220" s="175">
        <f t="shared" si="68"/>
        <v>1.7770202045447707E-2</v>
      </c>
      <c r="E220" s="214">
        <f t="shared" ref="E220" si="239">(C220-$C$2)/$C$2</f>
        <v>-3.1558570042426959E-2</v>
      </c>
      <c r="F220" s="224">
        <v>4691.8599999999997</v>
      </c>
      <c r="G220" s="175">
        <f t="shared" si="61"/>
        <v>2.1203889919119649E-2</v>
      </c>
      <c r="H220" s="208">
        <f t="shared" ref="H220" si="240">(F220-F$2)/F$2</f>
        <v>-7.85278001453346E-2</v>
      </c>
      <c r="I220" s="226">
        <v>347315.97</v>
      </c>
      <c r="J220" s="177">
        <v>400000</v>
      </c>
      <c r="K220" s="177">
        <f t="shared" ref="K220" si="241">I220-I219-J220+J219</f>
        <v>19225.449999999953</v>
      </c>
      <c r="L220" s="175">
        <f t="shared" ref="L220:L247" si="242">K220/I219</f>
        <v>5.8598005209050091E-2</v>
      </c>
      <c r="M220" s="187">
        <f t="shared" ref="M220" si="243">I220-J220</f>
        <v>-52684.030000000028</v>
      </c>
      <c r="N220" s="189">
        <f t="shared" ref="N220" si="244">M220/J220</f>
        <v>-0.13171007500000007</v>
      </c>
      <c r="O220" s="187" t="b">
        <f t="shared" ref="O220" si="245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46">I220-Q220</f>
        <v>23310.929999999993</v>
      </c>
      <c r="S220" s="177">
        <v>-57120</v>
      </c>
      <c r="T220" s="177">
        <f t="shared" ref="T220" si="247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</row>
    <row r="221" spans="2:22" ht="20.100000000000001" customHeight="1" x14ac:dyDescent="0.25">
      <c r="B221" s="176">
        <v>42550</v>
      </c>
      <c r="C221" s="220">
        <v>2070.77</v>
      </c>
      <c r="D221" s="175">
        <f t="shared" si="68"/>
        <v>1.7032645904650614E-2</v>
      </c>
      <c r="E221" s="214">
        <f t="shared" ref="E221" si="248">(C221-$C$2)/$C$2</f>
        <v>-1.506345008656612E-2</v>
      </c>
      <c r="F221" s="224">
        <v>4779.24</v>
      </c>
      <c r="G221" s="175">
        <f t="shared" si="61"/>
        <v>1.8623744101486428E-2</v>
      </c>
      <c r="H221" s="208">
        <f t="shared" ref="H221" si="249">(F221-F$2)/F$2</f>
        <v>-6.1366537698607546E-2</v>
      </c>
      <c r="I221" s="226">
        <v>354799.59</v>
      </c>
      <c r="J221" s="177">
        <v>400000</v>
      </c>
      <c r="K221" s="177">
        <f t="shared" ref="K221" si="250">I221-I220-J221+J220</f>
        <v>7483.6200000000536</v>
      </c>
      <c r="L221" s="175">
        <f t="shared" si="242"/>
        <v>2.154700804572866E-2</v>
      </c>
      <c r="M221" s="187">
        <f t="shared" ref="M221" si="251">I221-J221</f>
        <v>-45200.409999999974</v>
      </c>
      <c r="N221" s="189">
        <f t="shared" ref="N221" si="252">M221/J221</f>
        <v>-0.11300102499999994</v>
      </c>
      <c r="O221" s="187" t="b">
        <f t="shared" ref="O221" si="253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4">I221-Q221</f>
        <v>33140.72000000003</v>
      </c>
      <c r="S221" s="177">
        <v>-52035</v>
      </c>
      <c r="T221" s="177">
        <f t="shared" ref="T221" si="255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</row>
    <row r="222" spans="2:22" ht="20.100000000000001" customHeight="1" x14ac:dyDescent="0.25">
      <c r="B222" s="176">
        <v>42551</v>
      </c>
      <c r="C222" s="220">
        <v>2098.86</v>
      </c>
      <c r="D222" s="175">
        <f t="shared" si="68"/>
        <v>1.3565002390415229E-2</v>
      </c>
      <c r="E222" s="214">
        <f t="shared" ref="E222" si="256">(C222-$C$2)/$C$2</f>
        <v>-1.7027834325830592E-3</v>
      </c>
      <c r="F222" s="224">
        <v>4842.67</v>
      </c>
      <c r="G222" s="175">
        <f t="shared" si="61"/>
        <v>1.3271984667018248E-2</v>
      </c>
      <c r="H222" s="208">
        <f t="shared" ref="H222" si="257">(F222-F$2)/F$2</f>
        <v>-4.8909008778993214E-2</v>
      </c>
      <c r="I222" s="513">
        <v>358404.16</v>
      </c>
      <c r="J222" s="177">
        <v>400000</v>
      </c>
      <c r="K222" s="177">
        <f t="shared" ref="K222" si="258">I222-I221-J222+J221</f>
        <v>3604.5699999999488</v>
      </c>
      <c r="L222" s="175">
        <f t="shared" si="242"/>
        <v>1.0159453679188154E-2</v>
      </c>
      <c r="M222" s="187">
        <f t="shared" ref="M222" si="259">I222-J222</f>
        <v>-41595.840000000026</v>
      </c>
      <c r="N222" s="189">
        <f t="shared" ref="N222" si="260">M222/J222</f>
        <v>-0.10398960000000007</v>
      </c>
      <c r="O222" s="187" t="b">
        <f t="shared" ref="O222" si="261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2">I222-Q222</f>
        <v>37609.079999999958</v>
      </c>
      <c r="S222" s="177">
        <v>-50056</v>
      </c>
      <c r="T222" s="177">
        <f t="shared" ref="T222" si="263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</row>
    <row r="223" spans="2:22" ht="20.100000000000001" customHeight="1" x14ac:dyDescent="0.25">
      <c r="B223" s="176">
        <v>42552</v>
      </c>
      <c r="C223" s="220">
        <v>2102.9499999999998</v>
      </c>
      <c r="D223" s="175">
        <f t="shared" si="68"/>
        <v>1.9486769007936169E-3</v>
      </c>
      <c r="E223" s="214">
        <f t="shared" ref="E223" si="264">(C223-$C$2)/$C$2</f>
        <v>2.4257529346842884E-4</v>
      </c>
      <c r="F223" s="224">
        <v>4862.59</v>
      </c>
      <c r="G223" s="175">
        <f t="shared" si="61"/>
        <v>4.1134332919649848E-3</v>
      </c>
      <c r="H223" s="208">
        <f t="shared" ref="H223" si="265">(F223-F$2)/F$2</f>
        <v>-4.4996759432016746E-2</v>
      </c>
      <c r="I223" s="226">
        <v>358860.97</v>
      </c>
      <c r="J223" s="177">
        <v>400000</v>
      </c>
      <c r="K223" s="177">
        <f t="shared" ref="K223" si="266">I223-I222-J223+J222</f>
        <v>456.80999999999767</v>
      </c>
      <c r="L223" s="175">
        <f t="shared" si="242"/>
        <v>1.2745666791367535E-3</v>
      </c>
      <c r="M223" s="187">
        <f t="shared" ref="M223" si="267">I223-J223</f>
        <v>-41139.030000000028</v>
      </c>
      <c r="N223" s="189">
        <f t="shared" ref="N223" si="268">M223/J223</f>
        <v>-0.10284757500000007</v>
      </c>
      <c r="O223" s="187" t="b">
        <f t="shared" ref="O223" si="269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0">I223-Q223</f>
        <v>86015.319999999949</v>
      </c>
      <c r="S223" s="177">
        <v>-51775</v>
      </c>
      <c r="T223" s="177">
        <f t="shared" ref="T223" si="271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</row>
    <row r="224" spans="2:22" ht="20.100000000000001" customHeight="1" x14ac:dyDescent="0.25">
      <c r="B224" s="249">
        <v>42556</v>
      </c>
      <c r="C224" s="250">
        <v>2088.5500000000002</v>
      </c>
      <c r="D224" s="175">
        <f t="shared" si="68"/>
        <v>-6.847523716683534E-3</v>
      </c>
      <c r="E224" s="251">
        <f t="shared" ref="E224" si="272">(C224-$C$2)/$C$2</f>
        <v>-6.6066094632902111E-3</v>
      </c>
      <c r="F224" s="252">
        <v>4822.8999999999996</v>
      </c>
      <c r="G224" s="175">
        <f t="shared" si="61"/>
        <v>-8.1623167900235286E-3</v>
      </c>
      <c r="H224" s="253">
        <f t="shared" ref="H224" si="273">(F224-F$2)/F$2</f>
        <v>-5.2791798417031674E-2</v>
      </c>
      <c r="I224" s="254">
        <v>346939.19</v>
      </c>
      <c r="J224" s="255">
        <v>400000</v>
      </c>
      <c r="K224" s="255">
        <f t="shared" ref="K224" si="274">I224-I223-J224+J223</f>
        <v>-11921.77999999997</v>
      </c>
      <c r="L224" s="175">
        <f t="shared" si="242"/>
        <v>-3.3221166403245163E-2</v>
      </c>
      <c r="M224" s="256">
        <f t="shared" ref="M224" si="275">I224-J224</f>
        <v>-53060.81</v>
      </c>
      <c r="N224" s="257">
        <f t="shared" ref="N224" si="276">M224/J224</f>
        <v>-0.13265202500000001</v>
      </c>
      <c r="O224" s="256" t="b">
        <f t="shared" ref="O224" si="277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78">I224-Q224</f>
        <v>33140.880000000005</v>
      </c>
      <c r="S224" s="255">
        <v>-60102</v>
      </c>
      <c r="T224" s="255">
        <f t="shared" ref="T224" si="279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</row>
    <row r="225" spans="2:22" ht="20.100000000000001" customHeight="1" x14ac:dyDescent="0.25">
      <c r="B225" s="249">
        <v>42557</v>
      </c>
      <c r="C225" s="250">
        <v>2088.5500000000002</v>
      </c>
      <c r="D225" s="175">
        <f t="shared" si="68"/>
        <v>0</v>
      </c>
      <c r="E225" s="251">
        <f t="shared" ref="E225" si="280">(C225-$C$2)/$C$2</f>
        <v>-6.6066094632902111E-3</v>
      </c>
      <c r="F225" s="252">
        <v>4859.16</v>
      </c>
      <c r="G225" s="175">
        <f t="shared" si="61"/>
        <v>7.5182981193887954E-3</v>
      </c>
      <c r="H225" s="253">
        <f t="shared" ref="H225" si="281">(F225-F$2)/F$2</f>
        <v>-4.5670404776400803E-2</v>
      </c>
      <c r="I225" s="254">
        <v>347494.51</v>
      </c>
      <c r="J225" s="255">
        <v>400000</v>
      </c>
      <c r="K225" s="255">
        <f t="shared" ref="K225" si="282">I225-I224-J225+J224</f>
        <v>555.32000000000698</v>
      </c>
      <c r="L225" s="175">
        <f t="shared" si="242"/>
        <v>1.6006263230164543E-3</v>
      </c>
      <c r="M225" s="256">
        <f t="shared" ref="M225" si="283">I225-J225</f>
        <v>-52505.489999999991</v>
      </c>
      <c r="N225" s="257">
        <f t="shared" ref="N225" si="284">M225/J225</f>
        <v>-0.13126372499999997</v>
      </c>
      <c r="O225" s="256" t="b">
        <f t="shared" ref="O225" si="285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86">I225-Q225</f>
        <v>31700.690000000002</v>
      </c>
      <c r="S225" s="255">
        <v>-60101</v>
      </c>
      <c r="T225" s="255">
        <f t="shared" ref="T225" si="287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</row>
    <row r="226" spans="2:22" ht="20.100000000000001" customHeight="1" x14ac:dyDescent="0.25">
      <c r="B226" s="249">
        <v>42558</v>
      </c>
      <c r="C226" s="250">
        <v>2088.5500000000002</v>
      </c>
      <c r="D226" s="175">
        <f t="shared" si="68"/>
        <v>0</v>
      </c>
      <c r="E226" s="251">
        <f t="shared" ref="E226" si="288">(C226-$C$2)/$C$2</f>
        <v>-6.6066094632902111E-3</v>
      </c>
      <c r="F226" s="252">
        <v>4876.8</v>
      </c>
      <c r="G226" s="175">
        <f t="shared" si="61"/>
        <v>3.630257081470939E-3</v>
      </c>
      <c r="H226" s="253">
        <f t="shared" ref="H226" si="289">(F226-F$2)/F$2</f>
        <v>-4.2205943005283041E-2</v>
      </c>
      <c r="I226" s="254">
        <v>350011.84</v>
      </c>
      <c r="J226" s="255">
        <v>400000</v>
      </c>
      <c r="K226" s="255">
        <f t="shared" ref="K226" si="290">I226-I225-J226+J225</f>
        <v>2517.3300000000163</v>
      </c>
      <c r="L226" s="175">
        <f t="shared" si="242"/>
        <v>7.2442295563173538E-3</v>
      </c>
      <c r="M226" s="256">
        <f t="shared" ref="M226" si="291">I226-J226</f>
        <v>-49988.159999999974</v>
      </c>
      <c r="N226" s="257">
        <f t="shared" ref="N226" si="292">M226/J226</f>
        <v>-0.12497039999999994</v>
      </c>
      <c r="O226" s="256" t="b">
        <f t="shared" ref="O226" si="293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4">I226-Q226</f>
        <v>34217.020000000019</v>
      </c>
      <c r="S226" s="255">
        <v>-60100</v>
      </c>
      <c r="T226" s="255">
        <f t="shared" ref="T226" si="295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</row>
    <row r="227" spans="2:22" ht="20.100000000000001" customHeight="1" x14ac:dyDescent="0.25">
      <c r="B227" s="249">
        <v>42559</v>
      </c>
      <c r="C227" s="250">
        <v>2088.5500000000002</v>
      </c>
      <c r="D227" s="175">
        <f t="shared" si="68"/>
        <v>0</v>
      </c>
      <c r="E227" s="251">
        <f t="shared" ref="E227" si="296">(C227-$C$2)/$C$2</f>
        <v>-6.6066094632902111E-3</v>
      </c>
      <c r="F227" s="252">
        <v>4956.75</v>
      </c>
      <c r="G227" s="175">
        <f t="shared" si="61"/>
        <v>1.6393946850393661E-2</v>
      </c>
      <c r="H227" s="253">
        <f t="shared" ref="H227" si="297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298">I227-I226-J227+J226</f>
        <v>6534.5599999999395</v>
      </c>
      <c r="L227" s="175">
        <f t="shared" si="242"/>
        <v>1.8669539864708401E-2</v>
      </c>
      <c r="M227" s="256">
        <f t="shared" ref="M227" si="299">I227-J227</f>
        <v>-43453.600000000035</v>
      </c>
      <c r="N227" s="257">
        <f t="shared" ref="N227" si="300">M227/J227</f>
        <v>-0.10863400000000009</v>
      </c>
      <c r="O227" s="256" t="b">
        <f t="shared" ref="O227" si="301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2">I227-Q227</f>
        <v>39253.619999999937</v>
      </c>
      <c r="S227" s="255">
        <v>-54317</v>
      </c>
      <c r="T227" s="255">
        <f t="shared" ref="T227" si="303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</row>
    <row r="228" spans="2:22" ht="20.100000000000001" customHeight="1" x14ac:dyDescent="0.25">
      <c r="B228" s="176">
        <v>42562</v>
      </c>
      <c r="C228" s="220">
        <v>2137.16</v>
      </c>
      <c r="D228" s="175">
        <f t="shared" si="68"/>
        <v>2.3274520600416397E-2</v>
      </c>
      <c r="E228" s="214">
        <f t="shared" ref="E228" si="304">(C228-$C$2)/$C$2</f>
        <v>1.6514145469073933E-2</v>
      </c>
      <c r="F228" s="224">
        <v>4988.63</v>
      </c>
      <c r="G228" s="175">
        <f t="shared" si="61"/>
        <v>6.4316336309073706E-3</v>
      </c>
      <c r="H228" s="208">
        <f t="shared" ref="H228" si="305">(F228-F$2)/F$2</f>
        <v>-2.0242748001649689E-2</v>
      </c>
      <c r="I228" s="226">
        <v>356544.06</v>
      </c>
      <c r="J228" s="177">
        <v>400000</v>
      </c>
      <c r="K228" s="177">
        <f t="shared" ref="K228" si="306">I228-I227-J228+J227</f>
        <v>-2.3399999999674037</v>
      </c>
      <c r="L228" s="175">
        <f t="shared" si="242"/>
        <v>-6.5629606692632545E-6</v>
      </c>
      <c r="M228" s="187">
        <f t="shared" ref="M228" si="307">I228-J228</f>
        <v>-43455.94</v>
      </c>
      <c r="N228" s="189">
        <f t="shared" ref="N228" si="308">M228/J228</f>
        <v>-0.10863985000000001</v>
      </c>
      <c r="O228" s="187" t="b">
        <f t="shared" ref="O228" si="309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0">I228-Q228</f>
        <v>41429.340000000026</v>
      </c>
      <c r="S228" s="177">
        <v>-55783</v>
      </c>
      <c r="T228" s="177">
        <f t="shared" ref="T228" si="311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</row>
    <row r="229" spans="2:22" ht="20.100000000000001" customHeight="1" x14ac:dyDescent="0.25">
      <c r="B229" s="176">
        <v>42563</v>
      </c>
      <c r="C229" s="220">
        <v>2152.14</v>
      </c>
      <c r="D229" s="175">
        <f t="shared" si="68"/>
        <v>7.0093020644219524E-3</v>
      </c>
      <c r="E229" s="214">
        <f t="shared" ref="E229" si="312">(C229-$C$2)/$C$2</f>
        <v>2.3639200167424428E-2</v>
      </c>
      <c r="F229" s="224">
        <v>5022.82</v>
      </c>
      <c r="G229" s="175">
        <f t="shared" si="61"/>
        <v>6.8535850524090985E-3</v>
      </c>
      <c r="H229" s="208">
        <f t="shared" ref="H229" si="313">(F229-F$2)/F$2</f>
        <v>-1.3527898344364379E-2</v>
      </c>
      <c r="I229" s="226">
        <v>371135.11</v>
      </c>
      <c r="J229" s="177">
        <v>400000</v>
      </c>
      <c r="K229" s="177">
        <f t="shared" ref="K229" si="314">I229-I228-J229+J228</f>
        <v>14591.049999999988</v>
      </c>
      <c r="L229" s="175">
        <f t="shared" si="242"/>
        <v>4.092355373975376E-2</v>
      </c>
      <c r="M229" s="187">
        <f t="shared" ref="M229" si="315">I229-J229</f>
        <v>-28864.890000000014</v>
      </c>
      <c r="N229" s="189">
        <f t="shared" ref="N229" si="316">M229/J229</f>
        <v>-7.2162225000000038E-2</v>
      </c>
      <c r="O229" s="187" t="b">
        <f t="shared" ref="O229" si="317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18">I229-Q229</f>
        <v>49410.760000000009</v>
      </c>
      <c r="S229" s="177">
        <v>-44731</v>
      </c>
      <c r="T229" s="177">
        <f t="shared" ref="T229" si="319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</row>
    <row r="230" spans="2:22" ht="20.100000000000001" customHeight="1" x14ac:dyDescent="0.25">
      <c r="B230" s="176">
        <v>42564</v>
      </c>
      <c r="C230" s="220">
        <v>2152.4299999999998</v>
      </c>
      <c r="D230" s="175">
        <f t="shared" si="68"/>
        <v>1.347495980744578E-4</v>
      </c>
      <c r="E230" s="214">
        <f t="shared" ref="E230" si="320">(C230-$C$2)/$C$2</f>
        <v>2.3777135138220249E-2</v>
      </c>
      <c r="F230" s="224">
        <v>5005.72</v>
      </c>
      <c r="G230" s="175">
        <f t="shared" si="61"/>
        <v>-3.4044620352709147E-3</v>
      </c>
      <c r="H230" s="208">
        <f t="shared" ref="H230" si="321">(F230-F$2)/F$2</f>
        <v>-1.6886305163304902E-2</v>
      </c>
      <c r="I230" s="226">
        <v>368490.23999999999</v>
      </c>
      <c r="J230" s="177">
        <v>400000</v>
      </c>
      <c r="K230" s="177">
        <f t="shared" ref="K230" si="322">I230-I229-J230+J229</f>
        <v>-2644.8699999999953</v>
      </c>
      <c r="L230" s="175">
        <f t="shared" si="242"/>
        <v>-7.1264343597133547E-3</v>
      </c>
      <c r="M230" s="187">
        <f t="shared" ref="M230" si="323">I230-J230</f>
        <v>-31509.760000000009</v>
      </c>
      <c r="N230" s="189">
        <f t="shared" ref="N230" si="324">M230/J230</f>
        <v>-7.8774400000000022E-2</v>
      </c>
      <c r="O230" s="187" t="b">
        <f t="shared" ref="O230" si="325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26">I230-Q230</f>
        <v>48566.919999999984</v>
      </c>
      <c r="S230" s="177">
        <v>-47124</v>
      </c>
      <c r="T230" s="177">
        <f t="shared" ref="T230" si="327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</row>
    <row r="231" spans="2:22" ht="20.100000000000001" customHeight="1" x14ac:dyDescent="0.25">
      <c r="B231" s="176">
        <v>42565</v>
      </c>
      <c r="C231" s="220">
        <v>2163.75</v>
      </c>
      <c r="D231" s="175">
        <f t="shared" si="68"/>
        <v>5.2591721914302279E-3</v>
      </c>
      <c r="E231" s="214">
        <f t="shared" ref="E231" si="328">(C231-$C$2)/$C$2</f>
        <v>2.9161355377561284E-2</v>
      </c>
      <c r="F231" s="224">
        <v>5034.05</v>
      </c>
      <c r="G231" s="175">
        <f t="shared" si="61"/>
        <v>5.6595255028247535E-3</v>
      </c>
      <c r="H231" s="208">
        <f t="shared" ref="H231" si="329">(F231-F$2)/F$2</f>
        <v>-1.1322348135200354E-2</v>
      </c>
      <c r="I231" s="226">
        <v>370497.23</v>
      </c>
      <c r="J231" s="177">
        <v>400000</v>
      </c>
      <c r="K231" s="177">
        <f t="shared" ref="K231" si="330">I231-I230-J231+J230</f>
        <v>2006.9899999999907</v>
      </c>
      <c r="L231" s="175">
        <f t="shared" si="242"/>
        <v>5.4465214601070325E-3</v>
      </c>
      <c r="M231" s="187">
        <f t="shared" ref="M231" si="331">I231-J231</f>
        <v>-29502.770000000019</v>
      </c>
      <c r="N231" s="189">
        <f t="shared" ref="N231" si="332">M231/J231</f>
        <v>-7.3756925000000043E-2</v>
      </c>
      <c r="O231" s="187" t="b">
        <f t="shared" ref="O231" si="333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4">I231-Q231</f>
        <v>48565.820000000007</v>
      </c>
      <c r="S231" s="177">
        <v>-47213</v>
      </c>
      <c r="T231" s="177">
        <f t="shared" ref="T231" si="335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</row>
    <row r="232" spans="2:22" ht="20.100000000000001" customHeight="1" x14ac:dyDescent="0.25">
      <c r="B232" s="176">
        <v>42566</v>
      </c>
      <c r="C232" s="220">
        <v>2161.7399999999998</v>
      </c>
      <c r="D232" s="175">
        <f t="shared" si="68"/>
        <v>-9.2894280762575077E-4</v>
      </c>
      <c r="E232" s="214">
        <f t="shared" ref="E232" si="336">(C232-$C$2)/$C$2</f>
        <v>2.8205323338596929E-2</v>
      </c>
      <c r="F232" s="224">
        <v>5029.58</v>
      </c>
      <c r="G232" s="175">
        <f t="shared" si="61"/>
        <v>-8.8795303979901958E-4</v>
      </c>
      <c r="H232" s="208">
        <f t="shared" ref="H232" si="337">(F232-F$2)/F$2</f>
        <v>-1.2200247461555059E-2</v>
      </c>
      <c r="I232" s="226">
        <v>368347.44</v>
      </c>
      <c r="J232" s="177">
        <v>400000</v>
      </c>
      <c r="K232" s="177">
        <f t="shared" ref="K232" si="338">I232-I231-J232+J231</f>
        <v>-2149.789999999979</v>
      </c>
      <c r="L232" s="175">
        <f t="shared" si="242"/>
        <v>-5.8024455405509484E-3</v>
      </c>
      <c r="M232" s="187">
        <f t="shared" ref="M232" si="339">I232-J232</f>
        <v>-31652.559999999998</v>
      </c>
      <c r="N232" s="189">
        <f t="shared" ref="N232" si="340">M232/J232</f>
        <v>-7.9131399999999991E-2</v>
      </c>
      <c r="O232" s="187" t="b">
        <f t="shared" ref="O232" si="341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2">I232-Q232</f>
        <v>53120.359999999986</v>
      </c>
      <c r="S232" s="177">
        <v>-48618</v>
      </c>
      <c r="T232" s="177">
        <f t="shared" ref="T232" si="343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</row>
    <row r="233" spans="2:22" ht="20.100000000000001" customHeight="1" x14ac:dyDescent="0.25">
      <c r="B233" s="249">
        <v>42569</v>
      </c>
      <c r="C233" s="250">
        <v>2166.89</v>
      </c>
      <c r="D233" s="175">
        <f t="shared" si="68"/>
        <v>2.3823401519147036E-3</v>
      </c>
      <c r="E233" s="251">
        <f t="shared" ref="E233" si="344">(C233-$C$2)/$C$2</f>
        <v>3.0654858164798907E-2</v>
      </c>
      <c r="F233" s="252">
        <v>5055.78</v>
      </c>
      <c r="G233" s="175">
        <f t="shared" si="61"/>
        <v>5.209182476469172E-3</v>
      </c>
      <c r="H233" s="253">
        <f t="shared" ref="H233" si="345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46">I233-I232-J233+J232</f>
        <v>1338.8500000000349</v>
      </c>
      <c r="L233" s="175">
        <f t="shared" si="242"/>
        <v>3.6347476719263611E-3</v>
      </c>
      <c r="M233" s="256">
        <f t="shared" ref="M233" si="347">I233-J233</f>
        <v>-30313.709999999963</v>
      </c>
      <c r="N233" s="257">
        <f t="shared" ref="N233" si="348">M233/J233</f>
        <v>-7.5784274999999901E-2</v>
      </c>
      <c r="O233" s="256" t="b">
        <f t="shared" ref="O233" si="349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0">I233-Q233</f>
        <v>53583.250000000058</v>
      </c>
      <c r="S233" s="255">
        <v>-47875</v>
      </c>
      <c r="T233" s="255">
        <f t="shared" ref="T233" si="351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</row>
    <row r="234" spans="2:22" ht="20.100000000000001" customHeight="1" x14ac:dyDescent="0.25">
      <c r="B234" s="249">
        <v>42570</v>
      </c>
      <c r="C234" s="250">
        <v>2163.7800000000002</v>
      </c>
      <c r="D234" s="175">
        <f t="shared" si="68"/>
        <v>-1.4352366756040559E-3</v>
      </c>
      <c r="E234" s="251">
        <f t="shared" ref="E234" si="352">(C234-$C$2)/$C$2</f>
        <v>2.9175624512471292E-2</v>
      </c>
      <c r="F234" s="252">
        <v>5036.37</v>
      </c>
      <c r="G234" s="175">
        <f t="shared" si="61"/>
        <v>-3.8391702170584669E-3</v>
      </c>
      <c r="H234" s="253">
        <f t="shared" ref="H234" si="353">(F234-F$2)/F$2</f>
        <v>-1.0866704636958173E-2</v>
      </c>
      <c r="I234" s="254">
        <v>364028.85</v>
      </c>
      <c r="J234" s="255">
        <v>400000</v>
      </c>
      <c r="K234" s="255">
        <f t="shared" ref="K234" si="354">I234-I233-J234+J233</f>
        <v>-5657.4400000000605</v>
      </c>
      <c r="L234" s="175">
        <f t="shared" si="242"/>
        <v>-1.5303353554171728E-2</v>
      </c>
      <c r="M234" s="256">
        <f t="shared" ref="M234" si="355">I234-J234</f>
        <v>-35971.150000000023</v>
      </c>
      <c r="N234" s="257">
        <f t="shared" ref="N234" si="356">M234/J234</f>
        <v>-8.992787500000006E-2</v>
      </c>
      <c r="O234" s="256" t="b">
        <f t="shared" ref="O234" si="357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58">I234-Q234</f>
        <v>47608.449999999953</v>
      </c>
      <c r="S234" s="255">
        <v>-53164</v>
      </c>
      <c r="T234" s="255">
        <f t="shared" ref="T234" si="359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</row>
    <row r="235" spans="2:22" ht="20.100000000000001" customHeight="1" x14ac:dyDescent="0.25">
      <c r="B235" s="249">
        <v>42571</v>
      </c>
      <c r="C235" s="250">
        <v>2173.02</v>
      </c>
      <c r="D235" s="175">
        <f t="shared" si="68"/>
        <v>4.2703047444748454E-3</v>
      </c>
      <c r="E235" s="251">
        <f t="shared" ref="E235" si="360">(C235-$C$2)/$C$2</f>
        <v>3.3570518064724761E-2</v>
      </c>
      <c r="F235" s="252">
        <v>5089.93</v>
      </c>
      <c r="G235" s="175">
        <f t="shared" si="61"/>
        <v>1.0634643602435961E-2</v>
      </c>
      <c r="H235" s="253">
        <f t="shared" ref="H235" si="361">(F235-F$2)/F$2</f>
        <v>-3.4762456546920032E-4</v>
      </c>
      <c r="I235" s="254">
        <v>366983.12</v>
      </c>
      <c r="J235" s="255">
        <v>400000</v>
      </c>
      <c r="K235" s="255">
        <f t="shared" ref="K235" si="362">I235-I234-J235+J234</f>
        <v>2954.2700000000186</v>
      </c>
      <c r="L235" s="175">
        <f t="shared" si="242"/>
        <v>8.1154831547005646E-3</v>
      </c>
      <c r="M235" s="256">
        <f t="shared" ref="M235" si="363">I235-J235</f>
        <v>-33016.880000000005</v>
      </c>
      <c r="N235" s="257">
        <f t="shared" ref="N235" si="364">M235/J235</f>
        <v>-8.254220000000001E-2</v>
      </c>
      <c r="O235" s="256" t="b">
        <f t="shared" ref="O235" si="365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66">I235-Q235</f>
        <v>51814.950000000012</v>
      </c>
      <c r="S235" s="255">
        <v>-50698</v>
      </c>
      <c r="T235" s="255">
        <f t="shared" ref="T235" si="367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</row>
    <row r="236" spans="2:22" ht="20.100000000000001" customHeight="1" x14ac:dyDescent="0.25">
      <c r="B236" s="249">
        <v>42572</v>
      </c>
      <c r="C236" s="250">
        <v>2165.17</v>
      </c>
      <c r="D236" s="175">
        <f t="shared" si="68"/>
        <v>-3.6124840084306217E-3</v>
      </c>
      <c r="E236" s="251">
        <f t="shared" ref="E236" si="368">(C236-$C$2)/$C$2</f>
        <v>2.9836761096630589E-2</v>
      </c>
      <c r="F236" s="252">
        <v>5073.8999999999996</v>
      </c>
      <c r="G236" s="175">
        <f t="shared" si="61"/>
        <v>-3.1493556885852365E-3</v>
      </c>
      <c r="H236" s="253">
        <f t="shared" ref="H236" si="369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0">I236-I235-J236+J235</f>
        <v>-6661.9199999999837</v>
      </c>
      <c r="L236" s="175">
        <f t="shared" si="242"/>
        <v>-1.8153205520733445E-2</v>
      </c>
      <c r="M236" s="256">
        <f t="shared" ref="M236" si="371">I236-J236</f>
        <v>-39678.799999999988</v>
      </c>
      <c r="N236" s="257">
        <f t="shared" ref="N236" si="372">M236/J236</f>
        <v>-9.9196999999999966E-2</v>
      </c>
      <c r="O236" s="256" t="b">
        <f t="shared" ref="O236" si="373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4">I236-Q236</f>
        <v>44572.140000000014</v>
      </c>
      <c r="S236" s="255">
        <v>-55981</v>
      </c>
      <c r="T236" s="255">
        <f t="shared" ref="T236" si="375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</row>
    <row r="237" spans="2:22" ht="20.100000000000001" customHeight="1" x14ac:dyDescent="0.25">
      <c r="B237" s="249">
        <v>42573</v>
      </c>
      <c r="C237" s="250">
        <v>2175.0300000000002</v>
      </c>
      <c r="D237" s="175">
        <f t="shared" si="68"/>
        <v>4.553914935085987E-3</v>
      </c>
      <c r="E237" s="251">
        <f t="shared" ref="E237" si="376">(C237-$C$2)/$C$2</f>
        <v>3.4526550103689116E-2</v>
      </c>
      <c r="F237" s="252">
        <v>5100.16</v>
      </c>
      <c r="G237" s="175">
        <f t="shared" si="61"/>
        <v>5.175506021009523E-3</v>
      </c>
      <c r="H237" s="253">
        <f t="shared" ref="H237" si="377">(F237-F$2)/F$2</f>
        <v>1.6615275841074762E-3</v>
      </c>
      <c r="I237" s="254">
        <v>357414.17</v>
      </c>
      <c r="J237" s="255">
        <v>400000</v>
      </c>
      <c r="K237" s="255">
        <f t="shared" ref="K237" si="378">I237-I236-J237+J236</f>
        <v>-2907.0300000000279</v>
      </c>
      <c r="L237" s="175">
        <f t="shared" si="242"/>
        <v>-8.0678849870616208E-3</v>
      </c>
      <c r="M237" s="256">
        <f>I237-J237</f>
        <v>-42585.830000000016</v>
      </c>
      <c r="N237" s="257">
        <f t="shared" ref="N237" si="379">M237/J237</f>
        <v>-0.10646457500000005</v>
      </c>
      <c r="O237" s="256" t="b">
        <f t="shared" ref="O237" si="380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1">I237-Q237</f>
        <v>41282.339999999967</v>
      </c>
      <c r="S237" s="255">
        <v>-58740</v>
      </c>
      <c r="T237" s="255">
        <f t="shared" ref="T237:T242" si="382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</row>
    <row r="238" spans="2:22" ht="20.100000000000001" customHeight="1" x14ac:dyDescent="0.25">
      <c r="B238" s="176">
        <v>42576</v>
      </c>
      <c r="C238" s="220">
        <v>2168.48</v>
      </c>
      <c r="D238" s="175">
        <f t="shared" si="68"/>
        <v>-3.0114527155948108E-3</v>
      </c>
      <c r="E238" s="214">
        <f t="shared" ref="E238" si="383">(C238-$C$2)/$C$2</f>
        <v>3.141112231502443E-2</v>
      </c>
      <c r="F238" s="224">
        <v>5097.62</v>
      </c>
      <c r="G238" s="175">
        <f t="shared" si="61"/>
        <v>-4.9802359141673275E-4</v>
      </c>
      <c r="H238" s="208">
        <f t="shared" ref="H238" si="384">(F238-F$2)/F$2</f>
        <v>1.1626765127560684E-3</v>
      </c>
      <c r="I238" s="226">
        <v>355693.78</v>
      </c>
      <c r="J238" s="177">
        <v>400000</v>
      </c>
      <c r="K238" s="177">
        <f t="shared" ref="K238" si="385">I238-I237-J238+J237</f>
        <v>-1720.3899999999558</v>
      </c>
      <c r="L238" s="175">
        <f t="shared" si="242"/>
        <v>-4.8134353486879262E-3</v>
      </c>
      <c r="M238" s="187">
        <f t="shared" ref="M238" si="386">I238-J238</f>
        <v>-44306.219999999972</v>
      </c>
      <c r="N238" s="189">
        <f t="shared" ref="N238" si="387">M238/J238</f>
        <v>-0.11076554999999993</v>
      </c>
      <c r="O238" s="187" t="b">
        <f t="shared" ref="O238" si="388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1"/>
        <v>44347.69</v>
      </c>
      <c r="S238" s="177">
        <v>-60287</v>
      </c>
      <c r="T238" s="177">
        <f t="shared" si="382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</row>
    <row r="239" spans="2:22" ht="20.100000000000001" customHeight="1" x14ac:dyDescent="0.25">
      <c r="B239" s="176">
        <v>42577</v>
      </c>
      <c r="C239" s="220">
        <v>2169.1799999999998</v>
      </c>
      <c r="D239" s="175">
        <f t="shared" si="68"/>
        <v>3.2280675865113727E-4</v>
      </c>
      <c r="E239" s="214">
        <f t="shared" ref="E239" si="389">(C239-$C$2)/$C$2</f>
        <v>3.1744068796255673E-2</v>
      </c>
      <c r="F239" s="224">
        <v>5110.04</v>
      </c>
      <c r="G239" s="175">
        <f t="shared" si="61"/>
        <v>2.4364311188358632E-3</v>
      </c>
      <c r="H239" s="208">
        <f t="shared" ref="H239" si="390">(F239-F$2)/F$2</f>
        <v>3.60194041282875E-3</v>
      </c>
      <c r="I239" s="226">
        <v>360934.05</v>
      </c>
      <c r="J239" s="177">
        <v>400000</v>
      </c>
      <c r="K239" s="177">
        <f t="shared" ref="K239" si="391">I239-I238-J239+J238</f>
        <v>5240.2699999999604</v>
      </c>
      <c r="L239" s="175">
        <f t="shared" si="242"/>
        <v>1.4732532011102247E-2</v>
      </c>
      <c r="M239" s="187">
        <f t="shared" ref="M239" si="392">I239-J239</f>
        <v>-39065.950000000012</v>
      </c>
      <c r="N239" s="189">
        <f t="shared" ref="N239" si="393">M239/J239</f>
        <v>-9.7664875000000026E-2</v>
      </c>
      <c r="O239" s="187" t="b">
        <f t="shared" ref="O239" si="394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1"/>
        <v>65324.06</v>
      </c>
      <c r="S239" s="177">
        <v>-55468</v>
      </c>
      <c r="T239" s="177">
        <f t="shared" si="382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</row>
    <row r="240" spans="2:22" ht="20.100000000000001" customHeight="1" x14ac:dyDescent="0.25">
      <c r="B240" s="176">
        <v>42578</v>
      </c>
      <c r="C240" s="220">
        <v>2166.58</v>
      </c>
      <c r="D240" s="175">
        <f t="shared" si="68"/>
        <v>-1.1986096128490532E-3</v>
      </c>
      <c r="E240" s="214">
        <f t="shared" ref="E240" si="395">(C240-$C$2)/$C$2</f>
        <v>3.0507410437396486E-2</v>
      </c>
      <c r="F240" s="224">
        <v>5139.8100000000004</v>
      </c>
      <c r="G240" s="175">
        <f t="shared" si="61"/>
        <v>5.8257860995218113E-3</v>
      </c>
      <c r="H240" s="208">
        <f t="shared" ref="H240" si="396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397">I240-I239-J240+J239</f>
        <v>-9717.9000000000233</v>
      </c>
      <c r="L240" s="175">
        <f t="shared" si="242"/>
        <v>-2.6924309302488982E-2</v>
      </c>
      <c r="M240" s="187">
        <f t="shared" ref="M240" si="398">I240-J240</f>
        <v>-48783.850000000035</v>
      </c>
      <c r="N240" s="189">
        <f t="shared" ref="N240" si="399">M240/J240</f>
        <v>-0.12195962500000009</v>
      </c>
      <c r="O240" s="187" t="b">
        <f t="shared" ref="O240" si="400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1"/>
        <v>56112.359999999986</v>
      </c>
      <c r="S240" s="177">
        <v>-64415</v>
      </c>
      <c r="T240" s="177">
        <f t="shared" si="382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</row>
    <row r="241" spans="1:22" ht="20.100000000000001" customHeight="1" x14ac:dyDescent="0.25">
      <c r="B241" s="176">
        <v>42579</v>
      </c>
      <c r="C241" s="220">
        <v>2170.06</v>
      </c>
      <c r="D241" s="175">
        <f t="shared" si="68"/>
        <v>1.6062180948776498E-3</v>
      </c>
      <c r="E241" s="214">
        <f t="shared" ref="E241" si="401">(C241-$C$2)/$C$2</f>
        <v>3.2162630086946545E-2</v>
      </c>
      <c r="F241" s="224">
        <v>5154.9799999999996</v>
      </c>
      <c r="G241" s="175">
        <f t="shared" si="61"/>
        <v>2.9514709687710563E-3</v>
      </c>
      <c r="H241" s="208">
        <f t="shared" ref="H241" si="402">(F241-F$2)/F$2</f>
        <v>1.2428069210676148E-2</v>
      </c>
      <c r="I241" s="226">
        <v>351887.73</v>
      </c>
      <c r="J241" s="177">
        <v>400000</v>
      </c>
      <c r="K241" s="177">
        <f t="shared" ref="K241" si="403">I241-I240-J241+J240</f>
        <v>671.5800000000163</v>
      </c>
      <c r="L241" s="175">
        <f t="shared" si="242"/>
        <v>1.9121558049082206E-3</v>
      </c>
      <c r="M241" s="187">
        <f t="shared" ref="M241" si="404">I241-J241</f>
        <v>-48112.270000000019</v>
      </c>
      <c r="N241" s="189">
        <f t="shared" ref="N241" si="405">M241/J241</f>
        <v>-0.12028067500000005</v>
      </c>
      <c r="O241" s="187" t="b">
        <f t="shared" ref="O241" si="406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1"/>
        <v>45396.380000000005</v>
      </c>
      <c r="S241" s="177">
        <v>-63248</v>
      </c>
      <c r="T241" s="177">
        <f t="shared" si="382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</row>
    <row r="242" spans="1:22" ht="20.100000000000001" customHeight="1" x14ac:dyDescent="0.25">
      <c r="B242" s="176">
        <v>42580</v>
      </c>
      <c r="C242" s="220">
        <v>2173.6</v>
      </c>
      <c r="D242" s="175">
        <f t="shared" si="68"/>
        <v>1.6312913007013464E-3</v>
      </c>
      <c r="E242" s="214">
        <f t="shared" ref="E242" si="407">(C242-$C$2)/$C$2</f>
        <v>3.3846388006316397E-2</v>
      </c>
      <c r="F242" s="224">
        <v>5162.13</v>
      </c>
      <c r="G242" s="175">
        <f t="shared" si="61"/>
        <v>1.3870082910119044E-3</v>
      </c>
      <c r="H242" s="208">
        <f t="shared" ref="H242" si="408">(F242-F$2)/F$2</f>
        <v>1.3832315336724531E-2</v>
      </c>
      <c r="I242" s="428">
        <v>352850.19</v>
      </c>
      <c r="J242" s="177">
        <v>400000</v>
      </c>
      <c r="K242" s="177">
        <f t="shared" ref="K242" si="409">I242-I241-J242+J241</f>
        <v>962.46000000002095</v>
      </c>
      <c r="L242" s="175">
        <f t="shared" si="242"/>
        <v>2.7351337314319569E-3</v>
      </c>
      <c r="M242" s="187">
        <f t="shared" ref="M242" si="410">I242-J242</f>
        <v>-47149.81</v>
      </c>
      <c r="N242" s="189">
        <f t="shared" ref="N242" si="411">M242/J242</f>
        <v>-0.11787452499999999</v>
      </c>
      <c r="O242" s="187" t="b">
        <f t="shared" ref="O242" si="412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1"/>
        <v>54478.419999999984</v>
      </c>
      <c r="S242" s="177">
        <v>-61571</v>
      </c>
      <c r="T242" s="177">
        <f t="shared" si="382"/>
        <v>14421.190000000002</v>
      </c>
      <c r="U242" s="189">
        <f>STDEV(D$2:D242)*SQRT(252)</f>
        <v>0.173946186031568</v>
      </c>
      <c r="V242" s="189">
        <f>STDEV(L$2:L242)*SQRT(252)</f>
        <v>0.37202162492103208</v>
      </c>
    </row>
    <row r="243" spans="1:22" ht="20.100000000000001" customHeight="1" x14ac:dyDescent="0.25">
      <c r="B243" s="249">
        <v>42583</v>
      </c>
      <c r="C243" s="250">
        <v>2170.84</v>
      </c>
      <c r="D243" s="175">
        <f t="shared" si="68"/>
        <v>-1.2697828487301084E-3</v>
      </c>
      <c r="E243" s="251">
        <f t="shared" ref="E243" si="413">(C243-$C$2)/$C$2</f>
        <v>3.253362759460441E-2</v>
      </c>
      <c r="F243" s="252">
        <v>5184.1899999999996</v>
      </c>
      <c r="G243" s="175">
        <f t="shared" si="61"/>
        <v>4.2734297663947806E-3</v>
      </c>
      <c r="H243" s="253">
        <f t="shared" ref="H243" si="414">(F243-F$2)/F$2</f>
        <v>1.8164856531217428E-2</v>
      </c>
      <c r="I243" s="254">
        <v>345131.68</v>
      </c>
      <c r="J243" s="255">
        <v>400000</v>
      </c>
      <c r="K243" s="255">
        <f t="shared" ref="K243" si="415">I243-I242-J243+J242</f>
        <v>-7718.5100000000093</v>
      </c>
      <c r="L243" s="175">
        <f t="shared" si="242"/>
        <v>-2.1874750868066725E-2</v>
      </c>
      <c r="M243" s="256">
        <f t="shared" ref="M243" si="416">I243-J243</f>
        <v>-54868.320000000007</v>
      </c>
      <c r="N243" s="257">
        <f t="shared" ref="N243" si="417">M243/J243</f>
        <v>-0.13717080000000001</v>
      </c>
      <c r="O243" s="256" t="b">
        <f t="shared" ref="O243" si="418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19">I243-Q243</f>
        <v>51853.020000000019</v>
      </c>
      <c r="S243" s="255">
        <v>-69701</v>
      </c>
      <c r="T243" s="255">
        <f t="shared" ref="T243" si="420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</row>
    <row r="244" spans="1:22" ht="20.100000000000001" customHeight="1" x14ac:dyDescent="0.25">
      <c r="B244" s="249">
        <v>42584</v>
      </c>
      <c r="C244" s="250">
        <v>2157.0300000000002</v>
      </c>
      <c r="D244" s="175">
        <f t="shared" si="68"/>
        <v>-6.3615927475078517E-3</v>
      </c>
      <c r="E244" s="251">
        <f t="shared" ref="E244" si="421">(C244-$C$2)/$C$2</f>
        <v>2.5965069157740599E-2</v>
      </c>
      <c r="F244" s="252">
        <v>5137.7299999999996</v>
      </c>
      <c r="G244" s="175">
        <f t="shared" si="61"/>
        <v>-8.9618628946855801E-3</v>
      </c>
      <c r="H244" s="253">
        <f t="shared" ref="H244" si="422">(F244-F$2)/F$2</f>
        <v>9.0402026827974442E-3</v>
      </c>
      <c r="I244" s="254">
        <v>341216.81</v>
      </c>
      <c r="J244" s="255">
        <v>400000</v>
      </c>
      <c r="K244" s="255">
        <f t="shared" ref="K244" si="423">I244-I243-J244+J243</f>
        <v>-3914.8699999999953</v>
      </c>
      <c r="L244" s="175">
        <f t="shared" si="242"/>
        <v>-1.1343119820237875E-2</v>
      </c>
      <c r="M244" s="256">
        <f t="shared" ref="M244" si="424">I244-J244</f>
        <v>-58783.19</v>
      </c>
      <c r="N244" s="257">
        <f t="shared" ref="N244" si="425">M244/J244</f>
        <v>-0.14695797500000002</v>
      </c>
      <c r="O244" s="256" t="b">
        <f t="shared" ref="O244" si="426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27">I244-Q244</f>
        <v>46282.960000000021</v>
      </c>
      <c r="S244" s="255">
        <v>-70463</v>
      </c>
      <c r="T244" s="255">
        <f t="shared" ref="T244" si="428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</row>
    <row r="245" spans="1:22" ht="20.100000000000001" customHeight="1" x14ac:dyDescent="0.25">
      <c r="B245" s="249">
        <v>42585</v>
      </c>
      <c r="C245" s="250">
        <v>2163.79</v>
      </c>
      <c r="D245" s="175">
        <f t="shared" si="68"/>
        <v>3.1339387954732955E-3</v>
      </c>
      <c r="E245" s="251">
        <f t="shared" ref="E245" si="429">(C245-$C$2)/$C$2</f>
        <v>2.9180380890774484E-2</v>
      </c>
      <c r="F245" s="252">
        <v>5159.7299999999996</v>
      </c>
      <c r="G245" s="175">
        <f t="shared" si="61"/>
        <v>4.2820467404865578E-3</v>
      </c>
      <c r="H245" s="253">
        <f t="shared" ref="H245" si="430">(F245-F$2)/F$2</f>
        <v>1.3360959993715213E-2</v>
      </c>
      <c r="I245" s="254">
        <v>347416.57</v>
      </c>
      <c r="J245" s="255">
        <v>400000</v>
      </c>
      <c r="K245" s="255">
        <f t="shared" ref="K245" si="431">I245-I244-J245+J244</f>
        <v>6199.7600000000093</v>
      </c>
      <c r="L245" s="175">
        <f t="shared" si="242"/>
        <v>1.8169562044730473E-2</v>
      </c>
      <c r="M245" s="256">
        <f t="shared" ref="M245" si="432">I245-J245</f>
        <v>-52583.429999999993</v>
      </c>
      <c r="N245" s="257">
        <f t="shared" ref="N245" si="433">M245/J245</f>
        <v>-0.13145857499999999</v>
      </c>
      <c r="O245" s="256" t="b">
        <f t="shared" ref="O245" si="434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5">I245-Q245</f>
        <v>40930.960000000021</v>
      </c>
      <c r="S245" s="255">
        <v>-64757</v>
      </c>
      <c r="T245" s="255">
        <f t="shared" ref="T245" si="436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</row>
    <row r="246" spans="1:22" ht="20.100000000000001" customHeight="1" x14ac:dyDescent="0.25">
      <c r="B246" s="249">
        <v>42586</v>
      </c>
      <c r="C246" s="250">
        <v>2164.25</v>
      </c>
      <c r="D246" s="175">
        <f t="shared" si="68"/>
        <v>2.1258994634416298E-4</v>
      </c>
      <c r="E246" s="251">
        <f t="shared" ref="E246" si="437">(C246-$C$2)/$C$2</f>
        <v>2.939917429272652E-2</v>
      </c>
      <c r="F246" s="252">
        <v>5166.24</v>
      </c>
      <c r="G246" s="175">
        <f t="shared" si="61"/>
        <v>1.2616939258449993E-3</v>
      </c>
      <c r="H246" s="253">
        <f t="shared" ref="H246" si="438">(F246-F$2)/F$2</f>
        <v>1.4639511361627741E-2</v>
      </c>
      <c r="I246" s="254">
        <v>348668.66</v>
      </c>
      <c r="J246" s="255">
        <v>400000</v>
      </c>
      <c r="K246" s="255">
        <f t="shared" ref="K246" si="439">I246-I245-J246+J245</f>
        <v>1252.0899999999674</v>
      </c>
      <c r="L246" s="175">
        <f t="shared" si="242"/>
        <v>3.6040019622551895E-3</v>
      </c>
      <c r="M246" s="256">
        <f t="shared" ref="M246" si="440">I246-J246</f>
        <v>-51331.340000000026</v>
      </c>
      <c r="N246" s="257">
        <f t="shared" ref="N246" si="441">M246/J246</f>
        <v>-0.12832835000000006</v>
      </c>
      <c r="O246" s="256" t="b">
        <f t="shared" ref="O246" si="442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3">I246-Q246</f>
        <v>42182.049999999988</v>
      </c>
      <c r="S246" s="255">
        <v>-64756</v>
      </c>
      <c r="T246" s="255">
        <f t="shared" ref="T246" si="444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</row>
    <row r="247" spans="1:22" ht="20.100000000000001" customHeight="1" x14ac:dyDescent="0.25">
      <c r="B247" s="249">
        <v>42587</v>
      </c>
      <c r="C247" s="250">
        <v>2182.87</v>
      </c>
      <c r="D247" s="175">
        <f t="shared" si="68"/>
        <v>8.6034423010280196E-3</v>
      </c>
      <c r="E247" s="251">
        <f t="shared" ref="E247" si="445">(C247-$C$2)/$C$2</f>
        <v>3.8255550693479877E-2</v>
      </c>
      <c r="F247" s="252">
        <v>5221.12</v>
      </c>
      <c r="G247" s="175">
        <f t="shared" si="61"/>
        <v>1.0622812722599049E-2</v>
      </c>
      <c r="H247" s="253">
        <f t="shared" ref="H247" si="446">(F247-F$2)/F$2</f>
        <v>2.5417836871771723E-2</v>
      </c>
      <c r="I247" s="254">
        <v>357514.04</v>
      </c>
      <c r="J247" s="255">
        <v>400000</v>
      </c>
      <c r="K247" s="255">
        <f t="shared" ref="K247" si="447">I247-I246-J247+J246</f>
        <v>8845.3800000000047</v>
      </c>
      <c r="L247" s="175">
        <f t="shared" si="242"/>
        <v>2.5369013664721128E-2</v>
      </c>
      <c r="M247" s="256">
        <f t="shared" ref="M247" si="448">I247-J247</f>
        <v>-42485.960000000021</v>
      </c>
      <c r="N247" s="257">
        <f t="shared" ref="N247" si="449">M247/J247</f>
        <v>-0.10621490000000006</v>
      </c>
      <c r="O247" s="256" t="b">
        <f t="shared" ref="O247" si="450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1">I247-Q247</f>
        <v>61189.479999999981</v>
      </c>
      <c r="S247" s="255">
        <v>-56695</v>
      </c>
      <c r="T247" s="255">
        <f t="shared" ref="T247" si="452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</row>
    <row r="248" spans="1:22" ht="20.100000000000001" customHeight="1" x14ac:dyDescent="0.25">
      <c r="B248" s="176">
        <v>42590</v>
      </c>
      <c r="C248" s="220">
        <v>2180.89</v>
      </c>
      <c r="D248" s="175">
        <f t="shared" si="68"/>
        <v>-9.0706272018032145E-4</v>
      </c>
      <c r="E248" s="214">
        <f t="shared" ref="E248" si="453">(C248-$C$2)/$C$2</f>
        <v>3.7313787789425533E-2</v>
      </c>
      <c r="F248" s="224">
        <v>5213.1400000000003</v>
      </c>
      <c r="G248" s="175">
        <f t="shared" si="61"/>
        <v>-1.528407697965104E-3</v>
      </c>
      <c r="H248" s="208">
        <f t="shared" ref="H248" si="454">(F248-F$2)/F$2</f>
        <v>2.3850580356266179E-2</v>
      </c>
      <c r="I248" s="226">
        <v>360717.48</v>
      </c>
      <c r="J248" s="177">
        <v>400000</v>
      </c>
      <c r="K248" s="177">
        <f t="shared" ref="K248" si="455">I248-I247-J248+J247</f>
        <v>3203.4400000000023</v>
      </c>
      <c r="L248" s="175">
        <f>K248/I247</f>
        <v>8.9603194324899878E-3</v>
      </c>
      <c r="M248" s="187">
        <f t="shared" ref="M248" si="456">I248-J248</f>
        <v>-39282.520000000019</v>
      </c>
      <c r="N248" s="189">
        <f t="shared" ref="N248" si="457">M248/J248</f>
        <v>-9.8206300000000052E-2</v>
      </c>
      <c r="O248" s="187" t="b">
        <f t="shared" ref="O248" si="458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59">I248-Q248</f>
        <v>54664.27999999997</v>
      </c>
      <c r="S248" s="177">
        <v>-53403</v>
      </c>
      <c r="T248" s="177">
        <f t="shared" ref="T248" si="460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</row>
    <row r="249" spans="1:22" ht="20.100000000000001" customHeight="1" x14ac:dyDescent="0.25">
      <c r="B249" s="176">
        <v>42591</v>
      </c>
      <c r="C249" s="220">
        <v>2181.89</v>
      </c>
      <c r="D249" s="175">
        <f t="shared" si="68"/>
        <v>4.5852839895638939E-4</v>
      </c>
      <c r="E249" s="214">
        <f t="shared" ref="E249" si="461">(C249-$C$2)/$C$2</f>
        <v>3.7789425619756005E-2</v>
      </c>
      <c r="F249" s="224">
        <v>5214.1400000000003</v>
      </c>
      <c r="G249" s="175">
        <f t="shared" si="61"/>
        <v>1.9182297041706148E-4</v>
      </c>
      <c r="H249" s="208">
        <f t="shared" ref="H249" si="462">(F249-F$2)/F$2</f>
        <v>2.4046978415853352E-2</v>
      </c>
      <c r="I249" s="226">
        <v>360792.14</v>
      </c>
      <c r="J249" s="177">
        <v>400000</v>
      </c>
      <c r="K249" s="177">
        <f t="shared" ref="K249" si="463">I249-I248-J249+J248</f>
        <v>74.660000000032596</v>
      </c>
      <c r="L249" s="175">
        <f t="shared" ref="L249:L260" si="464">K249/I248</f>
        <v>2.0697638495376658E-4</v>
      </c>
      <c r="M249" s="187">
        <f t="shared" ref="M249" si="465">I249-J249</f>
        <v>-39207.859999999986</v>
      </c>
      <c r="N249" s="189">
        <f t="shared" ref="N249" si="466">M249/J249</f>
        <v>-9.8019649999999958E-2</v>
      </c>
      <c r="O249" s="187" t="b">
        <f t="shared" ref="O249" si="467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68">I249-Q249</f>
        <v>48306.48000000004</v>
      </c>
      <c r="S249" s="177">
        <v>-52872</v>
      </c>
      <c r="T249" s="177">
        <f t="shared" ref="T249" si="469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</row>
    <row r="250" spans="1:22" ht="20.100000000000001" customHeight="1" x14ac:dyDescent="0.25">
      <c r="B250" s="176">
        <v>42592</v>
      </c>
      <c r="C250" s="220">
        <v>2175.4899999999998</v>
      </c>
      <c r="D250" s="175">
        <f t="shared" si="68"/>
        <v>-2.9332367809560022E-3</v>
      </c>
      <c r="E250" s="214">
        <f t="shared" ref="E250:E251" si="470">(C250-$C$2)/$C$2</f>
        <v>3.4745343505640937E-2</v>
      </c>
      <c r="F250" s="224">
        <v>5204.58</v>
      </c>
      <c r="G250" s="175">
        <f t="shared" si="61"/>
        <v>-1.8334758943949338E-3</v>
      </c>
      <c r="H250" s="208">
        <f t="shared" ref="H250:H251" si="471">(F250-F$2)/F$2</f>
        <v>2.2169412966199915E-2</v>
      </c>
      <c r="I250" s="226">
        <v>354430.79</v>
      </c>
      <c r="J250" s="177">
        <v>400000</v>
      </c>
      <c r="K250" s="177">
        <f t="shared" ref="K250" si="472">I250-I249-J250+J249</f>
        <v>-6361.3500000000349</v>
      </c>
      <c r="L250" s="175">
        <f t="shared" si="464"/>
        <v>-1.7631620245385709E-2</v>
      </c>
      <c r="M250" s="187">
        <f t="shared" ref="M250" si="473">I250-J250</f>
        <v>-45569.210000000021</v>
      </c>
      <c r="N250" s="189">
        <f t="shared" ref="N250" si="474">M250/J250</f>
        <v>-0.11392302500000005</v>
      </c>
      <c r="O250" s="187" t="b">
        <f t="shared" ref="O250" si="475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76">I250-Q250</f>
        <v>49786.25</v>
      </c>
      <c r="S250" s="177">
        <v>-58573</v>
      </c>
      <c r="T250" s="177">
        <f t="shared" ref="T250" si="477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</row>
    <row r="251" spans="1:22" ht="20.100000000000001" customHeight="1" x14ac:dyDescent="0.25">
      <c r="A251" s="170" t="s">
        <v>345</v>
      </c>
      <c r="B251" s="249">
        <v>42597</v>
      </c>
      <c r="C251" s="250">
        <v>2190.15</v>
      </c>
      <c r="D251" s="175">
        <f t="shared" si="68"/>
        <v>6.7387117385050311E-3</v>
      </c>
      <c r="E251" s="251">
        <f t="shared" si="470"/>
        <v>4.1718194098285817E-2</v>
      </c>
      <c r="F251" s="252">
        <v>5262.01</v>
      </c>
      <c r="G251" s="175">
        <f t="shared" si="61"/>
        <v>1.1034511910663356E-2</v>
      </c>
      <c r="H251" s="253">
        <f t="shared" si="471"/>
        <v>3.3448553528291222E-2</v>
      </c>
      <c r="I251" s="254">
        <v>368660.8</v>
      </c>
      <c r="J251" s="255">
        <v>400000</v>
      </c>
      <c r="K251" s="255">
        <f t="shared" ref="K251" si="478">I251-I250-J251+J250</f>
        <v>14230.010000000009</v>
      </c>
      <c r="L251" s="175">
        <f t="shared" si="464"/>
        <v>4.0148910313350626E-2</v>
      </c>
      <c r="M251" s="256">
        <f t="shared" ref="M251" si="479">I251-J251</f>
        <v>-31339.200000000012</v>
      </c>
      <c r="N251" s="257">
        <f t="shared" ref="N251" si="480">M251/J251</f>
        <v>-7.8348000000000029E-2</v>
      </c>
      <c r="O251" s="256" t="b">
        <f t="shared" ref="O251" si="481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2">I251-Q251</f>
        <v>99156</v>
      </c>
      <c r="S251" s="255">
        <v>-45515</v>
      </c>
      <c r="T251" s="255">
        <f t="shared" ref="T251" si="483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</row>
    <row r="252" spans="1:22" ht="20.100000000000001" customHeight="1" x14ac:dyDescent="0.25">
      <c r="B252" s="249">
        <v>42598</v>
      </c>
      <c r="C252" s="250">
        <v>2178.15</v>
      </c>
      <c r="D252" s="175">
        <f t="shared" si="68"/>
        <v>-5.479076775563317E-3</v>
      </c>
      <c r="E252" s="251">
        <f t="shared" ref="E252" si="484">(C252-$C$2)/$C$2</f>
        <v>3.6010540134320139E-2</v>
      </c>
      <c r="F252" s="252">
        <v>5227.1099999999997</v>
      </c>
      <c r="G252" s="175">
        <f t="shared" si="61"/>
        <v>-6.6324465365897338E-3</v>
      </c>
      <c r="H252" s="253">
        <f t="shared" ref="H252" si="485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86">I252-I251-J252+J251</f>
        <v>2262.390000000014</v>
      </c>
      <c r="L252" s="175">
        <f t="shared" si="464"/>
        <v>6.1367793917878281E-3</v>
      </c>
      <c r="M252" s="256">
        <f t="shared" ref="M252" si="487">I252-J252</f>
        <v>-29076.809999999998</v>
      </c>
      <c r="N252" s="257">
        <f t="shared" ref="N252" si="488">M252/J252</f>
        <v>-7.2692024999999993E-2</v>
      </c>
      <c r="O252" s="256" t="b">
        <f t="shared" ref="O252" si="489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</row>
    <row r="253" spans="1:22" ht="20.100000000000001" customHeight="1" x14ac:dyDescent="0.25">
      <c r="B253" s="249">
        <v>42599</v>
      </c>
      <c r="C253" s="250">
        <v>2182.2199999999998</v>
      </c>
      <c r="D253" s="175">
        <f t="shared" si="68"/>
        <v>1.8685581801068378E-3</v>
      </c>
      <c r="E253" s="251">
        <f t="shared" ref="E253" si="490">(C253-$C$2)/$C$2</f>
        <v>3.794638610376503E-2</v>
      </c>
      <c r="F253" s="252">
        <v>5228.6499999999996</v>
      </c>
      <c r="G253" s="175">
        <f t="shared" si="61"/>
        <v>2.946178672344687E-4</v>
      </c>
      <c r="H253" s="253">
        <f t="shared" ref="H253" si="491">(F253-F$2)/F$2</f>
        <v>2.6896714260463073E-2</v>
      </c>
      <c r="I253" s="254">
        <v>375295.13</v>
      </c>
      <c r="J253" s="255">
        <v>400000</v>
      </c>
      <c r="K253" s="255">
        <f t="shared" ref="K253" si="492">I253-I252-J253+J252</f>
        <v>4371.9400000000023</v>
      </c>
      <c r="L253" s="175">
        <f t="shared" si="464"/>
        <v>1.1786645100296917E-2</v>
      </c>
      <c r="M253" s="256">
        <f t="shared" ref="M253" si="493">I253-J253</f>
        <v>-24704.869999999995</v>
      </c>
      <c r="N253" s="257">
        <f t="shared" ref="N253" si="494">M253/J253</f>
        <v>-6.1762174999999989E-2</v>
      </c>
      <c r="O253" s="256" t="b">
        <f t="shared" ref="O253" si="495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496">I253-Q253</f>
        <v>120001.53</v>
      </c>
      <c r="S253" s="255">
        <v>-39008</v>
      </c>
      <c r="T253" s="255">
        <f t="shared" ref="T253" si="497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</row>
    <row r="254" spans="1:22" ht="20.100000000000001" customHeight="1" x14ac:dyDescent="0.25">
      <c r="B254" s="249">
        <v>42600</v>
      </c>
      <c r="C254" s="250">
        <v>2187.02</v>
      </c>
      <c r="D254" s="175">
        <f t="shared" si="68"/>
        <v>2.1995949079378716E-3</v>
      </c>
      <c r="E254" s="251">
        <f t="shared" ref="E254" si="498">(C254-$C$2)/$C$2</f>
        <v>4.0229447689351383E-2</v>
      </c>
      <c r="F254" s="252">
        <v>5240.1400000000003</v>
      </c>
      <c r="G254" s="175">
        <f t="shared" si="61"/>
        <v>2.1975079609460745E-3</v>
      </c>
      <c r="H254" s="253">
        <f t="shared" ref="H254" si="499">(F254-F$2)/F$2</f>
        <v>2.9153327965119807E-2</v>
      </c>
      <c r="I254" s="254">
        <v>382262.83</v>
      </c>
      <c r="J254" s="255">
        <v>400000</v>
      </c>
      <c r="K254" s="255">
        <f t="shared" ref="K254" si="500">I254-I253-J254+J253</f>
        <v>6967.7000000000116</v>
      </c>
      <c r="L254" s="175">
        <f t="shared" si="464"/>
        <v>1.8565921705405587E-2</v>
      </c>
      <c r="M254" s="256">
        <f t="shared" ref="M254:M259" si="501">I254-J254</f>
        <v>-17737.169999999984</v>
      </c>
      <c r="N254" s="257">
        <f t="shared" ref="N254" si="502">M254/J254</f>
        <v>-4.4342924999999957E-2</v>
      </c>
      <c r="O254" s="256" t="b">
        <f t="shared" ref="O254" si="503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4">I254-Q254</f>
        <v>147577.93000000002</v>
      </c>
      <c r="S254" s="255">
        <v>-32026</v>
      </c>
      <c r="T254" s="255">
        <f t="shared" ref="T254" si="505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</row>
    <row r="255" spans="1:22" ht="20.100000000000001" customHeight="1" x14ac:dyDescent="0.25">
      <c r="B255" s="249">
        <v>42601</v>
      </c>
      <c r="C255" s="250">
        <v>2183.87</v>
      </c>
      <c r="D255" s="175">
        <f t="shared" si="68"/>
        <v>-1.4403160464925291E-3</v>
      </c>
      <c r="E255" s="251">
        <f t="shared" ref="E255" si="506">(C255-$C$2)/$C$2</f>
        <v>3.8731188523810349E-2</v>
      </c>
      <c r="F255" s="252">
        <v>5238.37</v>
      </c>
      <c r="G255" s="175">
        <f t="shared" si="61"/>
        <v>-3.377772349594546E-4</v>
      </c>
      <c r="H255" s="253">
        <f t="shared" ref="H255" si="507">(F255-F$2)/F$2</f>
        <v>2.8805703399650426E-2</v>
      </c>
      <c r="I255" s="254">
        <v>382810.75</v>
      </c>
      <c r="J255" s="255">
        <v>400000</v>
      </c>
      <c r="K255" s="255">
        <f t="shared" ref="K255" si="508">I255-I254-J255+J254</f>
        <v>547.9199999999837</v>
      </c>
      <c r="L255" s="175">
        <f t="shared" si="464"/>
        <v>1.4333593459766509E-3</v>
      </c>
      <c r="M255" s="256">
        <f t="shared" si="501"/>
        <v>-17189.25</v>
      </c>
      <c r="N255" s="257">
        <f t="shared" ref="N255" si="509">M255/J255</f>
        <v>-4.2973125000000001E-2</v>
      </c>
      <c r="O255" s="256" t="b">
        <f t="shared" ref="O255" si="510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1">I255-Q255</f>
        <v>149847.75</v>
      </c>
      <c r="S255" s="255">
        <v>-31491</v>
      </c>
      <c r="T255" s="255">
        <f t="shared" ref="T255" si="512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</row>
    <row r="256" spans="1:22" ht="20.100000000000001" customHeight="1" x14ac:dyDescent="0.25">
      <c r="B256" s="176">
        <v>42604</v>
      </c>
      <c r="C256" s="220">
        <v>2182.64</v>
      </c>
      <c r="D256" s="175">
        <f t="shared" si="68"/>
        <v>-5.6322033820695291E-4</v>
      </c>
      <c r="E256" s="214">
        <f t="shared" ref="E256" si="513">(C256-$C$2)/$C$2</f>
        <v>3.8146153992503859E-2</v>
      </c>
      <c r="F256" s="224">
        <v>5244.6</v>
      </c>
      <c r="G256" s="175">
        <f t="shared" ref="G256:G261" si="514">(F256-F255)/F255</f>
        <v>1.1893012521071388E-3</v>
      </c>
      <c r="H256" s="208">
        <f t="shared" ref="H256" si="515">(F256-F$2)/F$2</f>
        <v>3.0029263310878598E-2</v>
      </c>
      <c r="I256" s="226">
        <v>377083.42</v>
      </c>
      <c r="J256" s="177">
        <v>400000</v>
      </c>
      <c r="K256" s="177">
        <f t="shared" ref="K256" si="516">I256-I255-J256+J255</f>
        <v>-5727.3300000000163</v>
      </c>
      <c r="L256" s="175">
        <f t="shared" si="464"/>
        <v>-1.4961256965746171E-2</v>
      </c>
      <c r="M256" s="187">
        <f t="shared" si="501"/>
        <v>-22916.580000000016</v>
      </c>
      <c r="N256" s="189">
        <f t="shared" ref="N256" si="517">M256/J256</f>
        <v>-5.7291450000000042E-2</v>
      </c>
      <c r="O256" s="187" t="b">
        <f t="shared" ref="O256" si="518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19">I256-Q256</f>
        <v>121841.31999999998</v>
      </c>
      <c r="S256" s="177">
        <v>-37372</v>
      </c>
      <c r="T256" s="177">
        <f t="shared" ref="T256" si="520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</row>
    <row r="257" spans="2:22" ht="20.100000000000001" customHeight="1" x14ac:dyDescent="0.25">
      <c r="B257" s="176">
        <v>42605</v>
      </c>
      <c r="C257" s="220">
        <v>2186.9</v>
      </c>
      <c r="D257" s="175">
        <f t="shared" ref="D257:D261" si="521">(C257-C256)/C256</f>
        <v>1.951764835245491E-3</v>
      </c>
      <c r="E257" s="214">
        <f t="shared" ref="E257" si="522">(C257-$C$2)/$C$2</f>
        <v>4.0172371149711783E-2</v>
      </c>
      <c r="F257" s="224">
        <v>5260.07</v>
      </c>
      <c r="G257" s="175">
        <f t="shared" si="514"/>
        <v>2.9497006444722845E-3</v>
      </c>
      <c r="H257" s="208">
        <f t="shared" ref="H257" si="523">(F257-F$2)/F$2</f>
        <v>3.3067541292692008E-2</v>
      </c>
      <c r="I257" s="226">
        <v>383610.05</v>
      </c>
      <c r="J257" s="177">
        <v>400000</v>
      </c>
      <c r="K257" s="177">
        <f t="shared" ref="K257" si="524">I257-I256-J257+J256</f>
        <v>6526.6300000000047</v>
      </c>
      <c r="L257" s="175">
        <f t="shared" si="464"/>
        <v>1.7308186077234593E-2</v>
      </c>
      <c r="M257" s="187">
        <f t="shared" si="501"/>
        <v>-16389.950000000012</v>
      </c>
      <c r="N257" s="189">
        <f t="shared" ref="N257" si="525">M257/J257</f>
        <v>-4.0974875000000029E-2</v>
      </c>
      <c r="O257" s="187" t="b">
        <f t="shared" ref="O257" si="526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27">I257-Q257</f>
        <v>146280.65</v>
      </c>
      <c r="S257" s="177">
        <v>-30977</v>
      </c>
      <c r="T257" s="177">
        <f t="shared" ref="T257" si="528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</row>
    <row r="258" spans="2:22" ht="20.100000000000001" customHeight="1" x14ac:dyDescent="0.25">
      <c r="B258" s="176">
        <v>42606</v>
      </c>
      <c r="C258" s="220">
        <v>2175.44</v>
      </c>
      <c r="D258" s="175">
        <f t="shared" si="521"/>
        <v>-5.2402944807718854E-3</v>
      </c>
      <c r="E258" s="214">
        <f t="shared" ref="E258" si="529">(C258-$C$2)/$C$2</f>
        <v>3.4721561614124541E-2</v>
      </c>
      <c r="F258" s="224">
        <v>5217.6899999999996</v>
      </c>
      <c r="G258" s="175">
        <f t="shared" si="514"/>
        <v>-8.0569269990703758E-3</v>
      </c>
      <c r="H258" s="208">
        <f t="shared" ref="H258" si="530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1">I258-I257-J258+J257</f>
        <v>-3601.7999999999884</v>
      </c>
      <c r="L258" s="175">
        <f t="shared" si="464"/>
        <v>-9.3892222062482156E-3</v>
      </c>
      <c r="M258" s="187">
        <f t="shared" si="501"/>
        <v>-19991.75</v>
      </c>
      <c r="N258" s="189">
        <f t="shared" ref="N258" si="532">M258/J258</f>
        <v>-4.9979374999999999E-2</v>
      </c>
      <c r="O258" s="187" t="b">
        <f t="shared" ref="O258" si="533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4">I258-Q258</f>
        <v>146290.45000000001</v>
      </c>
      <c r="S258" s="177">
        <v>-34657</v>
      </c>
      <c r="T258" s="177">
        <f t="shared" ref="T258" si="535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</row>
    <row r="259" spans="2:22" ht="20.100000000000001" customHeight="1" x14ac:dyDescent="0.25">
      <c r="B259" s="176">
        <v>42607</v>
      </c>
      <c r="C259" s="220">
        <v>2172.4699999999998</v>
      </c>
      <c r="D259" s="175">
        <f t="shared" si="521"/>
        <v>-1.3652410546833075E-3</v>
      </c>
      <c r="E259" s="214">
        <f t="shared" ref="E259" si="536">(C259-$C$2)/$C$2</f>
        <v>3.3308917258042914E-2</v>
      </c>
      <c r="F259" s="224">
        <v>5212.2</v>
      </c>
      <c r="G259" s="175">
        <f t="shared" si="514"/>
        <v>-1.0521897621360759E-3</v>
      </c>
      <c r="H259" s="208">
        <f t="shared" ref="H259" si="537">(F259-F$2)/F$2</f>
        <v>2.3665966180254142E-2</v>
      </c>
      <c r="I259" s="226">
        <v>380752.59</v>
      </c>
      <c r="J259" s="177">
        <v>400000</v>
      </c>
      <c r="K259" s="177">
        <f t="shared" ref="K259" si="538">I259-I258-J259+J258</f>
        <v>744.34000000002561</v>
      </c>
      <c r="L259" s="175">
        <f t="shared" si="464"/>
        <v>1.9587469482571116E-3</v>
      </c>
      <c r="M259" s="187">
        <f t="shared" si="501"/>
        <v>-19247.409999999974</v>
      </c>
      <c r="N259" s="189">
        <f t="shared" ref="N259" si="539">M259/J259</f>
        <v>-4.8118524999999933E-2</v>
      </c>
      <c r="O259" s="187" t="b">
        <f t="shared" ref="O259" si="540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1">I259-Q259</f>
        <v>143453.21000000002</v>
      </c>
      <c r="S259" s="177">
        <v>-33721</v>
      </c>
      <c r="T259" s="177">
        <f t="shared" ref="T259" si="542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</row>
    <row r="260" spans="2:22" ht="20.100000000000001" customHeight="1" x14ac:dyDescent="0.25">
      <c r="B260" s="176">
        <v>42608</v>
      </c>
      <c r="C260" s="220">
        <v>2169.04</v>
      </c>
      <c r="D260" s="175">
        <f t="shared" si="521"/>
        <v>-1.578848039328431E-3</v>
      </c>
      <c r="E260" s="214">
        <f t="shared" ref="E260" si="543">(C260-$C$2)/$C$2</f>
        <v>3.1677479500009466E-2</v>
      </c>
      <c r="F260" s="224">
        <v>5218.91</v>
      </c>
      <c r="G260" s="175">
        <f t="shared" si="514"/>
        <v>1.2873642607728092E-3</v>
      </c>
      <c r="H260" s="208">
        <f t="shared" ref="H260" si="544">(F260-F$2)/F$2</f>
        <v>2.4983797160084066E-2</v>
      </c>
      <c r="I260" s="226">
        <v>381100.52</v>
      </c>
      <c r="J260" s="177">
        <v>400000</v>
      </c>
      <c r="K260" s="177">
        <f t="shared" ref="K260" si="545">I260-I259-J260+J259</f>
        <v>347.92999999999302</v>
      </c>
      <c r="L260" s="175">
        <f t="shared" si="464"/>
        <v>9.1379549118757934E-4</v>
      </c>
      <c r="M260" s="187">
        <f t="shared" ref="M260" si="546">I260-J260</f>
        <v>-18899.479999999981</v>
      </c>
      <c r="N260" s="189">
        <f t="shared" ref="N260" si="547">M260/J260</f>
        <v>-4.7248699999999956E-2</v>
      </c>
      <c r="O260" s="187" t="b">
        <f t="shared" ref="O260" si="548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49">I260-Q260</f>
        <v>122146.22000000003</v>
      </c>
      <c r="S260" s="177">
        <v>-33067</v>
      </c>
      <c r="T260" s="177">
        <f t="shared" ref="T260" si="550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</row>
    <row r="261" spans="2:22" ht="20.100000000000001" customHeight="1" x14ac:dyDescent="0.25">
      <c r="B261" s="249">
        <v>42611</v>
      </c>
      <c r="C261" s="250">
        <v>2180.38</v>
      </c>
      <c r="D261" s="175">
        <f t="shared" si="521"/>
        <v>5.2281193523402731E-3</v>
      </c>
      <c r="E261" s="251">
        <f t="shared" ref="E261" si="551">(C261-$C$2)/$C$2</f>
        <v>3.7071212495957101E-2</v>
      </c>
      <c r="F261" s="252">
        <v>5232.32</v>
      </c>
      <c r="G261" s="175">
        <f t="shared" si="514"/>
        <v>2.569502060775115E-3</v>
      </c>
      <c r="H261" s="253">
        <f t="shared" ref="H261" si="552">(F261-F$2)/F$2</f>
        <v>2.7617495139148004E-2</v>
      </c>
      <c r="I261" s="254">
        <v>382828.93</v>
      </c>
      <c r="J261" s="255">
        <v>400000</v>
      </c>
      <c r="K261" s="255">
        <f t="shared" ref="K261" si="553">I261-I260-J261+J260</f>
        <v>1728.4099999999744</v>
      </c>
      <c r="L261" s="175">
        <f>K261/I260</f>
        <v>4.5353126256557569E-3</v>
      </c>
      <c r="M261" s="256">
        <f t="shared" ref="M261" si="554">I261-J261</f>
        <v>-17171.070000000007</v>
      </c>
      <c r="N261" s="257">
        <f t="shared" ref="N261" si="555">M261/J261</f>
        <v>-4.2927675000000019E-2</v>
      </c>
      <c r="O261" s="256" t="b">
        <f t="shared" ref="O261" si="556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57">I261-Q261</f>
        <v>122528.60999999999</v>
      </c>
      <c r="S261" s="255">
        <v>-31777</v>
      </c>
      <c r="T261" s="255">
        <f t="shared" ref="T261" si="558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</row>
    <row r="262" spans="2:22" ht="20.100000000000001" customHeight="1" x14ac:dyDescent="0.25">
      <c r="B262" s="249">
        <v>42612</v>
      </c>
      <c r="C262" s="250">
        <v>2176.12</v>
      </c>
      <c r="D262" s="175">
        <f t="shared" ref="D262" si="559">(C262-C261)/C261</f>
        <v>-1.9537878718389537E-3</v>
      </c>
      <c r="E262" s="251">
        <f t="shared" ref="E262" si="560">(C262-$C$2)/$C$2</f>
        <v>3.5044995338749184E-2</v>
      </c>
      <c r="F262" s="252">
        <v>5222.9799999999996</v>
      </c>
      <c r="G262" s="175">
        <f t="shared" ref="G262" si="561">(F262-F261)/F261</f>
        <v>-1.7850590177971046E-3</v>
      </c>
      <c r="H262" s="253">
        <f t="shared" ref="H262" si="562">(F262-F$2)/F$2</f>
        <v>2.5783137262603797E-2</v>
      </c>
      <c r="I262" s="254">
        <v>379406.56</v>
      </c>
      <c r="J262" s="255">
        <v>400000</v>
      </c>
      <c r="K262" s="255">
        <f t="shared" ref="K262" si="563">I262-I261-J262+J261</f>
        <v>-3422.3699999999953</v>
      </c>
      <c r="L262" s="175">
        <f>K262/I261</f>
        <v>-8.9396848874508921E-3</v>
      </c>
      <c r="M262" s="256">
        <f t="shared" ref="M262" si="564">I262-J262</f>
        <v>-20593.440000000002</v>
      </c>
      <c r="N262" s="257">
        <f t="shared" ref="N262" si="565">M262/J262</f>
        <v>-5.1483600000000004E-2</v>
      </c>
      <c r="O262" s="256" t="b">
        <f t="shared" ref="O262" si="566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67">I262-Q262</f>
        <v>104437.60999999999</v>
      </c>
      <c r="S262" s="255">
        <v>-35414</v>
      </c>
      <c r="T262" s="255">
        <f t="shared" ref="T262" si="568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</row>
    <row r="263" spans="2:22" ht="20.100000000000001" customHeight="1" x14ac:dyDescent="0.25">
      <c r="B263" s="249">
        <v>42613</v>
      </c>
      <c r="C263" s="250">
        <v>2170.94</v>
      </c>
      <c r="D263" s="175">
        <f t="shared" ref="D263" si="569">(C263-C262)/C262</f>
        <v>-2.3803834347369797E-3</v>
      </c>
      <c r="E263" s="251">
        <f t="shared" ref="E263" si="570">(C263-$C$2)/$C$2</f>
        <v>3.258119137763741E-2</v>
      </c>
      <c r="F263" s="252">
        <v>5213.22</v>
      </c>
      <c r="G263" s="175">
        <f t="shared" ref="G263:G266" si="571">(F263-F262)/F262</f>
        <v>-1.8686650149913094E-3</v>
      </c>
      <c r="H263" s="253">
        <f t="shared" ref="H263" si="572">(F263-F$2)/F$2</f>
        <v>2.3866292201033139E-2</v>
      </c>
      <c r="I263" s="512">
        <v>375078.22</v>
      </c>
      <c r="J263" s="255">
        <v>400000</v>
      </c>
      <c r="K263" s="255">
        <f t="shared" ref="K263" si="573">I263-I262-J263+J262</f>
        <v>-4328.3400000000256</v>
      </c>
      <c r="L263" s="175">
        <f>K263/I262</f>
        <v>-1.1408184402504863E-2</v>
      </c>
      <c r="M263" s="256">
        <f t="shared" ref="M263" si="574">I263-J263</f>
        <v>-24921.780000000028</v>
      </c>
      <c r="N263" s="257">
        <f t="shared" ref="N263" si="575">M263/J263</f>
        <v>-6.2304450000000067E-2</v>
      </c>
      <c r="O263" s="256" t="b">
        <f t="shared" ref="O263" si="576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77">I263-Q263</f>
        <v>89275.109999999986</v>
      </c>
      <c r="S263" s="255">
        <v>-39480</v>
      </c>
      <c r="T263" s="255">
        <f t="shared" ref="T263" si="578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</row>
    <row r="264" spans="2:22" ht="20.100000000000001" customHeight="1" x14ac:dyDescent="0.25">
      <c r="B264" s="249">
        <v>42614</v>
      </c>
      <c r="C264" s="250">
        <v>2170.86</v>
      </c>
      <c r="D264" s="175">
        <f t="shared" ref="D264:D266" si="579">(C264-C263)/C263</f>
        <v>-3.6850396602359916E-5</v>
      </c>
      <c r="E264" s="251">
        <f t="shared" ref="E264" si="580">(C264-$C$2)/$C$2</f>
        <v>3.254314035121101E-2</v>
      </c>
      <c r="F264" s="252">
        <v>5227.2</v>
      </c>
      <c r="G264" s="175">
        <f t="shared" si="571"/>
        <v>2.6816439743574151E-3</v>
      </c>
      <c r="H264" s="253">
        <f t="shared" ref="H264" si="581">(F264-F$2)/F$2</f>
        <v>2.661193707406171E-2</v>
      </c>
      <c r="I264" s="254">
        <v>374158.47</v>
      </c>
      <c r="J264" s="255">
        <v>400000</v>
      </c>
      <c r="K264" s="255">
        <f t="shared" ref="K264" si="582">I264-I263-J264+J263</f>
        <v>-919.75</v>
      </c>
      <c r="L264" s="175">
        <f t="shared" ref="L264:L266" si="583">K264/I263</f>
        <v>-2.4521551797915646E-3</v>
      </c>
      <c r="M264" s="256">
        <f t="shared" ref="M264" si="584">I264-J264</f>
        <v>-25841.530000000028</v>
      </c>
      <c r="N264" s="257">
        <f t="shared" ref="N264" si="585">M264/J264</f>
        <v>-6.4603825000000073E-2</v>
      </c>
      <c r="O264" s="256" t="b">
        <f t="shared" ref="O264" si="586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87">I264-Q264</f>
        <v>89365.339999999967</v>
      </c>
      <c r="S264" s="255">
        <v>-40089</v>
      </c>
      <c r="T264" s="255">
        <f t="shared" ref="T264" si="588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</row>
    <row r="265" spans="2:22" ht="20.100000000000001" customHeight="1" x14ac:dyDescent="0.25">
      <c r="B265" s="249">
        <v>42615</v>
      </c>
      <c r="C265" s="250">
        <v>2179.98</v>
      </c>
      <c r="D265" s="175">
        <f t="shared" si="579"/>
        <v>4.2011000248748835E-3</v>
      </c>
      <c r="E265" s="251">
        <f t="shared" ref="E265" si="589">(C265-$C$2)/$C$2</f>
        <v>3.6880957363824872E-2</v>
      </c>
      <c r="F265" s="252">
        <v>5249.89</v>
      </c>
      <c r="G265" s="175">
        <f t="shared" si="571"/>
        <v>4.3407560453015978E-3</v>
      </c>
      <c r="H265" s="253">
        <f t="shared" ref="H265" si="590">(F265-F$2)/F$2</f>
        <v>3.1068209046094725E-2</v>
      </c>
      <c r="I265" s="254">
        <v>379833.49</v>
      </c>
      <c r="J265" s="255">
        <v>400000</v>
      </c>
      <c r="K265" s="255">
        <f t="shared" ref="K265" si="591">I265-I264-J265+J264</f>
        <v>5675.0200000000186</v>
      </c>
      <c r="L265" s="175">
        <f t="shared" si="583"/>
        <v>1.5167423578570916E-2</v>
      </c>
      <c r="M265" s="256">
        <f t="shared" ref="M265" si="592">I265-J265</f>
        <v>-20166.510000000009</v>
      </c>
      <c r="N265" s="257">
        <f t="shared" ref="N265" si="593">M265/J265</f>
        <v>-5.0416275000000024E-2</v>
      </c>
      <c r="O265" s="256" t="b">
        <f t="shared" ref="O265" si="594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595">I265-Q265</f>
        <v>99917.919999999984</v>
      </c>
      <c r="S265" s="255">
        <v>-35299</v>
      </c>
      <c r="T265" s="255">
        <f t="shared" ref="T265" si="596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</row>
    <row r="266" spans="2:22" ht="20.100000000000001" customHeight="1" x14ac:dyDescent="0.25">
      <c r="B266" s="176">
        <v>42616</v>
      </c>
      <c r="C266" s="220">
        <v>2186.48</v>
      </c>
      <c r="D266" s="175">
        <f t="shared" si="579"/>
        <v>2.9816787309975322E-3</v>
      </c>
      <c r="E266" s="214">
        <f t="shared" ref="E266" si="597">(C266-$C$2)/$C$2</f>
        <v>3.9972603260972947E-2</v>
      </c>
      <c r="F266" s="224">
        <v>5275.9</v>
      </c>
      <c r="G266" s="175">
        <f t="shared" si="571"/>
        <v>4.9543895205422031E-3</v>
      </c>
      <c r="H266" s="208">
        <f t="shared" ref="H266" si="598">(F266-F$2)/F$2</f>
        <v>3.6176522575956917E-2</v>
      </c>
      <c r="I266" s="226">
        <v>382927.8</v>
      </c>
      <c r="J266" s="177">
        <v>400000</v>
      </c>
      <c r="K266" s="177">
        <f t="shared" ref="K266" si="599">I266-I265-J266+J265</f>
        <v>3094.3099999999977</v>
      </c>
      <c r="L266" s="175">
        <f t="shared" si="583"/>
        <v>8.1464907162346265E-3</v>
      </c>
      <c r="M266" s="187">
        <f t="shared" ref="M266" si="600">I266-J266</f>
        <v>-17072.200000000012</v>
      </c>
      <c r="N266" s="189">
        <f t="shared" ref="N266" si="601">M266/J266</f>
        <v>-4.2680500000000031E-2</v>
      </c>
      <c r="O266" s="187" t="b">
        <f t="shared" ref="O266" si="602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3">I266-Q266</f>
        <v>94604.13</v>
      </c>
      <c r="S266" s="177">
        <v>-32869</v>
      </c>
      <c r="T266" s="177">
        <f t="shared" ref="T266" si="604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</row>
  </sheetData>
  <conditionalFormatting sqref="D3:D266">
    <cfRule type="colorScale" priority="21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66">
    <cfRule type="colorScale" priority="15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66">
    <cfRule type="colorScale" priority="15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66">
    <cfRule type="colorScale" priority="22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267:L1048576">
    <cfRule type="colorScale" priority="444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58"/>
  <sheetViews>
    <sheetView workbookViewId="0">
      <pane ySplit="1" topLeftCell="A228" activePane="bottomLeft" state="frozen"/>
      <selection activeCell="E5" sqref="E5"/>
      <selection pane="bottomLeft" activeCell="F255" sqref="F255"/>
    </sheetView>
  </sheetViews>
  <sheetFormatPr defaultRowHeight="18" customHeight="1" x14ac:dyDescent="0.25"/>
  <cols>
    <col min="1" max="1" width="9.5703125" style="287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135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136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544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544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544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544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136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125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136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136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136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136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136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136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136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136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136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136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136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136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136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136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544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544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136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136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136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136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136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41"/>
      <c r="O205" s="442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67" t="s">
        <v>253</v>
      </c>
      <c r="R242" s="466"/>
      <c r="S242" s="432" t="s">
        <v>236</v>
      </c>
      <c r="T242" s="430"/>
    </row>
    <row r="243" spans="1:21" ht="18" customHeight="1" x14ac:dyDescent="0.25">
      <c r="M243" s="29" t="s">
        <v>133</v>
      </c>
      <c r="N243" s="145">
        <f>SUM(N1:N241)</f>
        <v>-3929.4599999999336</v>
      </c>
      <c r="Q243" s="367">
        <v>42449</v>
      </c>
      <c r="R243" s="466">
        <v>0.02</v>
      </c>
      <c r="S243" s="430">
        <v>2015</v>
      </c>
      <c r="T243" s="430">
        <v>1003.28</v>
      </c>
    </row>
    <row r="244" spans="1:21" ht="18" customHeight="1" x14ac:dyDescent="0.25">
      <c r="M244" s="26" t="s">
        <v>156</v>
      </c>
      <c r="N244" s="430">
        <f>T258</f>
        <v>1006.7100000000002</v>
      </c>
      <c r="Q244" s="367">
        <v>42451</v>
      </c>
      <c r="R244" s="466">
        <v>0.01</v>
      </c>
      <c r="S244" s="499">
        <v>42278</v>
      </c>
      <c r="T244" s="430">
        <v>0.19</v>
      </c>
    </row>
    <row r="245" spans="1:21" ht="18" customHeight="1" x14ac:dyDescent="0.25">
      <c r="M245" s="26" t="s">
        <v>132</v>
      </c>
      <c r="N245" s="145">
        <f>SUM(ACTIVE!L:L)</f>
        <v>-14959.431999999118</v>
      </c>
      <c r="Q245" s="518"/>
      <c r="R245" s="466"/>
      <c r="S245" s="499">
        <v>42309</v>
      </c>
      <c r="T245" s="430">
        <v>0.26</v>
      </c>
    </row>
    <row r="246" spans="1:21" ht="18" customHeight="1" x14ac:dyDescent="0.25">
      <c r="Q246" s="366"/>
      <c r="R246" s="466"/>
      <c r="S246" s="499">
        <v>42339</v>
      </c>
      <c r="T246" s="430">
        <v>0.23</v>
      </c>
    </row>
    <row r="247" spans="1:21" ht="18" customHeight="1" x14ac:dyDescent="0.25">
      <c r="M247" s="26" t="s">
        <v>147</v>
      </c>
      <c r="N247" s="145">
        <f>SUM(N242:N245)</f>
        <v>-17072.171999999053</v>
      </c>
      <c r="Q247" s="366"/>
      <c r="R247" s="466"/>
      <c r="S247" s="499">
        <v>42370</v>
      </c>
      <c r="T247" s="430">
        <v>0.08</v>
      </c>
    </row>
    <row r="248" spans="1:21" ht="18" customHeight="1" x14ac:dyDescent="0.25">
      <c r="M248" s="26" t="s">
        <v>148</v>
      </c>
      <c r="N248" s="145">
        <f>Balance!W2</f>
        <v>-17072.200000000012</v>
      </c>
      <c r="Q248" s="366"/>
      <c r="R248" s="466"/>
      <c r="S248" s="499">
        <v>42401</v>
      </c>
      <c r="T248" s="430">
        <v>0.57999999999999996</v>
      </c>
    </row>
    <row r="249" spans="1:21" ht="18" customHeight="1" x14ac:dyDescent="0.25">
      <c r="M249" s="26" t="s">
        <v>201</v>
      </c>
      <c r="N249" s="466">
        <f>R258</f>
        <v>0.03</v>
      </c>
      <c r="O249" s="353"/>
      <c r="Q249" s="366"/>
      <c r="R249" s="466"/>
      <c r="S249" s="499">
        <v>42430</v>
      </c>
      <c r="T249" s="430">
        <v>0.68</v>
      </c>
    </row>
    <row r="250" spans="1:21" ht="18" customHeight="1" x14ac:dyDescent="0.25">
      <c r="Q250" s="366"/>
      <c r="R250" s="466"/>
      <c r="S250" s="499">
        <v>42461</v>
      </c>
      <c r="T250" s="430">
        <v>0.37</v>
      </c>
    </row>
    <row r="251" spans="1:21" ht="18" customHeight="1" x14ac:dyDescent="0.25">
      <c r="M251" s="26" t="s">
        <v>134</v>
      </c>
      <c r="N251" s="239">
        <f>N247-N249-N248</f>
        <v>-1.9999990399810486E-3</v>
      </c>
      <c r="Q251" s="366"/>
      <c r="R251" s="466"/>
      <c r="S251" s="499">
        <v>42491</v>
      </c>
      <c r="T251" s="430">
        <v>0.13</v>
      </c>
    </row>
    <row r="252" spans="1:21" ht="18" customHeight="1" x14ac:dyDescent="0.25">
      <c r="Q252" s="366"/>
      <c r="R252" s="466"/>
      <c r="S252" s="499">
        <v>42552</v>
      </c>
      <c r="T252" s="430">
        <v>0.64</v>
      </c>
    </row>
    <row r="253" spans="1:21" ht="18" customHeight="1" x14ac:dyDescent="0.25">
      <c r="Q253" s="366"/>
      <c r="R253" s="466"/>
      <c r="S253" s="499">
        <v>42580</v>
      </c>
      <c r="T253" s="430">
        <v>-0.66</v>
      </c>
      <c r="U253" s="25" t="s">
        <v>318</v>
      </c>
    </row>
    <row r="254" spans="1:21" ht="18" customHeight="1" x14ac:dyDescent="0.25">
      <c r="Q254" s="366"/>
      <c r="R254" s="466"/>
      <c r="S254" s="499">
        <v>42582</v>
      </c>
      <c r="T254" s="430">
        <v>0.26</v>
      </c>
    </row>
    <row r="255" spans="1:21" ht="18" customHeight="1" x14ac:dyDescent="0.25">
      <c r="Q255" s="366"/>
      <c r="R255" s="466"/>
      <c r="S255" s="499">
        <v>42608</v>
      </c>
      <c r="T255" s="430">
        <v>0.44</v>
      </c>
    </row>
    <row r="256" spans="1:21" ht="18" customHeight="1" x14ac:dyDescent="0.25">
      <c r="Q256" s="366"/>
      <c r="R256" s="466"/>
      <c r="S256" s="499">
        <v>42614</v>
      </c>
      <c r="T256" s="430">
        <v>0.23</v>
      </c>
    </row>
    <row r="257" spans="17:20" ht="18" customHeight="1" x14ac:dyDescent="0.25">
      <c r="Q257" s="366"/>
      <c r="R257" s="466"/>
      <c r="S257" s="431"/>
      <c r="T257" s="430"/>
    </row>
    <row r="258" spans="17:20" ht="18" customHeight="1" x14ac:dyDescent="0.25">
      <c r="Q258" s="366" t="s">
        <v>81</v>
      </c>
      <c r="R258" s="466">
        <f>SUM(R243:R257)</f>
        <v>0.03</v>
      </c>
      <c r="S258" s="431" t="s">
        <v>81</v>
      </c>
      <c r="T258" s="430">
        <f>SUM(T243:T256)</f>
        <v>1006.7100000000002</v>
      </c>
    </row>
  </sheetData>
  <mergeCells count="3">
    <mergeCell ref="B12:B13"/>
    <mergeCell ref="B14:B15"/>
    <mergeCell ref="B163:B164"/>
  </mergeCells>
  <conditionalFormatting sqref="Q13">
    <cfRule type="expression" dxfId="748" priority="5">
      <formula>#REF!&gt;0</formula>
    </cfRule>
    <cfRule type="expression" dxfId="747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50"/>
  <sheetViews>
    <sheetView tabSelected="1" zoomScaleNormal="100" workbookViewId="0">
      <pane ySplit="1" topLeftCell="A11" activePane="bottomLeft" state="frozen"/>
      <selection pane="bottomLeft" activeCell="J23" sqref="J23"/>
    </sheetView>
  </sheetViews>
  <sheetFormatPr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8" bestFit="1" customWidth="1"/>
    <col min="7" max="7" width="10.7109375" style="248" bestFit="1" customWidth="1"/>
    <col min="8" max="8" width="12.140625" style="50" customWidth="1"/>
    <col min="9" max="9" width="10.7109375" style="49" bestFit="1" customWidth="1"/>
    <col min="10" max="10" width="14.140625" style="380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65" customWidth="1"/>
    <col min="16" max="16" width="11.42578125" style="50" bestFit="1" customWidth="1"/>
    <col min="17" max="20" width="10.28515625" style="50" bestFit="1" customWidth="1"/>
    <col min="21" max="16384" width="9.140625" style="50"/>
  </cols>
  <sheetData>
    <row r="1" spans="1:21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146</v>
      </c>
      <c r="G1" s="247" t="s">
        <v>73</v>
      </c>
      <c r="H1" s="57" t="s">
        <v>57</v>
      </c>
      <c r="I1" s="58" t="s">
        <v>74</v>
      </c>
      <c r="J1" s="378" t="s">
        <v>190</v>
      </c>
      <c r="K1" s="364" t="s">
        <v>222</v>
      </c>
      <c r="L1" s="58" t="s">
        <v>187</v>
      </c>
      <c r="M1" s="58" t="s">
        <v>272</v>
      </c>
      <c r="N1" s="58" t="s">
        <v>92</v>
      </c>
      <c r="O1" s="364" t="s">
        <v>221</v>
      </c>
    </row>
    <row r="2" spans="1:21" ht="21.95" customHeight="1" x14ac:dyDescent="0.25">
      <c r="A2" s="52"/>
      <c r="B2" s="52"/>
      <c r="C2" s="52"/>
      <c r="E2" s="23" t="s">
        <v>10</v>
      </c>
      <c r="F2" s="248">
        <v>10.32</v>
      </c>
      <c r="G2" s="248">
        <v>10.32</v>
      </c>
      <c r="H2" s="50">
        <v>0</v>
      </c>
      <c r="I2" s="49">
        <v>0</v>
      </c>
      <c r="J2" s="380">
        <v>0</v>
      </c>
      <c r="K2" s="138">
        <v>0</v>
      </c>
      <c r="L2" s="49">
        <v>1128.3800000000047</v>
      </c>
      <c r="M2">
        <v>0</v>
      </c>
      <c r="N2" s="376" t="str">
        <f>HYPERLINK("http://finance.yahoo.com/q?s=" &amp; E2, "Link")</f>
        <v>Link</v>
      </c>
      <c r="O2" s="365">
        <v>1.18E-2</v>
      </c>
    </row>
    <row r="3" spans="1:21" ht="21.95" customHeight="1" x14ac:dyDescent="0.25">
      <c r="A3" s="51"/>
      <c r="B3" s="52"/>
      <c r="C3" s="52"/>
      <c r="E3" s="23" t="s">
        <v>217</v>
      </c>
      <c r="F3" s="248">
        <v>107.7</v>
      </c>
      <c r="G3" s="248">
        <v>107.7</v>
      </c>
      <c r="H3" s="336">
        <v>0</v>
      </c>
      <c r="I3" s="49">
        <v>0</v>
      </c>
      <c r="J3" s="379">
        <v>0</v>
      </c>
      <c r="K3" s="365">
        <v>0</v>
      </c>
      <c r="L3" s="379">
        <v>363.09999999999945</v>
      </c>
      <c r="M3">
        <v>0</v>
      </c>
      <c r="N3" s="376" t="str">
        <f>HYPERLINK("http://finance.yahoo.com/q?s=" &amp; E3, "Link")</f>
        <v>Link</v>
      </c>
      <c r="O3" s="375">
        <v>2.12E-2</v>
      </c>
      <c r="S3" s="49"/>
    </row>
    <row r="4" spans="1:21" ht="21.95" customHeight="1" x14ac:dyDescent="0.25">
      <c r="A4" s="51"/>
      <c r="B4" s="51"/>
      <c r="C4" s="52"/>
      <c r="E4" s="23" t="s">
        <v>308</v>
      </c>
      <c r="F4" s="248">
        <v>55.5</v>
      </c>
      <c r="G4" s="248">
        <v>55.5</v>
      </c>
      <c r="H4" s="336">
        <v>0</v>
      </c>
      <c r="I4" s="49">
        <v>0</v>
      </c>
      <c r="J4" s="379">
        <v>0</v>
      </c>
      <c r="K4" s="365">
        <v>0</v>
      </c>
      <c r="L4" s="379">
        <v>92.650000000000091</v>
      </c>
      <c r="M4">
        <v>0</v>
      </c>
      <c r="N4" s="376" t="str">
        <f>HYPERLINK("http://finance.yahoo.com/q?s=" &amp; E4, "Link")</f>
        <v>Link</v>
      </c>
      <c r="O4" s="375">
        <v>0</v>
      </c>
      <c r="Q4" s="462"/>
      <c r="R4" s="49"/>
    </row>
    <row r="5" spans="1:21" ht="21.95" customHeight="1" x14ac:dyDescent="0.25">
      <c r="A5" s="51"/>
      <c r="B5" s="51"/>
      <c r="C5" s="52"/>
      <c r="E5" s="23" t="s">
        <v>45</v>
      </c>
      <c r="F5" s="248">
        <v>69.31</v>
      </c>
      <c r="G5" s="248">
        <v>69.31</v>
      </c>
      <c r="H5" s="336">
        <v>0</v>
      </c>
      <c r="I5" s="49">
        <v>0</v>
      </c>
      <c r="J5" s="379">
        <v>0</v>
      </c>
      <c r="K5" s="365">
        <v>0</v>
      </c>
      <c r="L5" s="379">
        <v>523.61999999999898</v>
      </c>
      <c r="M5">
        <v>0</v>
      </c>
      <c r="N5" s="376" t="str">
        <f>HYPERLINK("http://finance.yahoo.com/q?s=" &amp; E5, "Link")</f>
        <v>Link</v>
      </c>
      <c r="O5" s="375">
        <v>1.9099999999999999E-2</v>
      </c>
      <c r="Q5" s="462"/>
      <c r="T5" s="49"/>
    </row>
    <row r="6" spans="1:21" ht="21.95" customHeight="1" x14ac:dyDescent="0.25">
      <c r="A6" s="51"/>
      <c r="B6" s="51"/>
      <c r="C6" s="52"/>
      <c r="E6" s="23" t="s">
        <v>33</v>
      </c>
      <c r="F6" s="248">
        <v>171.1</v>
      </c>
      <c r="G6" s="248">
        <v>171.1</v>
      </c>
      <c r="H6" s="336">
        <v>0</v>
      </c>
      <c r="I6" s="443">
        <v>0</v>
      </c>
      <c r="J6" s="379">
        <v>0</v>
      </c>
      <c r="K6" s="365">
        <v>0</v>
      </c>
      <c r="L6" s="379">
        <v>780.73999999999796</v>
      </c>
      <c r="M6">
        <v>0</v>
      </c>
      <c r="N6" s="376" t="str">
        <f>HYPERLINK("http://finance.yahoo.com/q?s=" &amp; E6, "Link")</f>
        <v>Link</v>
      </c>
      <c r="O6" s="375">
        <v>1.1599999999999999E-2</v>
      </c>
      <c r="Q6" s="152"/>
    </row>
    <row r="7" spans="1:21" ht="21.95" customHeight="1" x14ac:dyDescent="0.25">
      <c r="A7" s="52"/>
      <c r="B7" s="51"/>
      <c r="C7" s="52"/>
      <c r="E7" s="23" t="s">
        <v>257</v>
      </c>
      <c r="F7" s="248">
        <v>65.760000000000005</v>
      </c>
      <c r="G7" s="248">
        <v>65.760000000000005</v>
      </c>
      <c r="H7" s="336">
        <v>0</v>
      </c>
      <c r="I7" s="49">
        <v>0</v>
      </c>
      <c r="J7" s="379">
        <v>0</v>
      </c>
      <c r="K7" s="365">
        <v>0</v>
      </c>
      <c r="L7" s="379">
        <v>231.53999999999996</v>
      </c>
      <c r="M7">
        <v>0</v>
      </c>
      <c r="N7" s="376" t="str">
        <f>HYPERLINK("http://finance.yahoo.com/q?s=" &amp; E7, "Link")</f>
        <v>Link</v>
      </c>
      <c r="O7" s="375">
        <v>1.78E-2</v>
      </c>
      <c r="Q7" s="462"/>
      <c r="R7" s="49"/>
    </row>
    <row r="8" spans="1:21" ht="21.95" customHeight="1" x14ac:dyDescent="0.25">
      <c r="A8" s="51"/>
      <c r="B8" s="51"/>
      <c r="C8" s="52"/>
      <c r="E8" s="23" t="s">
        <v>62</v>
      </c>
      <c r="F8" s="248">
        <v>310.67</v>
      </c>
      <c r="G8" s="248">
        <v>310.67</v>
      </c>
      <c r="H8" s="336">
        <v>0</v>
      </c>
      <c r="I8" s="49">
        <v>0</v>
      </c>
      <c r="J8" s="379">
        <v>0</v>
      </c>
      <c r="K8" s="365">
        <v>0</v>
      </c>
      <c r="L8" s="379">
        <v>1659.3600000000079</v>
      </c>
      <c r="M8">
        <v>0</v>
      </c>
      <c r="N8" s="376" t="str">
        <f>HYPERLINK("http://finance.yahoo.com/q?s=" &amp; E8, "Link")</f>
        <v>Link</v>
      </c>
      <c r="O8" s="375">
        <v>0</v>
      </c>
      <c r="Q8" s="462"/>
    </row>
    <row r="9" spans="1:21" ht="21.95" customHeight="1" x14ac:dyDescent="0.25">
      <c r="A9" s="51"/>
      <c r="B9" s="51"/>
      <c r="C9" s="52"/>
      <c r="E9" s="23" t="s">
        <v>52</v>
      </c>
      <c r="F9" s="248">
        <v>80.81</v>
      </c>
      <c r="G9" s="248">
        <v>79.02</v>
      </c>
      <c r="H9" s="336">
        <v>25</v>
      </c>
      <c r="I9" s="49">
        <v>1975.5</v>
      </c>
      <c r="J9" s="379">
        <v>44.75</v>
      </c>
      <c r="K9" s="365">
        <v>2.2652493039736855E-2</v>
      </c>
      <c r="L9" s="379">
        <v>535.69999999999891</v>
      </c>
      <c r="M9" s="30">
        <v>42639</v>
      </c>
      <c r="N9" s="376" t="str">
        <f>HYPERLINK("http://finance.yahoo.com/q?s=" &amp; E9, "Link")</f>
        <v>Link</v>
      </c>
      <c r="O9" s="375">
        <v>2.2499999999999999E-2</v>
      </c>
      <c r="Q9" s="152"/>
    </row>
    <row r="10" spans="1:21" ht="21.95" customHeight="1" x14ac:dyDescent="0.25">
      <c r="A10" s="51"/>
      <c r="B10" s="51"/>
      <c r="C10" s="52"/>
      <c r="E10" s="23" t="s">
        <v>254</v>
      </c>
      <c r="F10" s="248">
        <v>25.65</v>
      </c>
      <c r="G10" s="248">
        <v>22.104099999999999</v>
      </c>
      <c r="H10" s="336">
        <v>200</v>
      </c>
      <c r="I10" s="49">
        <v>4420.82</v>
      </c>
      <c r="J10" s="379">
        <v>709.18000000000029</v>
      </c>
      <c r="K10" s="365">
        <v>0.1604182029578223</v>
      </c>
      <c r="L10" s="379">
        <v>709.18000000000029</v>
      </c>
      <c r="M10">
        <v>200</v>
      </c>
      <c r="N10" s="376" t="str">
        <f>HYPERLINK("http://finance.yahoo.com/q?s=" &amp; E10, "Link")</f>
        <v>Link</v>
      </c>
      <c r="O10" s="375">
        <v>4.6300000000000001E-2</v>
      </c>
      <c r="Q10" s="49"/>
      <c r="R10" s="49"/>
      <c r="T10" s="363"/>
      <c r="U10" s="363"/>
    </row>
    <row r="11" spans="1:21" ht="21.95" customHeight="1" x14ac:dyDescent="0.25">
      <c r="A11" s="52"/>
      <c r="B11" s="52"/>
      <c r="C11" s="52"/>
      <c r="E11" s="23" t="s">
        <v>8</v>
      </c>
      <c r="F11" s="248">
        <v>65.44</v>
      </c>
      <c r="G11" s="248">
        <v>65.44</v>
      </c>
      <c r="H11" s="50">
        <v>0</v>
      </c>
      <c r="I11" s="49">
        <v>0</v>
      </c>
      <c r="J11" s="380">
        <v>0</v>
      </c>
      <c r="K11" s="138">
        <v>0</v>
      </c>
      <c r="L11" s="49">
        <v>121.94999999999982</v>
      </c>
      <c r="M11">
        <v>0</v>
      </c>
      <c r="N11" s="376" t="str">
        <f>HYPERLINK("http://finance.yahoo.com/q?s=" &amp; E11, "Link")</f>
        <v>Link</v>
      </c>
      <c r="O11" s="365">
        <v>1.7399999999999999E-2</v>
      </c>
    </row>
    <row r="12" spans="1:21" ht="21.95" customHeight="1" x14ac:dyDescent="0.25">
      <c r="A12" s="51"/>
      <c r="B12" s="51"/>
      <c r="C12" s="52"/>
      <c r="E12" s="23" t="s">
        <v>17</v>
      </c>
      <c r="F12" s="248">
        <v>12.72</v>
      </c>
      <c r="G12" s="248">
        <v>18.232784444444452</v>
      </c>
      <c r="H12" s="336">
        <v>4500</v>
      </c>
      <c r="I12" s="49">
        <v>82047.530000000028</v>
      </c>
      <c r="J12" s="379">
        <v>-24807.530000000028</v>
      </c>
      <c r="K12" s="365">
        <v>-0.3023555980295814</v>
      </c>
      <c r="L12" s="379">
        <v>-24807.530000000028</v>
      </c>
      <c r="M12">
        <v>1300</v>
      </c>
      <c r="N12" s="376" t="str">
        <f>HYPERLINK("http://finance.yahoo.com/q?s=" &amp; E12, "Link")</f>
        <v>Link</v>
      </c>
      <c r="O12" s="375">
        <v>0</v>
      </c>
      <c r="Q12" s="462"/>
      <c r="R12" s="49"/>
    </row>
    <row r="13" spans="1:21" ht="21.95" customHeight="1" x14ac:dyDescent="0.25">
      <c r="A13" s="51"/>
      <c r="B13" s="51"/>
      <c r="C13" s="52"/>
      <c r="E13" s="23" t="s">
        <v>32</v>
      </c>
      <c r="F13" s="248">
        <v>36.82</v>
      </c>
      <c r="G13" s="248">
        <v>36.834600000000009</v>
      </c>
      <c r="H13" s="336">
        <v>400</v>
      </c>
      <c r="I13" s="49">
        <v>14733.840000000004</v>
      </c>
      <c r="J13" s="379">
        <v>-5.8400000000037835</v>
      </c>
      <c r="K13" s="365">
        <v>-3.9636645979618625E-4</v>
      </c>
      <c r="L13" s="379">
        <v>199.1799999999962</v>
      </c>
      <c r="M13">
        <v>400</v>
      </c>
      <c r="N13" s="376" t="str">
        <f>HYPERLINK("http://finance.yahoo.com/q?s=" &amp; E13, "Link")</f>
        <v>Link</v>
      </c>
      <c r="O13" s="375">
        <v>2.18E-2</v>
      </c>
      <c r="Q13" s="152"/>
    </row>
    <row r="14" spans="1:21" ht="21.95" customHeight="1" x14ac:dyDescent="0.25">
      <c r="A14" s="52"/>
      <c r="B14" s="52"/>
      <c r="C14" s="52"/>
      <c r="E14" s="23" t="s">
        <v>591</v>
      </c>
      <c r="F14" s="248">
        <v>72</v>
      </c>
      <c r="G14" s="50">
        <v>72.08</v>
      </c>
      <c r="H14" s="336">
        <v>20</v>
      </c>
      <c r="I14" s="49">
        <v>1441.6</v>
      </c>
      <c r="J14" s="379">
        <v>-1.5999999999999091</v>
      </c>
      <c r="K14" s="365">
        <v>-1.1098779134294991E-3</v>
      </c>
      <c r="L14" s="379">
        <v>-1.5999999999999091</v>
      </c>
      <c r="M14" s="30">
        <v>42650</v>
      </c>
      <c r="N14" s="376" t="str">
        <f>HYPERLINK("http://finance.yahoo.com/q?s=" &amp; E14, "Link")</f>
        <v>Link</v>
      </c>
      <c r="O14" s="375">
        <v>1.3599999999999999E-2</v>
      </c>
      <c r="Q14" s="152"/>
      <c r="S14" s="49"/>
    </row>
    <row r="15" spans="1:21" ht="21.95" customHeight="1" x14ac:dyDescent="0.25">
      <c r="A15" s="51"/>
      <c r="B15" s="51"/>
      <c r="C15" s="52"/>
      <c r="E15" s="23" t="s">
        <v>63</v>
      </c>
      <c r="F15" s="248">
        <v>93.8</v>
      </c>
      <c r="G15" s="248">
        <v>93.531636363636366</v>
      </c>
      <c r="H15" s="336">
        <v>55</v>
      </c>
      <c r="I15" s="49">
        <v>5144.24</v>
      </c>
      <c r="J15" s="379">
        <v>14.760000000000218</v>
      </c>
      <c r="K15" s="365">
        <v>2.8692284963375944E-3</v>
      </c>
      <c r="L15" s="379">
        <v>14.760000000000218</v>
      </c>
      <c r="M15">
        <v>15</v>
      </c>
      <c r="N15" s="376" t="str">
        <f>HYPERLINK("http://finance.yahoo.com/q?s=" &amp; E15, "Link")</f>
        <v>Link</v>
      </c>
      <c r="O15" s="375">
        <v>1.4999999999999999E-2</v>
      </c>
      <c r="R15" s="49"/>
      <c r="S15" s="49"/>
    </row>
    <row r="16" spans="1:21" ht="21.95" customHeight="1" x14ac:dyDescent="0.25">
      <c r="A16" s="51"/>
      <c r="B16" s="51"/>
      <c r="C16" s="52"/>
      <c r="E16" s="23" t="s">
        <v>208</v>
      </c>
      <c r="F16" s="248">
        <v>12.67</v>
      </c>
      <c r="G16" s="248">
        <v>12.10632</v>
      </c>
      <c r="H16" s="336">
        <v>250</v>
      </c>
      <c r="I16" s="49">
        <v>3026.58</v>
      </c>
      <c r="J16" s="379">
        <v>140.92000000000007</v>
      </c>
      <c r="K16" s="365">
        <v>4.6560804604537112E-2</v>
      </c>
      <c r="L16" s="379">
        <v>140.92000000000007</v>
      </c>
      <c r="M16">
        <v>250</v>
      </c>
      <c r="N16" s="376" t="str">
        <f>HYPERLINK("http://finance.yahoo.com/q?s=" &amp; E16, "Link")</f>
        <v>Link</v>
      </c>
      <c r="O16" s="375">
        <v>4.8000000000000001E-2</v>
      </c>
      <c r="Q16" s="152"/>
      <c r="R16" s="49"/>
      <c r="S16" s="49"/>
    </row>
    <row r="17" spans="1:19" ht="21.95" customHeight="1" x14ac:dyDescent="0.25">
      <c r="A17" s="52"/>
      <c r="B17" s="159"/>
      <c r="C17" s="337"/>
      <c r="E17" s="23" t="s">
        <v>592</v>
      </c>
      <c r="F17" s="248">
        <v>24.42</v>
      </c>
      <c r="G17" s="248">
        <v>24.28</v>
      </c>
      <c r="H17" s="336">
        <v>100</v>
      </c>
      <c r="I17" s="49">
        <v>2428</v>
      </c>
      <c r="J17" s="379">
        <v>14</v>
      </c>
      <c r="K17" s="365">
        <v>5.7660626029654265E-3</v>
      </c>
      <c r="L17" s="379">
        <v>14</v>
      </c>
      <c r="M17" s="30">
        <v>42650</v>
      </c>
      <c r="N17" s="376" t="str">
        <f>HYPERLINK("http://finance.yahoo.com/q?s=" &amp; E17, "Link")</f>
        <v>Link</v>
      </c>
      <c r="O17" s="375">
        <v>4.6300000000000001E-2</v>
      </c>
      <c r="Q17" s="152"/>
      <c r="R17" s="49"/>
    </row>
    <row r="18" spans="1:19" ht="21.95" customHeight="1" x14ac:dyDescent="0.25">
      <c r="A18" s="51"/>
      <c r="B18" s="51"/>
      <c r="C18" s="52"/>
      <c r="E18" s="23" t="s">
        <v>9</v>
      </c>
      <c r="F18" s="248">
        <v>4.68</v>
      </c>
      <c r="G18" s="248">
        <v>4.68</v>
      </c>
      <c r="H18" s="336">
        <v>0</v>
      </c>
      <c r="I18" s="49">
        <v>0</v>
      </c>
      <c r="J18" s="379">
        <v>0</v>
      </c>
      <c r="K18" s="365">
        <v>0</v>
      </c>
      <c r="L18" s="379">
        <v>434.93000000000029</v>
      </c>
      <c r="M18">
        <v>0</v>
      </c>
      <c r="N18" s="376" t="str">
        <f>HYPERLINK("http://finance.yahoo.com/q?s=" &amp; E18, "Link")</f>
        <v>Link</v>
      </c>
      <c r="O18" s="375">
        <v>9.2100000000000001E-2</v>
      </c>
      <c r="R18" s="49"/>
    </row>
    <row r="19" spans="1:19" ht="21.95" customHeight="1" x14ac:dyDescent="0.25">
      <c r="A19" s="51"/>
      <c r="B19" s="52"/>
      <c r="C19" s="52"/>
      <c r="E19" s="23" t="s">
        <v>55</v>
      </c>
      <c r="F19" s="248">
        <v>77.88</v>
      </c>
      <c r="G19" s="248">
        <v>84.093399999999988</v>
      </c>
      <c r="H19" s="336">
        <v>200</v>
      </c>
      <c r="I19" s="49">
        <v>16818.679999999997</v>
      </c>
      <c r="J19" s="379">
        <v>-1242.6799999999967</v>
      </c>
      <c r="K19" s="365">
        <v>-7.3886892431510601E-2</v>
      </c>
      <c r="L19" s="379">
        <v>-1242.6799999999967</v>
      </c>
      <c r="M19">
        <v>150</v>
      </c>
      <c r="N19" s="376" t="str">
        <f>HYPERLINK("http://finance.yahoo.com/q?s=" &amp; E19, "Link")</f>
        <v>Link</v>
      </c>
      <c r="O19" s="375">
        <v>2.4500000000000001E-2</v>
      </c>
      <c r="R19" s="49"/>
    </row>
    <row r="20" spans="1:19" ht="21.95" customHeight="1" x14ac:dyDescent="0.25">
      <c r="A20" s="51"/>
      <c r="B20" s="51"/>
      <c r="C20" s="52"/>
      <c r="E20" s="23" t="s">
        <v>179</v>
      </c>
      <c r="F20" s="248">
        <v>70.900000000000006</v>
      </c>
      <c r="G20" s="248">
        <v>70.900000000000006</v>
      </c>
      <c r="H20" s="336">
        <v>0</v>
      </c>
      <c r="I20" s="49">
        <v>0</v>
      </c>
      <c r="J20" s="379">
        <v>0</v>
      </c>
      <c r="K20" s="365">
        <v>0</v>
      </c>
      <c r="L20" s="379">
        <v>49.949999999999818</v>
      </c>
      <c r="M20">
        <v>0</v>
      </c>
      <c r="N20" s="376" t="str">
        <f>HYPERLINK("http://finance.yahoo.com/q?s=" &amp; E20, "Link")</f>
        <v>Link</v>
      </c>
      <c r="O20" s="375">
        <v>2.7099999999999999E-2</v>
      </c>
    </row>
    <row r="21" spans="1:19" ht="21.95" customHeight="1" x14ac:dyDescent="0.25">
      <c r="A21" s="51"/>
      <c r="B21" s="51"/>
      <c r="C21" s="52"/>
      <c r="E21" s="23" t="s">
        <v>56</v>
      </c>
      <c r="F21" s="248">
        <v>32.119999999999997</v>
      </c>
      <c r="G21" s="248">
        <v>32.119999999999997</v>
      </c>
      <c r="H21" s="336">
        <v>0</v>
      </c>
      <c r="I21" s="49">
        <v>0</v>
      </c>
      <c r="J21" s="379">
        <v>0</v>
      </c>
      <c r="K21" s="365">
        <v>0</v>
      </c>
      <c r="L21" s="379">
        <v>36.819999999999709</v>
      </c>
      <c r="M21">
        <v>0</v>
      </c>
      <c r="N21" s="376" t="str">
        <f>HYPERLINK("http://finance.yahoo.com/q?s=" &amp; E21, "Link")</f>
        <v>Link</v>
      </c>
      <c r="O21" s="375">
        <v>4.7300000000000002E-2</v>
      </c>
      <c r="Q21" s="152"/>
      <c r="S21" s="49"/>
    </row>
    <row r="22" spans="1:19" ht="21.95" customHeight="1" x14ac:dyDescent="0.25">
      <c r="A22" s="61"/>
      <c r="B22" s="62"/>
      <c r="C22" s="61"/>
      <c r="E22" s="23" t="s">
        <v>22</v>
      </c>
      <c r="F22" s="248">
        <v>51.23</v>
      </c>
      <c r="G22" s="248">
        <v>51.23</v>
      </c>
      <c r="H22" s="336">
        <v>0</v>
      </c>
      <c r="I22" s="49">
        <v>0</v>
      </c>
      <c r="J22" s="379">
        <v>0</v>
      </c>
      <c r="K22" s="365">
        <v>0</v>
      </c>
      <c r="L22" s="379">
        <v>3178.8000000000466</v>
      </c>
      <c r="M22">
        <v>0</v>
      </c>
      <c r="N22" s="376" t="str">
        <f>HYPERLINK("http://finance.yahoo.com/q?s=" &amp; E22, "Link")</f>
        <v>Link</v>
      </c>
      <c r="O22" s="375">
        <v>1.8800000000000001E-2</v>
      </c>
      <c r="Q22" s="152"/>
      <c r="R22" s="49"/>
      <c r="S22" s="49"/>
    </row>
    <row r="23" spans="1:19" ht="21.95" customHeight="1" x14ac:dyDescent="0.25">
      <c r="A23" s="51"/>
      <c r="B23" s="51"/>
      <c r="C23" s="52"/>
      <c r="E23" s="23" t="s">
        <v>27</v>
      </c>
      <c r="F23" s="248">
        <v>36.57</v>
      </c>
      <c r="G23" s="248">
        <v>36.57</v>
      </c>
      <c r="H23" s="336">
        <v>0</v>
      </c>
      <c r="I23" s="49">
        <v>0</v>
      </c>
      <c r="J23" s="379">
        <v>0</v>
      </c>
      <c r="K23" s="365">
        <v>0</v>
      </c>
      <c r="L23" s="379">
        <v>1407.5400000000009</v>
      </c>
      <c r="M23">
        <v>0</v>
      </c>
      <c r="N23" s="376" t="str">
        <f>HYPERLINK("http://finance.yahoo.com/q?s=" &amp; E23, "Link")</f>
        <v>Link</v>
      </c>
      <c r="O23" s="375">
        <v>2.8799999999999999E-2</v>
      </c>
      <c r="Q23" s="152"/>
    </row>
    <row r="24" spans="1:19" ht="21.95" customHeight="1" x14ac:dyDescent="0.25">
      <c r="A24" s="51"/>
      <c r="B24" s="51"/>
      <c r="C24" s="52"/>
      <c r="E24" s="23" t="s">
        <v>180</v>
      </c>
      <c r="F24" s="248">
        <v>49.35</v>
      </c>
      <c r="G24" s="248">
        <v>49.35</v>
      </c>
      <c r="H24" s="336">
        <v>0</v>
      </c>
      <c r="I24" s="49">
        <v>0</v>
      </c>
      <c r="J24" s="379">
        <v>0</v>
      </c>
      <c r="K24" s="365">
        <v>0</v>
      </c>
      <c r="L24" s="379">
        <v>119.92000000000053</v>
      </c>
      <c r="M24">
        <v>0</v>
      </c>
      <c r="N24" s="376" t="str">
        <f>HYPERLINK("http://finance.yahoo.com/q?s=" &amp; E24, "Link")</f>
        <v>Link</v>
      </c>
      <c r="O24" s="375">
        <v>3.5799999999999998E-2</v>
      </c>
      <c r="Q24" s="152"/>
    </row>
    <row r="25" spans="1:19" ht="21.95" customHeight="1" x14ac:dyDescent="0.25">
      <c r="A25" s="52"/>
      <c r="B25" s="52"/>
      <c r="C25" s="52"/>
      <c r="E25" s="23" t="s">
        <v>15</v>
      </c>
      <c r="F25" s="248">
        <v>18.84</v>
      </c>
      <c r="G25" s="248">
        <v>18.84</v>
      </c>
      <c r="H25" s="336">
        <v>0</v>
      </c>
      <c r="I25" s="49">
        <v>0</v>
      </c>
      <c r="J25" s="379">
        <v>0</v>
      </c>
      <c r="K25" s="365">
        <v>0</v>
      </c>
      <c r="L25" s="379">
        <v>155.90000000000146</v>
      </c>
      <c r="M25">
        <v>0</v>
      </c>
      <c r="N25" s="376" t="str">
        <f>HYPERLINK("http://finance.yahoo.com/q?s=" &amp; E25, "Link")</f>
        <v>Link</v>
      </c>
      <c r="O25" s="375">
        <v>0</v>
      </c>
    </row>
    <row r="26" spans="1:19" ht="21.95" customHeight="1" x14ac:dyDescent="0.25">
      <c r="A26" s="51"/>
      <c r="B26" s="51"/>
      <c r="C26" s="52"/>
      <c r="E26" s="23" t="s">
        <v>24</v>
      </c>
      <c r="F26" s="248">
        <v>48.74</v>
      </c>
      <c r="G26" s="248">
        <v>48.74</v>
      </c>
      <c r="H26" s="336">
        <v>0</v>
      </c>
      <c r="I26" s="49">
        <v>0</v>
      </c>
      <c r="J26" s="379">
        <v>0</v>
      </c>
      <c r="K26" s="365">
        <v>0</v>
      </c>
      <c r="L26" s="379">
        <v>745.43999999999505</v>
      </c>
      <c r="M26">
        <v>0</v>
      </c>
      <c r="N26" s="376" t="str">
        <f>HYPERLINK("http://finance.yahoo.com/q?s=" &amp; E26, "Link")</f>
        <v>Link</v>
      </c>
      <c r="O26" s="375">
        <v>0</v>
      </c>
      <c r="Q26" s="152"/>
      <c r="S26" s="49"/>
    </row>
    <row r="27" spans="1:19" ht="21.95" customHeight="1" x14ac:dyDescent="0.25">
      <c r="A27" s="51"/>
      <c r="B27" s="51"/>
      <c r="C27" s="52"/>
      <c r="E27" s="23" t="s">
        <v>207</v>
      </c>
      <c r="F27" s="248">
        <v>32.67</v>
      </c>
      <c r="G27" s="248">
        <v>32.949880000000007</v>
      </c>
      <c r="H27" s="336">
        <v>500</v>
      </c>
      <c r="I27" s="49">
        <v>16474.940000000002</v>
      </c>
      <c r="J27" s="379">
        <v>-139.94000000000233</v>
      </c>
      <c r="K27" s="365">
        <v>-8.4941128768907699E-3</v>
      </c>
      <c r="L27" s="379">
        <v>-139.94000000000233</v>
      </c>
      <c r="M27">
        <v>300</v>
      </c>
      <c r="N27" s="376" t="str">
        <f>HYPERLINK("http://finance.yahoo.com/q?s=" &amp; E27, "Link")</f>
        <v>Link</v>
      </c>
      <c r="O27" s="375">
        <v>1.4800000000000001E-2</v>
      </c>
      <c r="Q27" s="49"/>
    </row>
    <row r="28" spans="1:19" ht="21.95" customHeight="1" x14ac:dyDescent="0.25">
      <c r="A28" s="51"/>
      <c r="B28" s="51"/>
      <c r="C28" s="52"/>
      <c r="E28" s="23" t="s">
        <v>36</v>
      </c>
      <c r="F28" s="248">
        <v>36.950000000000003</v>
      </c>
      <c r="G28" s="248">
        <v>38.025499999999994</v>
      </c>
      <c r="H28" s="336">
        <v>200</v>
      </c>
      <c r="I28" s="49">
        <v>7605.0999999999985</v>
      </c>
      <c r="J28" s="379">
        <v>-215.09999999999854</v>
      </c>
      <c r="K28" s="365">
        <v>-2.8283651760002925E-2</v>
      </c>
      <c r="L28" s="379">
        <v>-215.09999999999854</v>
      </c>
      <c r="M28">
        <v>170</v>
      </c>
      <c r="N28" s="376" t="str">
        <f>HYPERLINK("http://finance.yahoo.com/q?s=" &amp; E28, "Link")</f>
        <v>Link</v>
      </c>
      <c r="O28" s="375">
        <v>1.0800000000000001E-2</v>
      </c>
    </row>
    <row r="29" spans="1:19" ht="21.95" customHeight="1" x14ac:dyDescent="0.25">
      <c r="A29" s="51"/>
      <c r="B29" s="51"/>
      <c r="C29" s="51"/>
      <c r="E29" s="23" t="s">
        <v>258</v>
      </c>
      <c r="F29" s="248">
        <v>28.65</v>
      </c>
      <c r="G29" s="248">
        <v>28.65</v>
      </c>
      <c r="H29" s="336">
        <v>0</v>
      </c>
      <c r="I29" s="49">
        <v>0</v>
      </c>
      <c r="J29" s="379">
        <v>0</v>
      </c>
      <c r="K29" s="365">
        <v>0</v>
      </c>
      <c r="L29" s="379">
        <v>287.94000000000005</v>
      </c>
      <c r="M29">
        <v>0</v>
      </c>
      <c r="N29" s="376" t="str">
        <f>HYPERLINK("http://finance.yahoo.com/q?s=" &amp; E29, "Link")</f>
        <v>Link</v>
      </c>
      <c r="O29" s="375">
        <v>2.9000000000000001E-2</v>
      </c>
    </row>
    <row r="30" spans="1:19" ht="21.95" customHeight="1" x14ac:dyDescent="0.25">
      <c r="A30" s="61"/>
      <c r="B30" s="62"/>
      <c r="C30" s="61"/>
      <c r="E30" s="23" t="s">
        <v>50</v>
      </c>
      <c r="F30" s="248">
        <v>15.64</v>
      </c>
      <c r="G30" s="248">
        <v>16.528087913518966</v>
      </c>
      <c r="H30" s="336">
        <v>7678</v>
      </c>
      <c r="I30" s="49">
        <v>126902.65899999862</v>
      </c>
      <c r="J30" s="379">
        <v>-6818.7389999985899</v>
      </c>
      <c r="K30" s="365">
        <v>-5.3732041973988065E-2</v>
      </c>
      <c r="L30" s="379">
        <v>-6818.7389999985899</v>
      </c>
      <c r="M30">
        <v>2000</v>
      </c>
      <c r="N30" s="376" t="str">
        <f>HYPERLINK("http://finance.yahoo.com/q?s=" &amp; E30, "Link")</f>
        <v>Link</v>
      </c>
      <c r="O30" s="375">
        <v>1.29E-2</v>
      </c>
      <c r="R30" s="49"/>
    </row>
    <row r="31" spans="1:19" ht="21.95" customHeight="1" x14ac:dyDescent="0.25">
      <c r="A31" s="52"/>
      <c r="B31" s="52"/>
      <c r="C31" s="52"/>
      <c r="E31" s="23" t="s">
        <v>34</v>
      </c>
      <c r="F31" s="248">
        <v>17.010000000000002</v>
      </c>
      <c r="G31" s="248">
        <v>17.273911500000278</v>
      </c>
      <c r="H31" s="336">
        <v>2000</v>
      </c>
      <c r="I31" s="49">
        <v>34547.823000000557</v>
      </c>
      <c r="J31" s="379">
        <v>-527.82300000055693</v>
      </c>
      <c r="K31" s="365">
        <v>-1.5278039371700605E-2</v>
      </c>
      <c r="L31" s="379">
        <v>-527.82300000055693</v>
      </c>
      <c r="M31">
        <v>1000</v>
      </c>
      <c r="N31" s="376" t="str">
        <f>HYPERLINK("http://finance.yahoo.com/q?s=" &amp; E31, "Link")</f>
        <v>Link</v>
      </c>
      <c r="O31" s="375">
        <v>0</v>
      </c>
      <c r="R31" s="49"/>
    </row>
    <row r="32" spans="1:19" ht="21.95" customHeight="1" x14ac:dyDescent="0.25">
      <c r="A32" s="51"/>
      <c r="B32" s="51"/>
      <c r="C32" s="52"/>
      <c r="E32" s="23" t="s">
        <v>218</v>
      </c>
      <c r="F32" s="248">
        <v>40.4</v>
      </c>
      <c r="G32" s="248">
        <v>40.4</v>
      </c>
      <c r="H32" s="50">
        <v>0</v>
      </c>
      <c r="I32" s="49">
        <v>0</v>
      </c>
      <c r="J32" s="379">
        <v>0</v>
      </c>
      <c r="K32" s="365">
        <v>0</v>
      </c>
      <c r="L32" s="49">
        <v>439.77999999999975</v>
      </c>
      <c r="M32">
        <v>0</v>
      </c>
      <c r="N32" s="376" t="str">
        <f>HYPERLINK("http://finance.yahoo.com/q?s=" &amp; E32, "Link")</f>
        <v>Link</v>
      </c>
      <c r="O32" s="365">
        <v>0</v>
      </c>
    </row>
    <row r="33" spans="1:19" ht="21.95" customHeight="1" x14ac:dyDescent="0.25">
      <c r="A33" s="51"/>
      <c r="B33" s="52"/>
      <c r="C33" s="52"/>
      <c r="E33" s="23" t="s">
        <v>205</v>
      </c>
      <c r="F33" s="248">
        <v>57.41</v>
      </c>
      <c r="G33" s="248">
        <v>57.41</v>
      </c>
      <c r="H33" s="336">
        <v>0</v>
      </c>
      <c r="I33" s="49">
        <v>0</v>
      </c>
      <c r="J33" s="379">
        <v>0</v>
      </c>
      <c r="K33" s="365">
        <v>0</v>
      </c>
      <c r="L33" s="379">
        <v>281.96000000000095</v>
      </c>
      <c r="M33">
        <v>0</v>
      </c>
      <c r="N33" s="376" t="str">
        <f>HYPERLINK("http://finance.yahoo.com/q?s=" &amp; E33, "Link")</f>
        <v>Link</v>
      </c>
      <c r="O33" s="375">
        <v>1.09E-2</v>
      </c>
      <c r="Q33" s="152"/>
      <c r="S33" s="49"/>
    </row>
    <row r="34" spans="1:19" ht="21.95" customHeight="1" x14ac:dyDescent="0.25">
      <c r="A34" s="51"/>
      <c r="B34" s="51"/>
      <c r="C34" s="52"/>
      <c r="E34" s="23" t="s">
        <v>47</v>
      </c>
      <c r="F34" s="248">
        <v>95.15</v>
      </c>
      <c r="G34" s="248">
        <v>95.15</v>
      </c>
      <c r="H34" s="336">
        <v>0</v>
      </c>
      <c r="I34" s="49">
        <v>0</v>
      </c>
      <c r="J34" s="379">
        <v>0</v>
      </c>
      <c r="K34" s="365">
        <v>0</v>
      </c>
      <c r="L34" s="379">
        <v>-168.6200000000008</v>
      </c>
      <c r="M34">
        <v>0</v>
      </c>
      <c r="N34" s="376" t="str">
        <f>HYPERLINK("http://finance.yahoo.com/q?s=" &amp; E34, "Link")</f>
        <v>Link</v>
      </c>
      <c r="O34" s="375">
        <v>2.5100000000000001E-2</v>
      </c>
      <c r="R34" s="49"/>
    </row>
    <row r="35" spans="1:19" ht="21.95" customHeight="1" x14ac:dyDescent="0.25">
      <c r="A35" s="159"/>
      <c r="B35" s="51"/>
      <c r="C35" s="52"/>
      <c r="E35" s="23" t="s">
        <v>182</v>
      </c>
      <c r="F35" s="248">
        <v>54.04</v>
      </c>
      <c r="G35" s="248">
        <v>54.04</v>
      </c>
      <c r="H35" s="336">
        <v>0</v>
      </c>
      <c r="I35" s="49">
        <v>0</v>
      </c>
      <c r="J35" s="379">
        <v>0</v>
      </c>
      <c r="K35" s="365">
        <v>0</v>
      </c>
      <c r="L35" s="379">
        <v>75.019999999999982</v>
      </c>
      <c r="M35">
        <v>0</v>
      </c>
      <c r="N35" s="376" t="str">
        <f>HYPERLINK("http://finance.yahoo.com/q?s=" &amp; E35, "Link")</f>
        <v>Link</v>
      </c>
      <c r="O35" s="375">
        <v>1.4200000000000001E-2</v>
      </c>
      <c r="Q35" s="49"/>
      <c r="R35" s="49"/>
    </row>
    <row r="36" spans="1:19" ht="21.95" customHeight="1" x14ac:dyDescent="0.25">
      <c r="A36" s="51"/>
      <c r="B36" s="51"/>
      <c r="C36" s="52"/>
      <c r="E36" s="23" t="s">
        <v>23</v>
      </c>
      <c r="F36" s="248">
        <v>31.29</v>
      </c>
      <c r="G36" s="248">
        <v>31.18</v>
      </c>
      <c r="H36" s="336">
        <v>50</v>
      </c>
      <c r="I36" s="49">
        <v>1559</v>
      </c>
      <c r="J36" s="379">
        <v>5.5</v>
      </c>
      <c r="K36" s="365">
        <v>3.5279025016035736E-3</v>
      </c>
      <c r="L36" s="379">
        <v>5.5</v>
      </c>
      <c r="M36" s="30">
        <v>42650</v>
      </c>
      <c r="N36" s="376" t="str">
        <f>HYPERLINK("http://finance.yahoo.com/q?s=" &amp; E36, "Link")</f>
        <v>Link</v>
      </c>
      <c r="O36" s="375">
        <v>0</v>
      </c>
      <c r="Q36" s="49"/>
      <c r="S36" s="49"/>
    </row>
    <row r="37" spans="1:19" ht="21.95" customHeight="1" x14ac:dyDescent="0.25">
      <c r="A37" s="51"/>
      <c r="B37" s="51"/>
      <c r="C37" s="52"/>
      <c r="E37" s="23" t="s">
        <v>232</v>
      </c>
      <c r="F37" s="248">
        <v>81.099999999999994</v>
      </c>
      <c r="G37" s="248">
        <v>78.95</v>
      </c>
      <c r="H37" s="336">
        <v>25</v>
      </c>
      <c r="I37" s="49">
        <v>1973.75</v>
      </c>
      <c r="J37" s="379">
        <v>53.749999999999773</v>
      </c>
      <c r="K37" s="365">
        <v>2.7232425585813697E-2</v>
      </c>
      <c r="L37" s="379">
        <v>487.74000000000137</v>
      </c>
      <c r="M37" s="30">
        <v>42639</v>
      </c>
      <c r="N37" s="376" t="str">
        <f>HYPERLINK("http://finance.yahoo.com/q?s=" &amp; E37, "Link")</f>
        <v>Link</v>
      </c>
      <c r="O37" s="375">
        <v>1.2699999999999999E-2</v>
      </c>
    </row>
    <row r="38" spans="1:19" ht="21.95" customHeight="1" x14ac:dyDescent="0.25">
      <c r="A38" s="52"/>
      <c r="B38" s="159"/>
      <c r="C38" s="337"/>
      <c r="E38" s="23" t="s">
        <v>183</v>
      </c>
      <c r="F38" s="248">
        <v>219.0308</v>
      </c>
      <c r="G38" s="248">
        <v>219.0308</v>
      </c>
      <c r="H38" s="336">
        <v>0</v>
      </c>
      <c r="I38" s="49">
        <v>0</v>
      </c>
      <c r="J38" s="379">
        <v>0</v>
      </c>
      <c r="K38" s="365">
        <v>0</v>
      </c>
      <c r="L38" s="379">
        <v>160.82999999999993</v>
      </c>
      <c r="M38">
        <v>0</v>
      </c>
      <c r="N38" s="376" t="str">
        <f>HYPERLINK("http://finance.yahoo.com/q?s=" &amp; E38, "Link")</f>
        <v>Link</v>
      </c>
      <c r="O38" s="375">
        <v>0</v>
      </c>
      <c r="P38" s="49"/>
      <c r="R38" s="49"/>
    </row>
    <row r="39" spans="1:19" ht="21.95" customHeight="1" x14ac:dyDescent="0.25">
      <c r="A39" s="51"/>
      <c r="B39" s="51"/>
      <c r="C39" s="52"/>
      <c r="E39" s="23" t="s">
        <v>178</v>
      </c>
      <c r="F39" s="248">
        <v>73.010000000000005</v>
      </c>
      <c r="G39" s="248">
        <v>73.010000000000005</v>
      </c>
      <c r="H39" s="336">
        <v>0</v>
      </c>
      <c r="I39" s="49">
        <v>0</v>
      </c>
      <c r="J39" s="379">
        <v>0</v>
      </c>
      <c r="K39" s="365">
        <v>0</v>
      </c>
      <c r="L39" s="379">
        <v>1368.8999999999978</v>
      </c>
      <c r="M39">
        <v>0</v>
      </c>
      <c r="N39" s="376" t="str">
        <f>HYPERLINK("http://finance.yahoo.com/q?s=" &amp; E39, "Link")</f>
        <v>Link</v>
      </c>
      <c r="O39" s="375">
        <v>1.49E-2</v>
      </c>
      <c r="Q39" s="49"/>
      <c r="R39" s="49"/>
      <c r="S39" s="49"/>
    </row>
    <row r="40" spans="1:19" ht="21.95" customHeight="1" x14ac:dyDescent="0.25">
      <c r="A40" s="51"/>
      <c r="B40" s="51"/>
      <c r="C40" s="52"/>
      <c r="E40" s="23" t="s">
        <v>39</v>
      </c>
      <c r="F40" s="248">
        <v>33.51</v>
      </c>
      <c r="G40" s="248">
        <v>33.51</v>
      </c>
      <c r="H40" s="336">
        <v>0</v>
      </c>
      <c r="I40" s="49">
        <v>0</v>
      </c>
      <c r="J40" s="379">
        <v>0</v>
      </c>
      <c r="K40" s="365">
        <v>0</v>
      </c>
      <c r="L40" s="379">
        <v>529.88000000000284</v>
      </c>
      <c r="M40">
        <v>0</v>
      </c>
      <c r="N40" s="376" t="str">
        <f>HYPERLINK("http://finance.yahoo.com/q?s=" &amp; E40, "Link")</f>
        <v>Link</v>
      </c>
      <c r="O40" s="375">
        <v>3.09E-2</v>
      </c>
      <c r="Q40" s="152"/>
    </row>
    <row r="41" spans="1:19" ht="21.95" customHeight="1" x14ac:dyDescent="0.25">
      <c r="A41" s="51"/>
      <c r="B41" s="51"/>
      <c r="C41" s="52"/>
      <c r="E41" s="23" t="s">
        <v>0</v>
      </c>
      <c r="F41" s="248">
        <v>151</v>
      </c>
      <c r="G41" s="248">
        <v>151</v>
      </c>
      <c r="H41" s="336">
        <v>0</v>
      </c>
      <c r="I41" s="49">
        <v>0</v>
      </c>
      <c r="J41" s="379">
        <v>0</v>
      </c>
      <c r="K41" s="365">
        <v>0</v>
      </c>
      <c r="L41" s="379">
        <v>171.47000000000003</v>
      </c>
      <c r="M41">
        <v>0</v>
      </c>
      <c r="N41" s="376" t="str">
        <f>HYPERLINK("http://finance.yahoo.com/q?s=" &amp; E41, "Link")</f>
        <v>Link</v>
      </c>
      <c r="O41" s="375">
        <v>4.0000000000000001E-3</v>
      </c>
      <c r="Q41" s="152"/>
    </row>
    <row r="42" spans="1:19" ht="21.95" customHeight="1" x14ac:dyDescent="0.25">
      <c r="A42" s="51"/>
      <c r="B42" s="51"/>
      <c r="C42" s="52"/>
      <c r="E42" s="23" t="s">
        <v>13</v>
      </c>
      <c r="F42" s="248">
        <v>51.14</v>
      </c>
      <c r="G42" s="248">
        <v>51.14</v>
      </c>
      <c r="H42" s="336">
        <v>0</v>
      </c>
      <c r="I42" s="49">
        <v>0</v>
      </c>
      <c r="J42" s="379">
        <v>0</v>
      </c>
      <c r="K42" s="365">
        <v>0</v>
      </c>
      <c r="L42" s="379">
        <v>1461.5600000000013</v>
      </c>
      <c r="M42">
        <v>0</v>
      </c>
      <c r="N42" s="376" t="str">
        <f>HYPERLINK("http://finance.yahoo.com/q?s=" &amp; E42, "Link")</f>
        <v>Link</v>
      </c>
      <c r="O42" s="375">
        <v>0</v>
      </c>
      <c r="R42" s="49"/>
    </row>
    <row r="43" spans="1:19" ht="21.95" customHeight="1" x14ac:dyDescent="0.25">
      <c r="A43" s="51"/>
      <c r="B43" s="52"/>
      <c r="C43" s="52"/>
      <c r="E43" s="23" t="s">
        <v>51</v>
      </c>
      <c r="F43" s="248">
        <v>135.97</v>
      </c>
      <c r="G43" s="248">
        <v>135.97</v>
      </c>
      <c r="H43" s="50">
        <v>0</v>
      </c>
      <c r="I43" s="49">
        <v>0</v>
      </c>
      <c r="J43" s="379">
        <v>0</v>
      </c>
      <c r="K43" s="365">
        <v>0</v>
      </c>
      <c r="L43" s="49">
        <v>176.70000000000073</v>
      </c>
      <c r="M43">
        <v>0</v>
      </c>
      <c r="N43" s="376" t="str">
        <f>HYPERLINK("http://finance.yahoo.com/q?s=" &amp; E43, "Link")</f>
        <v>Link</v>
      </c>
      <c r="O43" s="365">
        <v>1.84E-2</v>
      </c>
      <c r="Q43" s="152"/>
      <c r="R43" s="49"/>
    </row>
    <row r="44" spans="1:19" ht="21.95" customHeight="1" x14ac:dyDescent="0.25">
      <c r="A44" s="52"/>
      <c r="B44" s="52"/>
      <c r="C44" s="52"/>
      <c r="E44" s="23" t="s">
        <v>42</v>
      </c>
      <c r="F44" s="248">
        <v>95.97</v>
      </c>
      <c r="G44" s="248">
        <v>95.97</v>
      </c>
      <c r="H44" s="50">
        <v>0</v>
      </c>
      <c r="I44" s="49">
        <v>0</v>
      </c>
      <c r="J44" s="379">
        <v>0</v>
      </c>
      <c r="K44" s="365">
        <v>0</v>
      </c>
      <c r="L44" s="49">
        <v>128.08999999999833</v>
      </c>
      <c r="M44">
        <v>0</v>
      </c>
      <c r="N44" s="376" t="str">
        <f>HYPERLINK("http://finance.yahoo.com/q?s=" &amp; E44, "Link")</f>
        <v>Link</v>
      </c>
      <c r="O44" s="365">
        <v>2.5100000000000001E-2</v>
      </c>
      <c r="R44" s="49"/>
    </row>
    <row r="45" spans="1:19" ht="21.95" customHeight="1" x14ac:dyDescent="0.25">
      <c r="A45" s="52"/>
      <c r="B45" s="52"/>
      <c r="C45" s="52"/>
      <c r="E45" s="23" t="s">
        <v>54</v>
      </c>
      <c r="F45" s="248">
        <v>106.01</v>
      </c>
      <c r="G45" s="248">
        <v>106.01</v>
      </c>
      <c r="H45" s="336">
        <v>0</v>
      </c>
      <c r="I45" s="49">
        <v>0</v>
      </c>
      <c r="J45" s="379">
        <v>0</v>
      </c>
      <c r="K45" s="365">
        <v>0</v>
      </c>
      <c r="L45" s="379">
        <v>114.84999999999991</v>
      </c>
      <c r="M45">
        <v>0</v>
      </c>
      <c r="N45" s="376" t="str">
        <f>HYPERLINK("http://finance.yahoo.com/q?s=" &amp; E45, "Link")</f>
        <v>Link</v>
      </c>
      <c r="O45" s="375">
        <v>2.47E-2</v>
      </c>
      <c r="Q45" s="49"/>
      <c r="S45" s="49"/>
    </row>
    <row r="46" spans="1:19" ht="21.95" customHeight="1" x14ac:dyDescent="0.25">
      <c r="A46" s="159"/>
      <c r="B46" s="51"/>
      <c r="C46" s="52"/>
      <c r="E46" s="23" t="s">
        <v>255</v>
      </c>
      <c r="F46" s="248">
        <v>49.95</v>
      </c>
      <c r="G46" s="248">
        <v>49.95</v>
      </c>
      <c r="H46" s="336">
        <v>0</v>
      </c>
      <c r="I46" s="49">
        <v>0</v>
      </c>
      <c r="J46" s="379">
        <v>0</v>
      </c>
      <c r="K46" s="365">
        <v>0</v>
      </c>
      <c r="L46" s="379">
        <v>257.64999999999964</v>
      </c>
      <c r="M46">
        <v>0</v>
      </c>
      <c r="N46" s="376" t="str">
        <f>HYPERLINK("http://finance.yahoo.com/q?s=" &amp; E46, "Link")</f>
        <v>Link</v>
      </c>
      <c r="O46" s="375">
        <v>0</v>
      </c>
    </row>
    <row r="47" spans="1:19" ht="21.95" customHeight="1" x14ac:dyDescent="0.25">
      <c r="A47" s="52"/>
      <c r="B47" s="52"/>
      <c r="C47" s="52"/>
      <c r="E47" s="23" t="s">
        <v>181</v>
      </c>
      <c r="F47" s="248">
        <v>49.99</v>
      </c>
      <c r="G47" s="248">
        <v>49.99</v>
      </c>
      <c r="H47" s="336">
        <v>0</v>
      </c>
      <c r="I47" s="49">
        <v>0</v>
      </c>
      <c r="J47" s="379">
        <v>0</v>
      </c>
      <c r="K47" s="365">
        <v>0</v>
      </c>
      <c r="L47" s="379">
        <v>336.41000000000531</v>
      </c>
      <c r="M47">
        <v>0</v>
      </c>
      <c r="N47" s="376" t="str">
        <f>HYPERLINK("http://finance.yahoo.com/q?s=" &amp; E47, "Link")</f>
        <v>Link</v>
      </c>
      <c r="O47" s="375">
        <v>3.0099999999999998E-2</v>
      </c>
      <c r="Q47" s="49"/>
      <c r="R47" s="49"/>
    </row>
    <row r="48" spans="1:19" ht="21.95" customHeight="1" x14ac:dyDescent="0.25">
      <c r="A48" s="51"/>
      <c r="B48" s="52"/>
      <c r="C48" s="52"/>
      <c r="E48" s="23" t="s">
        <v>53</v>
      </c>
      <c r="F48" s="248">
        <v>62.9</v>
      </c>
      <c r="G48" s="248">
        <v>62.9</v>
      </c>
      <c r="H48" s="336">
        <v>0</v>
      </c>
      <c r="I48" s="49">
        <v>0</v>
      </c>
      <c r="J48" s="379">
        <v>0</v>
      </c>
      <c r="K48" s="365">
        <v>0</v>
      </c>
      <c r="L48" s="379">
        <v>33.940000000000055</v>
      </c>
      <c r="M48">
        <v>0</v>
      </c>
      <c r="N48" s="376" t="str">
        <f>HYPERLINK("http://finance.yahoo.com/q?s=" &amp; E48, "Link")</f>
        <v>Link</v>
      </c>
      <c r="O48" s="375">
        <v>7.0000000000000001E-3</v>
      </c>
      <c r="Q48" s="152"/>
    </row>
    <row r="49" spans="1:20" ht="21.95" customHeight="1" x14ac:dyDescent="0.25">
      <c r="A49" s="52"/>
      <c r="B49" s="52"/>
      <c r="C49" s="52"/>
      <c r="E49" s="23"/>
      <c r="H49" s="336"/>
      <c r="J49" s="379"/>
      <c r="K49" s="365"/>
      <c r="L49" s="379"/>
      <c r="N49" s="376"/>
      <c r="O49" s="375"/>
      <c r="Q49" s="49"/>
      <c r="T49" s="49"/>
    </row>
    <row r="50" spans="1:20" ht="21.95" customHeight="1" x14ac:dyDescent="0.25">
      <c r="A50" s="51"/>
      <c r="B50" s="51"/>
      <c r="C50" s="52"/>
      <c r="E50" s="23"/>
      <c r="H50" s="336"/>
      <c r="J50" s="379"/>
      <c r="K50" s="365"/>
      <c r="L50" s="379"/>
      <c r="N50" s="376"/>
      <c r="O50" s="375"/>
      <c r="Q50" s="152"/>
      <c r="S50" s="49"/>
    </row>
  </sheetData>
  <sortState ref="A2:U50">
    <sortCondition ref="E1"/>
  </sortState>
  <dataConsolidate/>
  <conditionalFormatting sqref="O1:O1048576">
    <cfRule type="expression" dxfId="18" priority="50">
      <formula>$O1=0</formula>
    </cfRule>
    <cfRule type="dataBar" priority="4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8">
    <cfRule type="expression" dxfId="17" priority="6">
      <formula>$H2=0</formula>
    </cfRule>
  </conditionalFormatting>
  <conditionalFormatting sqref="J2:K200">
    <cfRule type="expression" dxfId="16" priority="7">
      <formula>$J2=0</formula>
    </cfRule>
  </conditionalFormatting>
  <conditionalFormatting sqref="L1:L1048576">
    <cfRule type="expression" dxfId="15" priority="5">
      <formula>$L2=0</formula>
    </cfRule>
  </conditionalFormatting>
  <conditionalFormatting sqref="M1">
    <cfRule type="expression" dxfId="14" priority="1">
      <formula>$L2=0</formula>
    </cfRule>
  </conditionalFormatting>
  <conditionalFormatting sqref="L2:L48">
    <cfRule type="expression" dxfId="13" priority="3">
      <formula>$L2&lt;0</formula>
    </cfRule>
    <cfRule type="expression" dxfId="12" priority="4">
      <formula>$L2&gt;0</formula>
    </cfRule>
  </conditionalFormatting>
  <conditionalFormatting sqref="J2:K48">
    <cfRule type="expression" dxfId="11" priority="48">
      <formula>$J2&lt;0</formula>
    </cfRule>
    <cfRule type="expression" dxfId="10" priority="49">
      <formula>$J2&gt;0</formula>
    </cfRule>
  </conditionalFormatting>
  <hyperlinks>
    <hyperlink ref="E8" location="BIIB!A1" display="BIIB"/>
    <hyperlink ref="E32" location="MYL!A1" display="MYL"/>
    <hyperlink ref="E37" location="SIG!A1" display="SIG"/>
    <hyperlink ref="E3" location="AAPL!A1" display="AAPL"/>
    <hyperlink ref="E7" location="AXP!A1" display="AXP"/>
    <hyperlink ref="E14" location="DG!A1" display="DG"/>
    <hyperlink ref="E36" location="PINC!A1" display="PINC"/>
    <hyperlink ref="E17" location="FOXA!A1" display="FOXA"/>
    <hyperlink ref="E10" location="CF!A1" display="CF"/>
    <hyperlink ref="E28" location="LUV!A1" display="LUV"/>
    <hyperlink ref="E4" location="AKAM!A1" display="AKAM"/>
    <hyperlink ref="E30" location="MRO!A1" display="MRO"/>
    <hyperlink ref="E27" location="KR!A1" display="KR"/>
    <hyperlink ref="E16" location="F!A1" display="F"/>
    <hyperlink ref="E12" location="CPN!A1" display="CPN"/>
    <hyperlink ref="E33" location="NKE!A1" display="NKE"/>
    <hyperlink ref="E29" location="MOS!A1" display="MOS"/>
    <hyperlink ref="E46" location="VGK!A1" display="VGK"/>
    <hyperlink ref="E31" location="MU!A1" display="MU"/>
    <hyperlink ref="E24" location="IP!A1" display="IP"/>
    <hyperlink ref="E23" location="INTC!A1" display="INTC"/>
    <hyperlink ref="E22" location="HES!A1" display="HES"/>
    <hyperlink ref="E44" location="UNP!A1" display="UNP"/>
    <hyperlink ref="E38" location="SPY!A1" display="SPY"/>
    <hyperlink ref="E39" location="SWKS!A1" display="SWKS"/>
    <hyperlink ref="E11" location="CNI!A1" display="CNI"/>
    <hyperlink ref="E47" location="WFC!A1" display="WFC"/>
    <hyperlink ref="E2" location="AA!A1" display="AA"/>
    <hyperlink ref="E25" location="KATE!A1" display="KATE"/>
    <hyperlink ref="E35" location="NWL!A1" display="NWL"/>
    <hyperlink ref="E26" location="KORS!A1" display="KORS"/>
    <hyperlink ref="E5" location="ALL!A1" display="ALL"/>
    <hyperlink ref="E34" location="NSC!A1" display="NSC"/>
    <hyperlink ref="E6" location="AVGO!A1" display="AVGO"/>
    <hyperlink ref="E42" location="UAL!A1" display="UAL"/>
    <hyperlink ref="E9" location="CAH!A1" display="CAH"/>
    <hyperlink ref="E13" location="DAL!A1" display="DAL"/>
    <hyperlink ref="E15" location="DIS!A1" display="DIS"/>
    <hyperlink ref="E18" location="FTR!A1" display="FTR"/>
    <hyperlink ref="E19" location="GILD!A1" display="GILD"/>
    <hyperlink ref="E48" location="WWD!A1" display="WWD"/>
    <hyperlink ref="E20" location="GIS!A1" display="GIS"/>
    <hyperlink ref="E21" location="GM!A1" display="GM"/>
    <hyperlink ref="E41" location="TMO!A1" display="TMO"/>
    <hyperlink ref="E40" location="TKR!A1" display="TKR"/>
    <hyperlink ref="E45" location="UTX!A1" display="UTX"/>
    <hyperlink ref="E43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42615</v>
      </c>
      <c r="X2" s="10">
        <v>311.83</v>
      </c>
      <c r="Y2" s="10">
        <v>318.88</v>
      </c>
      <c r="Z2" s="10">
        <v>308.66000000000003</v>
      </c>
      <c r="AA2" s="10">
        <v>313.58999999999997</v>
      </c>
      <c r="AB2" s="95">
        <v>2230400</v>
      </c>
      <c r="AC2" s="10">
        <v>313.58999999999997</v>
      </c>
      <c r="AD2" s="2">
        <f>Y2-Z2</f>
        <v>10.21999999999997</v>
      </c>
      <c r="AE2" s="138">
        <f>AC2/AC3-1</f>
        <v>2.4703460445054448E-2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310.67</v>
      </c>
      <c r="W3" s="133">
        <v>42614</v>
      </c>
      <c r="X3" s="10">
        <v>307.95999999999998</v>
      </c>
      <c r="Y3" s="10">
        <v>309.25</v>
      </c>
      <c r="Z3" s="10">
        <v>305.02</v>
      </c>
      <c r="AA3" s="10">
        <v>306.02999999999997</v>
      </c>
      <c r="AB3" s="95">
        <v>1053900</v>
      </c>
      <c r="AC3" s="10">
        <v>306.02999999999997</v>
      </c>
      <c r="AD3" s="2">
        <f t="shared" ref="AD3:AD66" si="0">Y3-Z3</f>
        <v>4.2300000000000182</v>
      </c>
      <c r="AE3" s="138">
        <f t="shared" ref="AE3:AE66" si="1">AC3/AC4-1</f>
        <v>1.3087720446289808E-3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310.67</v>
      </c>
      <c r="T4" s="1"/>
      <c r="W4" s="133">
        <v>42613</v>
      </c>
      <c r="X4" s="10">
        <v>307.68</v>
      </c>
      <c r="Y4" s="10">
        <v>308.68</v>
      </c>
      <c r="Z4" s="10">
        <v>304.22000000000003</v>
      </c>
      <c r="AA4" s="10">
        <v>305.63</v>
      </c>
      <c r="AB4" s="95">
        <v>1041700</v>
      </c>
      <c r="AC4" s="10">
        <v>305.63</v>
      </c>
      <c r="AD4" s="2">
        <f t="shared" si="0"/>
        <v>4.4599999999999795</v>
      </c>
      <c r="AE4" s="138">
        <f t="shared" si="1"/>
        <v>-7.2435522640161842E-3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42612</v>
      </c>
      <c r="X5" s="10">
        <v>305.24</v>
      </c>
      <c r="Y5" s="10">
        <v>309</v>
      </c>
      <c r="Z5" s="10">
        <v>305</v>
      </c>
      <c r="AA5" s="10">
        <v>307.86</v>
      </c>
      <c r="AB5" s="95">
        <v>1069700</v>
      </c>
      <c r="AC5" s="10">
        <v>307.86</v>
      </c>
      <c r="AD5" s="2">
        <f t="shared" si="0"/>
        <v>4</v>
      </c>
      <c r="AE5" s="138">
        <f t="shared" si="1"/>
        <v>5.6511939372163589E-3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42611</v>
      </c>
      <c r="X6" s="10">
        <v>307.87</v>
      </c>
      <c r="Y6" s="10">
        <v>309.14</v>
      </c>
      <c r="Z6" s="10">
        <v>304.79000000000002</v>
      </c>
      <c r="AA6" s="10">
        <v>306.13</v>
      </c>
      <c r="AB6" s="95">
        <v>1036400</v>
      </c>
      <c r="AC6" s="10">
        <v>306.13</v>
      </c>
      <c r="AD6" s="2">
        <f t="shared" si="0"/>
        <v>4.3499999999999659</v>
      </c>
      <c r="AE6" s="138">
        <f t="shared" si="1"/>
        <v>-6.6197228802284958E-3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Q7" s="2">
        <f>Q10+Q8</f>
        <v>1659.3600000000079</v>
      </c>
      <c r="R7">
        <v>0</v>
      </c>
      <c r="W7" s="133">
        <v>42608</v>
      </c>
      <c r="X7" s="10">
        <v>307.20999999999998</v>
      </c>
      <c r="Y7" s="10">
        <v>310.74</v>
      </c>
      <c r="Z7" s="10">
        <v>304.56</v>
      </c>
      <c r="AA7" s="10">
        <v>308.17</v>
      </c>
      <c r="AB7" s="95">
        <v>1112700</v>
      </c>
      <c r="AC7" s="10">
        <v>308.17</v>
      </c>
      <c r="AD7" s="2">
        <f t="shared" si="0"/>
        <v>6.1800000000000068</v>
      </c>
      <c r="AE7" s="138">
        <f t="shared" si="1"/>
        <v>4.3017761121069142E-3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42607</v>
      </c>
      <c r="X8" s="10">
        <v>309.02999999999997</v>
      </c>
      <c r="Y8" s="10">
        <v>311.97000000000003</v>
      </c>
      <c r="Z8" s="10">
        <v>301.02</v>
      </c>
      <c r="AA8" s="10">
        <v>306.85000000000002</v>
      </c>
      <c r="AB8" s="95">
        <v>1663100</v>
      </c>
      <c r="AC8" s="10">
        <v>306.85000000000002</v>
      </c>
      <c r="AD8" s="2">
        <f t="shared" si="0"/>
        <v>10.950000000000045</v>
      </c>
      <c r="AE8" s="138">
        <f t="shared" si="1"/>
        <v>-8.0173277729285175E-3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224</v>
      </c>
      <c r="Q9" s="138">
        <f>IF(Q2=0, 0, Q8/Q6)</f>
        <v>0</v>
      </c>
      <c r="T9" s="158"/>
      <c r="W9" s="133">
        <v>42606</v>
      </c>
      <c r="X9" s="10">
        <v>318.18</v>
      </c>
      <c r="Y9" s="10">
        <v>321.74</v>
      </c>
      <c r="Z9" s="10">
        <v>306.73</v>
      </c>
      <c r="AA9" s="10">
        <v>309.33</v>
      </c>
      <c r="AB9" s="95">
        <v>1643000</v>
      </c>
      <c r="AC9" s="10">
        <v>309.33</v>
      </c>
      <c r="AD9" s="2">
        <f t="shared" si="0"/>
        <v>15.009999999999991</v>
      </c>
      <c r="AE9" s="138">
        <f t="shared" si="1"/>
        <v>-2.7783889115881588E-2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223</v>
      </c>
      <c r="P10" s="34"/>
      <c r="Q10" s="2">
        <f>M39</f>
        <v>1659.3600000000079</v>
      </c>
      <c r="W10" s="133">
        <v>42605</v>
      </c>
      <c r="X10" s="10">
        <v>316.81</v>
      </c>
      <c r="Y10" s="10">
        <v>322.99</v>
      </c>
      <c r="Z10" s="10">
        <v>315.27999999999997</v>
      </c>
      <c r="AA10" s="10">
        <v>318.17</v>
      </c>
      <c r="AB10" s="95">
        <v>1429000</v>
      </c>
      <c r="AC10" s="10">
        <v>318.17</v>
      </c>
      <c r="AD10" s="2">
        <f t="shared" si="0"/>
        <v>7.7100000000000364</v>
      </c>
      <c r="AE10" s="138">
        <f t="shared" si="1"/>
        <v>4.2927937880750111E-3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42604</v>
      </c>
      <c r="X11" s="10">
        <v>316.14999999999998</v>
      </c>
      <c r="Y11" s="10">
        <v>320.82</v>
      </c>
      <c r="Z11" s="10">
        <v>315.13</v>
      </c>
      <c r="AA11" s="10">
        <v>316.81</v>
      </c>
      <c r="AB11" s="95">
        <v>1317300</v>
      </c>
      <c r="AC11" s="10">
        <v>316.81</v>
      </c>
      <c r="AD11" s="2">
        <f t="shared" si="0"/>
        <v>5.6899999999999977</v>
      </c>
      <c r="AE11" s="138">
        <f t="shared" si="1"/>
        <v>0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42601</v>
      </c>
      <c r="X12" s="10">
        <v>313.69</v>
      </c>
      <c r="Y12" s="10">
        <v>319.89</v>
      </c>
      <c r="Z12" s="10">
        <v>312.39</v>
      </c>
      <c r="AA12" s="10">
        <v>316.81</v>
      </c>
      <c r="AB12" s="95">
        <v>1392600</v>
      </c>
      <c r="AC12" s="10">
        <v>316.81</v>
      </c>
      <c r="AD12" s="2">
        <f t="shared" si="0"/>
        <v>7.5</v>
      </c>
      <c r="AE12" s="138">
        <f t="shared" si="1"/>
        <v>1.094517837768838E-2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42600</v>
      </c>
      <c r="X13" s="10">
        <v>313.57</v>
      </c>
      <c r="Y13" s="10">
        <v>313.76</v>
      </c>
      <c r="Z13" s="10">
        <v>312</v>
      </c>
      <c r="AA13" s="10">
        <v>313.38</v>
      </c>
      <c r="AB13" s="95">
        <v>587300</v>
      </c>
      <c r="AC13" s="10">
        <v>313.38</v>
      </c>
      <c r="AD13" s="2">
        <f t="shared" si="0"/>
        <v>1.7599999999999909</v>
      </c>
      <c r="AE13" s="138">
        <f t="shared" si="1"/>
        <v>-1.4020776241157051E-3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42599</v>
      </c>
      <c r="X14" s="10">
        <v>314.17</v>
      </c>
      <c r="Y14" s="10">
        <v>314.70999999999998</v>
      </c>
      <c r="Z14" s="10">
        <v>311.29000000000002</v>
      </c>
      <c r="AA14" s="10">
        <v>313.82</v>
      </c>
      <c r="AB14" s="95">
        <v>852600</v>
      </c>
      <c r="AC14" s="10">
        <v>313.82</v>
      </c>
      <c r="AD14" s="2">
        <f t="shared" si="0"/>
        <v>3.4199999999999591</v>
      </c>
      <c r="AE14" s="138">
        <f t="shared" si="1"/>
        <v>1.2762427413692823E-3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42598</v>
      </c>
      <c r="X15" s="10">
        <v>313.27</v>
      </c>
      <c r="Y15" s="10">
        <v>316.67</v>
      </c>
      <c r="Z15" s="10">
        <v>312.64</v>
      </c>
      <c r="AA15" s="10">
        <v>313.42</v>
      </c>
      <c r="AB15" s="95">
        <v>938500</v>
      </c>
      <c r="AC15" s="10">
        <v>313.42</v>
      </c>
      <c r="AD15" s="2">
        <f t="shared" si="0"/>
        <v>4.0300000000000296</v>
      </c>
      <c r="AE15" s="138">
        <f t="shared" si="1"/>
        <v>9.5727368454756601E-5</v>
      </c>
    </row>
    <row r="16" spans="1:40" x14ac:dyDescent="0.25">
      <c r="G16" s="1"/>
      <c r="W16" s="133">
        <v>42597</v>
      </c>
      <c r="X16" s="10">
        <v>313.39999999999998</v>
      </c>
      <c r="Y16" s="10">
        <v>315.08</v>
      </c>
      <c r="Z16" s="10">
        <v>310.01</v>
      </c>
      <c r="AA16" s="10">
        <v>313.39</v>
      </c>
      <c r="AB16" s="95">
        <v>923300</v>
      </c>
      <c r="AC16" s="10">
        <v>313.39</v>
      </c>
      <c r="AD16" s="2">
        <f t="shared" si="0"/>
        <v>5.0699999999999932</v>
      </c>
      <c r="AE16" s="138">
        <f t="shared" si="1"/>
        <v>-1.7519271198318531E-3</v>
      </c>
    </row>
    <row r="17" spans="1:31" x14ac:dyDescent="0.25">
      <c r="G17" s="1"/>
      <c r="W17" s="133">
        <v>42594</v>
      </c>
      <c r="X17" s="10">
        <v>311.99</v>
      </c>
      <c r="Y17" s="10">
        <v>315.23</v>
      </c>
      <c r="Z17" s="10">
        <v>311.64999999999998</v>
      </c>
      <c r="AA17" s="10">
        <v>313.94</v>
      </c>
      <c r="AB17" s="95">
        <v>989200</v>
      </c>
      <c r="AC17" s="10">
        <v>313.94</v>
      </c>
      <c r="AD17" s="2">
        <f t="shared" si="0"/>
        <v>3.5800000000000409</v>
      </c>
      <c r="AE17" s="138">
        <f t="shared" si="1"/>
        <v>-1.7488632388947822E-3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42593</v>
      </c>
      <c r="X18" s="10">
        <v>309.47000000000003</v>
      </c>
      <c r="Y18" s="10">
        <v>316.25</v>
      </c>
      <c r="Z18" s="10">
        <v>309.42</v>
      </c>
      <c r="AA18" s="10">
        <v>314.49</v>
      </c>
      <c r="AB18" s="95">
        <v>1755400</v>
      </c>
      <c r="AC18" s="10">
        <v>314.49</v>
      </c>
      <c r="AD18" s="2">
        <f t="shared" si="0"/>
        <v>6.8299999999999841</v>
      </c>
      <c r="AE18" s="138">
        <f t="shared" si="1"/>
        <v>1.819535727004884E-2</v>
      </c>
    </row>
    <row r="19" spans="1:31" x14ac:dyDescent="0.25">
      <c r="N19" s="2"/>
      <c r="W19" s="133">
        <v>42592</v>
      </c>
      <c r="X19" s="10">
        <v>315</v>
      </c>
      <c r="Y19" s="10">
        <v>315</v>
      </c>
      <c r="Z19" s="10">
        <v>307.14</v>
      </c>
      <c r="AA19" s="10">
        <v>308.87</v>
      </c>
      <c r="AB19" s="95">
        <v>1235300</v>
      </c>
      <c r="AC19" s="10">
        <v>308.87</v>
      </c>
      <c r="AD19" s="2">
        <f t="shared" si="0"/>
        <v>7.8600000000000136</v>
      </c>
      <c r="AE19" s="138">
        <f t="shared" si="1"/>
        <v>-1.765154888365883E-2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W20" s="133">
        <v>42591</v>
      </c>
      <c r="X20" s="10">
        <v>313.72000000000003</v>
      </c>
      <c r="Y20" s="10">
        <v>316.24</v>
      </c>
      <c r="Z20" s="10">
        <v>311.8</v>
      </c>
      <c r="AA20" s="10">
        <v>314.42</v>
      </c>
      <c r="AB20" s="95">
        <v>1130600</v>
      </c>
      <c r="AC20" s="10">
        <v>314.42</v>
      </c>
      <c r="AD20" s="2">
        <f t="shared" si="0"/>
        <v>4.4399999999999977</v>
      </c>
      <c r="AE20" s="138">
        <f t="shared" si="1"/>
        <v>2.4549657261279112E-3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42590</v>
      </c>
      <c r="X21" s="10">
        <v>316.02</v>
      </c>
      <c r="Y21" s="10">
        <v>316.35000000000002</v>
      </c>
      <c r="Z21" s="10">
        <v>309.16000000000003</v>
      </c>
      <c r="AA21" s="10">
        <v>313.64999999999998</v>
      </c>
      <c r="AB21" s="95">
        <v>2136800</v>
      </c>
      <c r="AC21" s="10">
        <v>313.64999999999998</v>
      </c>
      <c r="AD21" s="2">
        <f t="shared" si="0"/>
        <v>7.1899999999999977</v>
      </c>
      <c r="AE21" s="138">
        <f t="shared" si="1"/>
        <v>-7.3110520319027428E-3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42587</v>
      </c>
      <c r="X22" s="10">
        <v>316.16000000000003</v>
      </c>
      <c r="Y22" s="10">
        <v>318.91000000000003</v>
      </c>
      <c r="Z22" s="10">
        <v>313.69</v>
      </c>
      <c r="AA22" s="10">
        <v>315.95999999999998</v>
      </c>
      <c r="AB22" s="95">
        <v>1358300</v>
      </c>
      <c r="AC22" s="10">
        <v>315.95999999999998</v>
      </c>
      <c r="AD22" s="2">
        <f t="shared" si="0"/>
        <v>5.2200000000000273</v>
      </c>
      <c r="AE22" s="138">
        <f t="shared" si="1"/>
        <v>4.4506612410986079E-3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42586</v>
      </c>
      <c r="X23" s="10">
        <v>320.14999999999998</v>
      </c>
      <c r="Y23" s="10">
        <v>320.45</v>
      </c>
      <c r="Z23" s="10">
        <v>314.01</v>
      </c>
      <c r="AA23" s="10">
        <v>314.56</v>
      </c>
      <c r="AB23" s="95">
        <v>2002300</v>
      </c>
      <c r="AC23" s="10">
        <v>314.56</v>
      </c>
      <c r="AD23" s="2">
        <f t="shared" si="0"/>
        <v>6.4399999999999977</v>
      </c>
      <c r="AE23" s="138">
        <f t="shared" si="1"/>
        <v>-2.1099147320594924E-2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42585</v>
      </c>
      <c r="X24" s="10">
        <v>321.77</v>
      </c>
      <c r="Y24" s="10">
        <v>324.3</v>
      </c>
      <c r="Z24" s="10">
        <v>310.06</v>
      </c>
      <c r="AA24" s="10">
        <v>321.33999999999997</v>
      </c>
      <c r="AB24" s="95">
        <v>6040500</v>
      </c>
      <c r="AC24" s="10">
        <v>321.33999999999997</v>
      </c>
      <c r="AD24" s="2">
        <f t="shared" si="0"/>
        <v>14.240000000000009</v>
      </c>
      <c r="AE24" s="138">
        <f t="shared" si="1"/>
        <v>-2.6566901941777132E-2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42584</v>
      </c>
      <c r="X25" s="10">
        <v>302.88</v>
      </c>
      <c r="Y25" s="10">
        <v>333.65</v>
      </c>
      <c r="Z25" s="10">
        <v>297.66000000000003</v>
      </c>
      <c r="AA25" s="10">
        <v>330.11</v>
      </c>
      <c r="AB25" s="95">
        <v>7800000</v>
      </c>
      <c r="AC25" s="10">
        <v>330.11</v>
      </c>
      <c r="AD25" s="2">
        <f t="shared" si="0"/>
        <v>35.989999999999952</v>
      </c>
      <c r="AE25" s="138">
        <f t="shared" si="1"/>
        <v>9.3695126395653361E-2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42583</v>
      </c>
      <c r="X26" s="10">
        <v>300</v>
      </c>
      <c r="Y26" s="10">
        <v>307.5</v>
      </c>
      <c r="Z26" s="10">
        <v>299.06</v>
      </c>
      <c r="AA26" s="10">
        <v>301.83</v>
      </c>
      <c r="AB26" s="95">
        <v>3565600</v>
      </c>
      <c r="AC26" s="10">
        <v>301.83</v>
      </c>
      <c r="AD26" s="2">
        <f t="shared" si="0"/>
        <v>8.4399999999999977</v>
      </c>
      <c r="AE26" s="138">
        <f t="shared" si="1"/>
        <v>4.1044390025178457E-2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42580</v>
      </c>
      <c r="X27" s="10">
        <v>288.85000000000002</v>
      </c>
      <c r="Y27" s="10">
        <v>290.45999999999998</v>
      </c>
      <c r="Z27" s="10">
        <v>286.8</v>
      </c>
      <c r="AA27" s="10">
        <v>289.93</v>
      </c>
      <c r="AB27" s="95">
        <v>1338500</v>
      </c>
      <c r="AC27" s="10">
        <v>289.93</v>
      </c>
      <c r="AD27" s="2">
        <f t="shared" si="0"/>
        <v>3.6599999999999682</v>
      </c>
      <c r="AE27" s="138">
        <f t="shared" si="1"/>
        <v>3.1138636127738817E-3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42579</v>
      </c>
      <c r="X28" s="10">
        <v>288.61</v>
      </c>
      <c r="Y28" s="10">
        <v>289.98</v>
      </c>
      <c r="Z28" s="10">
        <v>285.07</v>
      </c>
      <c r="AA28" s="10">
        <v>289.02999999999997</v>
      </c>
      <c r="AB28" s="95">
        <v>1454500</v>
      </c>
      <c r="AC28" s="10">
        <v>289.02999999999997</v>
      </c>
      <c r="AD28" s="2">
        <f t="shared" si="0"/>
        <v>4.910000000000025</v>
      </c>
      <c r="AE28" s="138">
        <f t="shared" si="1"/>
        <v>2.3582451881392075E-3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42578</v>
      </c>
      <c r="X29" s="10">
        <v>286.83</v>
      </c>
      <c r="Y29" s="10">
        <v>288.77</v>
      </c>
      <c r="Z29" s="10">
        <v>286.08</v>
      </c>
      <c r="AA29" s="10">
        <v>288.35000000000002</v>
      </c>
      <c r="AB29" s="95">
        <v>1458200</v>
      </c>
      <c r="AC29" s="10">
        <v>288.35000000000002</v>
      </c>
      <c r="AD29" s="2">
        <f t="shared" si="0"/>
        <v>2.6899999999999977</v>
      </c>
      <c r="AE29" s="138">
        <f t="shared" si="1"/>
        <v>4.5638238573020296E-3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42577</v>
      </c>
      <c r="X30" s="10">
        <v>286</v>
      </c>
      <c r="Y30" s="10">
        <v>289.95</v>
      </c>
      <c r="Z30" s="10">
        <v>285.47000000000003</v>
      </c>
      <c r="AA30" s="10">
        <v>287.04000000000002</v>
      </c>
      <c r="AB30" s="95">
        <v>1987100</v>
      </c>
      <c r="AC30" s="10">
        <v>287.04000000000002</v>
      </c>
      <c r="AD30" s="2">
        <f t="shared" si="0"/>
        <v>4.4799999999999613</v>
      </c>
      <c r="AE30" s="138">
        <f t="shared" si="1"/>
        <v>-1.0788237341221585E-3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42576</v>
      </c>
      <c r="X31" s="10">
        <v>287.83999999999997</v>
      </c>
      <c r="Y31" s="10">
        <v>290.58</v>
      </c>
      <c r="Z31" s="10">
        <v>285.02</v>
      </c>
      <c r="AA31" s="10">
        <v>287.35000000000002</v>
      </c>
      <c r="AB31" s="95">
        <v>1977700</v>
      </c>
      <c r="AC31" s="10">
        <v>287.35000000000002</v>
      </c>
      <c r="AD31" s="2">
        <f t="shared" si="0"/>
        <v>5.5600000000000023</v>
      </c>
      <c r="AE31" s="138">
        <f t="shared" si="1"/>
        <v>-1.4941969560079427E-3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42573</v>
      </c>
      <c r="X32" s="10">
        <v>282.08999999999997</v>
      </c>
      <c r="Y32" s="10">
        <v>290.92</v>
      </c>
      <c r="Z32" s="10">
        <v>281.38</v>
      </c>
      <c r="AA32" s="10">
        <v>287.77999999999997</v>
      </c>
      <c r="AB32" s="95">
        <v>3394600</v>
      </c>
      <c r="AC32" s="10">
        <v>287.77999999999997</v>
      </c>
      <c r="AD32" s="2">
        <f t="shared" si="0"/>
        <v>9.5400000000000205</v>
      </c>
      <c r="AE32" s="138">
        <f t="shared" si="1"/>
        <v>1.8870596565763842E-2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42572</v>
      </c>
      <c r="X33" s="10">
        <v>279.76</v>
      </c>
      <c r="Y33" s="10">
        <v>282.54000000000002</v>
      </c>
      <c r="Z33" s="10">
        <v>274.23</v>
      </c>
      <c r="AA33" s="10">
        <v>282.45</v>
      </c>
      <c r="AB33" s="95">
        <v>5548000</v>
      </c>
      <c r="AC33" s="10">
        <v>282.45</v>
      </c>
      <c r="AD33" s="2">
        <f t="shared" si="0"/>
        <v>8.3100000000000023</v>
      </c>
      <c r="AE33" s="138">
        <f t="shared" si="1"/>
        <v>7.6369040813993205E-2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42571</v>
      </c>
      <c r="X34" s="10">
        <v>259.87</v>
      </c>
      <c r="Y34" s="10">
        <v>263.16000000000003</v>
      </c>
      <c r="Z34" s="10">
        <v>257.57</v>
      </c>
      <c r="AA34" s="10">
        <v>262.41000000000003</v>
      </c>
      <c r="AB34" s="95">
        <v>1830200</v>
      </c>
      <c r="AC34" s="10">
        <v>262.41000000000003</v>
      </c>
      <c r="AD34" s="2">
        <f t="shared" si="0"/>
        <v>5.5900000000000318</v>
      </c>
      <c r="AE34" s="138">
        <f t="shared" si="1"/>
        <v>9.9684396890156179E-3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42570</v>
      </c>
      <c r="X35" s="10">
        <v>260.94</v>
      </c>
      <c r="Y35" s="10">
        <v>262.49</v>
      </c>
      <c r="Z35" s="10">
        <v>258.16000000000003</v>
      </c>
      <c r="AA35" s="10">
        <v>259.82</v>
      </c>
      <c r="AB35" s="95">
        <v>1094500</v>
      </c>
      <c r="AC35" s="10">
        <v>259.82</v>
      </c>
      <c r="AD35" s="2">
        <f t="shared" si="0"/>
        <v>4.3299999999999841</v>
      </c>
      <c r="AE35" s="138">
        <f t="shared" si="1"/>
        <v>-6.4244741873805689E-3</v>
      </c>
    </row>
    <row r="36" spans="1:31" x14ac:dyDescent="0.25">
      <c r="W36" s="133">
        <v>42569</v>
      </c>
      <c r="X36" s="10">
        <v>260.04000000000002</v>
      </c>
      <c r="Y36" s="10">
        <v>262.8</v>
      </c>
      <c r="Z36" s="10">
        <v>257.47000000000003</v>
      </c>
      <c r="AA36" s="10">
        <v>261.5</v>
      </c>
      <c r="AB36" s="95">
        <v>2133000</v>
      </c>
      <c r="AC36" s="10">
        <v>261.5</v>
      </c>
      <c r="AD36" s="2">
        <f t="shared" si="0"/>
        <v>5.3299999999999841</v>
      </c>
      <c r="AE36" s="138">
        <f t="shared" si="1"/>
        <v>4.6100653092584487E-3</v>
      </c>
    </row>
    <row r="37" spans="1:31" x14ac:dyDescent="0.25">
      <c r="W37" s="133">
        <v>42566</v>
      </c>
      <c r="X37" s="10">
        <v>254.12</v>
      </c>
      <c r="Y37" s="10">
        <v>260.45</v>
      </c>
      <c r="Z37" s="10">
        <v>253.81</v>
      </c>
      <c r="AA37" s="10">
        <v>260.3</v>
      </c>
      <c r="AB37" s="95">
        <v>2404900</v>
      </c>
      <c r="AC37" s="10">
        <v>260.3</v>
      </c>
      <c r="AD37" s="2">
        <f t="shared" si="0"/>
        <v>6.6399999999999864</v>
      </c>
      <c r="AE37" s="138">
        <f t="shared" si="1"/>
        <v>2.9382686756040721E-2</v>
      </c>
    </row>
    <row r="38" spans="1:31" x14ac:dyDescent="0.25">
      <c r="W38" s="133">
        <v>42565</v>
      </c>
      <c r="X38" s="10">
        <v>253.3</v>
      </c>
      <c r="Y38" s="10">
        <v>253.8</v>
      </c>
      <c r="Z38" s="10">
        <v>250.02</v>
      </c>
      <c r="AA38" s="10">
        <v>252.87</v>
      </c>
      <c r="AB38" s="95">
        <v>1295400</v>
      </c>
      <c r="AC38" s="10">
        <v>252.87</v>
      </c>
      <c r="AD38" s="2">
        <f t="shared" si="0"/>
        <v>3.7800000000000011</v>
      </c>
      <c r="AE38" s="138">
        <f t="shared" si="1"/>
        <v>6.6881643377523226E-3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133</v>
      </c>
      <c r="L39" s="261"/>
      <c r="M39" s="262">
        <f>K57+M57-F57</f>
        <v>1659.3600000000079</v>
      </c>
      <c r="W39" s="133">
        <v>42564</v>
      </c>
      <c r="X39" s="10">
        <v>254.24</v>
      </c>
      <c r="Y39" s="10">
        <v>254.27</v>
      </c>
      <c r="Z39" s="10">
        <v>250.82</v>
      </c>
      <c r="AA39" s="10">
        <v>251.19</v>
      </c>
      <c r="AB39" s="95">
        <v>1285400</v>
      </c>
      <c r="AC39" s="10">
        <v>251.19</v>
      </c>
      <c r="AD39" s="2">
        <f t="shared" si="0"/>
        <v>3.4500000000000171</v>
      </c>
      <c r="AE39" s="138">
        <f t="shared" si="1"/>
        <v>-8.5648879065362005E-3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42563</v>
      </c>
      <c r="X40" s="10">
        <v>253.78</v>
      </c>
      <c r="Y40" s="10">
        <v>254.85</v>
      </c>
      <c r="Z40" s="10">
        <v>251.29</v>
      </c>
      <c r="AA40" s="10">
        <v>253.36</v>
      </c>
      <c r="AB40" s="95">
        <v>1175100</v>
      </c>
      <c r="AC40" s="10">
        <v>253.36</v>
      </c>
      <c r="AD40" s="2">
        <f t="shared" si="0"/>
        <v>3.5600000000000023</v>
      </c>
      <c r="AE40" s="138">
        <f t="shared" si="1"/>
        <v>3.2470103745942946E-3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42562</v>
      </c>
      <c r="X41" s="10">
        <v>253.25</v>
      </c>
      <c r="Y41" s="10">
        <v>255.1</v>
      </c>
      <c r="Z41" s="10">
        <v>251.12</v>
      </c>
      <c r="AA41" s="10">
        <v>252.54</v>
      </c>
      <c r="AB41" s="95">
        <v>1746600</v>
      </c>
      <c r="AC41" s="10">
        <v>252.54</v>
      </c>
      <c r="AD41" s="2">
        <f t="shared" si="0"/>
        <v>3.9799999999999898</v>
      </c>
      <c r="AE41" s="138">
        <f t="shared" si="1"/>
        <v>4.934341424592148E-3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545" t="s">
        <v>78</v>
      </c>
      <c r="P42" s="545"/>
      <c r="T42" s="112" t="s">
        <v>113</v>
      </c>
      <c r="U42" s="4"/>
      <c r="W42" s="133">
        <v>42559</v>
      </c>
      <c r="X42" s="10">
        <v>248.63</v>
      </c>
      <c r="Y42" s="10">
        <v>251.78</v>
      </c>
      <c r="Z42" s="10">
        <v>246.11</v>
      </c>
      <c r="AA42" s="10">
        <v>251.3</v>
      </c>
      <c r="AB42" s="95">
        <v>1295600</v>
      </c>
      <c r="AC42" s="10">
        <v>251.3</v>
      </c>
      <c r="AD42" s="2">
        <f t="shared" si="0"/>
        <v>5.6699999999999875</v>
      </c>
      <c r="AE42" s="138">
        <f t="shared" si="1"/>
        <v>1.6297973874711769E-2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341.73700000000002</v>
      </c>
      <c r="Q43" s="2"/>
      <c r="T43" s="434" t="s">
        <v>98</v>
      </c>
      <c r="U43" s="523">
        <v>306.02999999999997</v>
      </c>
      <c r="W43" s="133">
        <v>42558</v>
      </c>
      <c r="X43" s="10">
        <v>247.24</v>
      </c>
      <c r="Y43" s="10">
        <v>249.66</v>
      </c>
      <c r="Z43" s="10">
        <v>245.22</v>
      </c>
      <c r="AA43" s="10">
        <v>247.27</v>
      </c>
      <c r="AB43" s="95">
        <v>1140400</v>
      </c>
      <c r="AC43" s="10">
        <v>247.27</v>
      </c>
      <c r="AD43" s="2">
        <f t="shared" si="0"/>
        <v>4.4399999999999977</v>
      </c>
      <c r="AE43" s="138">
        <f t="shared" si="1"/>
        <v>-8.4855341845802013E-4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338.63030000000003</v>
      </c>
      <c r="Q44" s="2"/>
      <c r="T44" s="434" t="s">
        <v>99</v>
      </c>
      <c r="U44" s="523">
        <v>311.83</v>
      </c>
      <c r="W44" s="133">
        <v>42557</v>
      </c>
      <c r="X44" s="10">
        <v>241.64</v>
      </c>
      <c r="Y44" s="10">
        <v>247.89</v>
      </c>
      <c r="Z44" s="10">
        <v>240.71</v>
      </c>
      <c r="AA44" s="10">
        <v>247.48</v>
      </c>
      <c r="AB44" s="95">
        <v>1750900</v>
      </c>
      <c r="AC44" s="10">
        <v>247.48</v>
      </c>
      <c r="AD44" s="2">
        <f t="shared" si="0"/>
        <v>7.1799999999999784</v>
      </c>
      <c r="AE44" s="138">
        <f t="shared" si="1"/>
        <v>2.251786968557612E-2</v>
      </c>
    </row>
    <row r="45" spans="1:31" x14ac:dyDescent="0.25">
      <c r="A45" s="261"/>
      <c r="B45" s="358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335.52360000000004</v>
      </c>
      <c r="Q45" s="2"/>
      <c r="T45" s="434" t="s">
        <v>100</v>
      </c>
      <c r="U45" s="523" t="s">
        <v>379</v>
      </c>
      <c r="W45" s="133">
        <v>42556</v>
      </c>
      <c r="X45" s="10">
        <v>244.62</v>
      </c>
      <c r="Y45" s="10">
        <v>244.8</v>
      </c>
      <c r="Z45" s="10">
        <v>240.07</v>
      </c>
      <c r="AA45" s="10">
        <v>242.03</v>
      </c>
      <c r="AB45" s="95">
        <v>1239300</v>
      </c>
      <c r="AC45" s="10">
        <v>242.03</v>
      </c>
      <c r="AD45" s="2">
        <f t="shared" si="0"/>
        <v>4.7300000000000182</v>
      </c>
      <c r="AE45" s="138">
        <f t="shared" si="1"/>
        <v>-1.2364318942299835E-2</v>
      </c>
    </row>
    <row r="46" spans="1:31" x14ac:dyDescent="0.25">
      <c r="A46" s="261"/>
      <c r="B46" s="358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332.41690000000006</v>
      </c>
      <c r="Q46" s="2"/>
      <c r="T46" s="434" t="s">
        <v>101</v>
      </c>
      <c r="U46" s="523" t="s">
        <v>380</v>
      </c>
      <c r="W46" s="133">
        <v>42552</v>
      </c>
      <c r="X46" s="10">
        <v>242.57</v>
      </c>
      <c r="Y46" s="10">
        <v>246.55</v>
      </c>
      <c r="Z46" s="10">
        <v>241.59</v>
      </c>
      <c r="AA46" s="10">
        <v>245.06</v>
      </c>
      <c r="AB46" s="95">
        <v>1465500</v>
      </c>
      <c r="AC46" s="10">
        <v>245.06</v>
      </c>
      <c r="AD46" s="2">
        <f t="shared" si="0"/>
        <v>4.960000000000008</v>
      </c>
      <c r="AE46" s="138">
        <f t="shared" si="1"/>
        <v>1.3398395500785698E-2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329.31020000000001</v>
      </c>
      <c r="Q47" s="2"/>
      <c r="T47" s="434" t="s">
        <v>102</v>
      </c>
      <c r="U47" s="523">
        <v>340.33</v>
      </c>
      <c r="W47" s="133">
        <v>42551</v>
      </c>
      <c r="X47" s="10">
        <v>239.31</v>
      </c>
      <c r="Y47" s="10">
        <v>241.9</v>
      </c>
      <c r="Z47" s="10">
        <v>236.67</v>
      </c>
      <c r="AA47" s="10">
        <v>241.82</v>
      </c>
      <c r="AB47" s="95">
        <v>2093200</v>
      </c>
      <c r="AC47" s="10">
        <v>241.82</v>
      </c>
      <c r="AD47" s="2">
        <f t="shared" si="0"/>
        <v>5.2300000000000182</v>
      </c>
      <c r="AE47" s="138">
        <f t="shared" si="1"/>
        <v>1.2180318948558089E-2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326.20350000000002</v>
      </c>
      <c r="Q48" s="2"/>
      <c r="T48" s="434" t="s">
        <v>103</v>
      </c>
      <c r="U48" s="523">
        <v>0.39844400000000002</v>
      </c>
      <c r="W48" s="133">
        <v>42550</v>
      </c>
      <c r="X48" s="10">
        <v>232.87</v>
      </c>
      <c r="Y48" s="10">
        <v>239.85</v>
      </c>
      <c r="Z48" s="10">
        <v>232</v>
      </c>
      <c r="AA48" s="10">
        <v>238.91</v>
      </c>
      <c r="AB48" s="95">
        <v>2881200</v>
      </c>
      <c r="AC48" s="10">
        <v>238.91</v>
      </c>
      <c r="AD48" s="2">
        <f t="shared" si="0"/>
        <v>7.8499999999999943</v>
      </c>
      <c r="AE48" s="138">
        <f t="shared" si="1"/>
        <v>4.5466479957990469E-2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323.09680000000003</v>
      </c>
      <c r="Q49" s="2"/>
      <c r="T49" s="434" t="s">
        <v>123</v>
      </c>
      <c r="U49" s="523" t="s">
        <v>304</v>
      </c>
      <c r="W49" s="133">
        <v>42549</v>
      </c>
      <c r="X49" s="10">
        <v>225.68</v>
      </c>
      <c r="Y49" s="10">
        <v>229.75</v>
      </c>
      <c r="Z49" s="10">
        <v>225.68</v>
      </c>
      <c r="AA49" s="10">
        <v>228.52</v>
      </c>
      <c r="AB49" s="95">
        <v>2115700</v>
      </c>
      <c r="AC49" s="10">
        <v>228.52</v>
      </c>
      <c r="AD49" s="2">
        <f t="shared" si="0"/>
        <v>4.0699999999999932</v>
      </c>
      <c r="AE49" s="138">
        <f t="shared" si="1"/>
        <v>1.7453250222618122E-2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319.99010000000004</v>
      </c>
      <c r="Q50" s="2"/>
      <c r="T50" s="434"/>
      <c r="U50" s="523"/>
      <c r="W50" s="133">
        <v>42548</v>
      </c>
      <c r="X50" s="10">
        <v>227</v>
      </c>
      <c r="Y50" s="10">
        <v>229.54</v>
      </c>
      <c r="Z50" s="10">
        <v>223.02</v>
      </c>
      <c r="AA50" s="10">
        <v>224.6</v>
      </c>
      <c r="AB50" s="95">
        <v>2913900</v>
      </c>
      <c r="AC50" s="10">
        <v>224.6</v>
      </c>
      <c r="AD50" s="2">
        <f t="shared" si="0"/>
        <v>6.5199999999999818</v>
      </c>
      <c r="AE50" s="138">
        <f t="shared" si="1"/>
        <v>-1.9299624486944444E-2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316.88339999999999</v>
      </c>
      <c r="Q51" s="2"/>
      <c r="T51" s="434" t="s">
        <v>105</v>
      </c>
      <c r="U51" s="523" t="s">
        <v>381</v>
      </c>
      <c r="W51" s="133">
        <v>42545</v>
      </c>
      <c r="X51" s="10">
        <v>232</v>
      </c>
      <c r="Y51" s="10">
        <v>235.3</v>
      </c>
      <c r="Z51" s="10">
        <v>229</v>
      </c>
      <c r="AA51" s="10">
        <v>229.02</v>
      </c>
      <c r="AB51" s="95">
        <v>2685000</v>
      </c>
      <c r="AC51" s="10">
        <v>229.02</v>
      </c>
      <c r="AD51" s="2">
        <f t="shared" si="0"/>
        <v>6.3000000000000114</v>
      </c>
      <c r="AE51" s="138">
        <f t="shared" si="1"/>
        <v>-4.0231330148353006E-2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313.77670000000001</v>
      </c>
      <c r="Q52" s="2"/>
      <c r="T52" s="434" t="s">
        <v>106</v>
      </c>
      <c r="U52" s="523" t="s">
        <v>330</v>
      </c>
      <c r="W52" s="133">
        <v>42544</v>
      </c>
      <c r="X52" s="10">
        <v>237.18</v>
      </c>
      <c r="Y52" s="10">
        <v>238.79</v>
      </c>
      <c r="Z52" s="10">
        <v>235.76</v>
      </c>
      <c r="AA52" s="10">
        <v>238.62</v>
      </c>
      <c r="AB52" s="95">
        <v>1403000</v>
      </c>
      <c r="AC52" s="10">
        <v>238.62</v>
      </c>
      <c r="AD52" s="2">
        <f t="shared" si="0"/>
        <v>3.0300000000000011</v>
      </c>
      <c r="AE52" s="138">
        <f t="shared" si="1"/>
        <v>1.7135549872122846E-2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310.67</v>
      </c>
      <c r="Q53" s="2"/>
      <c r="T53" s="434" t="s">
        <v>107</v>
      </c>
      <c r="U53" s="524">
        <v>2233859</v>
      </c>
      <c r="W53" s="133">
        <v>42543</v>
      </c>
      <c r="X53" s="10">
        <v>233.66</v>
      </c>
      <c r="Y53" s="10">
        <v>238.48</v>
      </c>
      <c r="Z53" s="10">
        <v>232.16</v>
      </c>
      <c r="AA53" s="10">
        <v>234.6</v>
      </c>
      <c r="AB53" s="95">
        <v>2622400</v>
      </c>
      <c r="AC53" s="10">
        <v>234.6</v>
      </c>
      <c r="AD53" s="2">
        <f t="shared" si="0"/>
        <v>6.3199999999999932</v>
      </c>
      <c r="AE53" s="138">
        <f t="shared" si="1"/>
        <v>6.8669527896996208E-3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307.56330000000003</v>
      </c>
      <c r="Q54" s="2"/>
      <c r="T54" s="434" t="s">
        <v>110</v>
      </c>
      <c r="U54" s="524">
        <v>2066250</v>
      </c>
      <c r="W54" s="133">
        <v>42542</v>
      </c>
      <c r="X54" s="10">
        <v>238</v>
      </c>
      <c r="Y54" s="10">
        <v>238.99</v>
      </c>
      <c r="Z54" s="10">
        <v>232.99</v>
      </c>
      <c r="AA54" s="10">
        <v>233</v>
      </c>
      <c r="AB54" s="95">
        <v>1955900</v>
      </c>
      <c r="AC54" s="10">
        <v>233</v>
      </c>
      <c r="AD54" s="2">
        <f t="shared" si="0"/>
        <v>6</v>
      </c>
      <c r="AE54" s="138">
        <f t="shared" si="1"/>
        <v>-1.8492775601331113E-2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304.45660000000004</v>
      </c>
      <c r="Q55" s="2"/>
      <c r="T55" s="434" t="s">
        <v>108</v>
      </c>
      <c r="U55" s="523" t="s">
        <v>382</v>
      </c>
      <c r="W55" s="133">
        <v>42541</v>
      </c>
      <c r="X55" s="10">
        <v>241</v>
      </c>
      <c r="Y55" s="10">
        <v>242.5</v>
      </c>
      <c r="Z55" s="10">
        <v>237.17</v>
      </c>
      <c r="AA55" s="10">
        <v>237.39</v>
      </c>
      <c r="AB55" s="95">
        <v>1401100</v>
      </c>
      <c r="AC55" s="10">
        <v>237.39</v>
      </c>
      <c r="AD55" s="2">
        <f t="shared" si="0"/>
        <v>5.3300000000000125</v>
      </c>
      <c r="AE55" s="138">
        <f t="shared" si="1"/>
        <v>-3.4423407917384408E-3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301.34989999999999</v>
      </c>
      <c r="T56" s="434" t="s">
        <v>111</v>
      </c>
      <c r="U56" s="523">
        <v>18.32</v>
      </c>
      <c r="W56" s="133">
        <v>42538</v>
      </c>
      <c r="X56" s="10">
        <v>242.27</v>
      </c>
      <c r="Y56" s="10">
        <v>242.27</v>
      </c>
      <c r="Z56" s="10">
        <v>238.2</v>
      </c>
      <c r="AA56" s="10">
        <v>238.21</v>
      </c>
      <c r="AB56" s="95">
        <v>2219500</v>
      </c>
      <c r="AC56" s="10">
        <v>238.21</v>
      </c>
      <c r="AD56" s="2">
        <f t="shared" si="0"/>
        <v>4.0700000000000216</v>
      </c>
      <c r="AE56" s="138">
        <f t="shared" si="1"/>
        <v>-1.6433378752219285E-2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298.2432</v>
      </c>
      <c r="T57" s="434" t="s">
        <v>112</v>
      </c>
      <c r="U57" s="523">
        <v>17.12</v>
      </c>
      <c r="W57" s="133">
        <v>42537</v>
      </c>
      <c r="X57" s="10">
        <v>236.91</v>
      </c>
      <c r="Y57" s="10">
        <v>243.34</v>
      </c>
      <c r="Z57" s="10">
        <v>236.54</v>
      </c>
      <c r="AA57" s="10">
        <v>242.19</v>
      </c>
      <c r="AB57" s="95">
        <v>1995500</v>
      </c>
      <c r="AC57" s="10">
        <v>242.19</v>
      </c>
      <c r="AD57" s="2">
        <f t="shared" si="0"/>
        <v>6.8000000000000114</v>
      </c>
      <c r="AE57" s="138">
        <f t="shared" si="1"/>
        <v>1.3729019295969147E-2</v>
      </c>
    </row>
    <row r="58" spans="1:31" x14ac:dyDescent="0.25">
      <c r="O58" s="83">
        <v>0.95</v>
      </c>
      <c r="P58" s="83">
        <f t="shared" si="5"/>
        <v>295.13650000000001</v>
      </c>
      <c r="T58" s="434" t="s">
        <v>109</v>
      </c>
      <c r="U58" s="523" t="s">
        <v>124</v>
      </c>
      <c r="W58" s="133">
        <v>42536</v>
      </c>
      <c r="X58" s="10">
        <v>242.38</v>
      </c>
      <c r="Y58" s="10">
        <v>242.99</v>
      </c>
      <c r="Z58" s="10">
        <v>238.59</v>
      </c>
      <c r="AA58" s="10">
        <v>238.91</v>
      </c>
      <c r="AB58" s="95">
        <v>2101600</v>
      </c>
      <c r="AC58" s="10">
        <v>238.91</v>
      </c>
      <c r="AD58" s="2">
        <f t="shared" si="0"/>
        <v>4.4000000000000057</v>
      </c>
      <c r="AE58" s="138">
        <f t="shared" si="1"/>
        <v>-1.1543235415804709E-2</v>
      </c>
    </row>
    <row r="59" spans="1:31" x14ac:dyDescent="0.25">
      <c r="O59" s="83">
        <v>0.94</v>
      </c>
      <c r="P59" s="83">
        <f t="shared" si="5"/>
        <v>292.02980000000002</v>
      </c>
      <c r="W59" s="133">
        <v>42535</v>
      </c>
      <c r="X59" s="10">
        <v>243.35</v>
      </c>
      <c r="Y59" s="10">
        <v>245.01</v>
      </c>
      <c r="Z59" s="10">
        <v>240.16</v>
      </c>
      <c r="AA59" s="10">
        <v>241.7</v>
      </c>
      <c r="AB59" s="95">
        <v>1696700</v>
      </c>
      <c r="AC59" s="10">
        <v>241.7</v>
      </c>
      <c r="AD59" s="2">
        <f t="shared" si="0"/>
        <v>4.8499999999999943</v>
      </c>
      <c r="AE59" s="138">
        <f t="shared" si="1"/>
        <v>-1.0845099242889344E-2</v>
      </c>
    </row>
    <row r="60" spans="1:31" x14ac:dyDescent="0.25">
      <c r="B60" s="269" t="s">
        <v>114</v>
      </c>
      <c r="C60" s="269" t="s">
        <v>150</v>
      </c>
      <c r="D60" s="270" t="s">
        <v>149</v>
      </c>
      <c r="E60" s="271" t="s">
        <v>151</v>
      </c>
      <c r="F60" s="272" t="s">
        <v>65</v>
      </c>
      <c r="G60" s="273" t="s">
        <v>155</v>
      </c>
      <c r="H60" s="272" t="s">
        <v>88</v>
      </c>
      <c r="O60" s="83">
        <v>0.93</v>
      </c>
      <c r="P60" s="83">
        <f t="shared" si="5"/>
        <v>288.92310000000003</v>
      </c>
      <c r="W60" s="133">
        <v>42534</v>
      </c>
      <c r="X60" s="10">
        <v>245.76</v>
      </c>
      <c r="Y60" s="10">
        <v>248.4</v>
      </c>
      <c r="Z60" s="10">
        <v>244.04</v>
      </c>
      <c r="AA60" s="10">
        <v>244.35</v>
      </c>
      <c r="AB60" s="95">
        <v>1628200</v>
      </c>
      <c r="AC60" s="10">
        <v>244.35</v>
      </c>
      <c r="AD60" s="2">
        <f t="shared" si="0"/>
        <v>4.3600000000000136</v>
      </c>
      <c r="AE60" s="138">
        <f t="shared" si="1"/>
        <v>-7.2319505952138652E-3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285.81640000000004</v>
      </c>
      <c r="W61" s="133">
        <v>42531</v>
      </c>
      <c r="X61" s="10">
        <v>248.15</v>
      </c>
      <c r="Y61" s="10">
        <v>249.04</v>
      </c>
      <c r="Z61" s="10">
        <v>244.02</v>
      </c>
      <c r="AA61" s="10">
        <v>246.13</v>
      </c>
      <c r="AB61" s="95">
        <v>2455300</v>
      </c>
      <c r="AC61" s="10">
        <v>246.13</v>
      </c>
      <c r="AD61" s="2">
        <f t="shared" si="0"/>
        <v>5.0199999999999818</v>
      </c>
      <c r="AE61" s="138">
        <f t="shared" si="1"/>
        <v>-1.7288189730895187E-2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282.7097</v>
      </c>
      <c r="W62" s="133">
        <v>42530</v>
      </c>
      <c r="X62" s="10">
        <v>253.14</v>
      </c>
      <c r="Y62" s="10">
        <v>256.19</v>
      </c>
      <c r="Z62" s="10">
        <v>249.57</v>
      </c>
      <c r="AA62" s="10">
        <v>250.46</v>
      </c>
      <c r="AB62" s="95">
        <v>2860200</v>
      </c>
      <c r="AC62" s="10">
        <v>250.46</v>
      </c>
      <c r="AD62" s="2">
        <f t="shared" si="0"/>
        <v>6.6200000000000045</v>
      </c>
      <c r="AE62" s="138">
        <f t="shared" si="1"/>
        <v>-1.4596529881575226E-2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279.60300000000001</v>
      </c>
      <c r="W63" s="133">
        <v>42529</v>
      </c>
      <c r="X63" s="10">
        <v>255.03</v>
      </c>
      <c r="Y63" s="10">
        <v>256.79000000000002</v>
      </c>
      <c r="Z63" s="10">
        <v>251.41</v>
      </c>
      <c r="AA63" s="10">
        <v>254.17</v>
      </c>
      <c r="AB63" s="95">
        <v>3610400</v>
      </c>
      <c r="AC63" s="10">
        <v>254.17</v>
      </c>
      <c r="AD63" s="2">
        <f t="shared" si="0"/>
        <v>5.3800000000000239</v>
      </c>
      <c r="AE63" s="138">
        <f t="shared" si="1"/>
        <v>5.1807324211023964E-3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42528</v>
      </c>
      <c r="X64" s="10">
        <v>264.45</v>
      </c>
      <c r="Y64" s="10">
        <v>264.73</v>
      </c>
      <c r="Z64" s="10">
        <v>250.87</v>
      </c>
      <c r="AA64" s="10">
        <v>252.86</v>
      </c>
      <c r="AB64" s="95">
        <v>8876400</v>
      </c>
      <c r="AC64" s="10">
        <v>252.86</v>
      </c>
      <c r="AD64" s="2">
        <f t="shared" si="0"/>
        <v>13.860000000000014</v>
      </c>
      <c r="AE64" s="138">
        <f t="shared" si="1"/>
        <v>-0.12758763455699684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42527</v>
      </c>
      <c r="X65" s="10">
        <v>290</v>
      </c>
      <c r="Y65" s="10">
        <v>290.74</v>
      </c>
      <c r="Z65" s="10">
        <v>285.20999999999998</v>
      </c>
      <c r="AA65" s="10">
        <v>289.83999999999997</v>
      </c>
      <c r="AB65" s="95">
        <v>1618700</v>
      </c>
      <c r="AC65" s="10">
        <v>289.83999999999997</v>
      </c>
      <c r="AD65" s="2">
        <f t="shared" si="0"/>
        <v>5.5300000000000296</v>
      </c>
      <c r="AE65" s="138">
        <f t="shared" si="1"/>
        <v>-1.3437618440548249E-3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42524</v>
      </c>
      <c r="X66" s="10">
        <v>289.51</v>
      </c>
      <c r="Y66" s="10">
        <v>292.69</v>
      </c>
      <c r="Z66" s="10">
        <v>283.79000000000002</v>
      </c>
      <c r="AA66" s="10">
        <v>290.23</v>
      </c>
      <c r="AB66" s="95">
        <v>1473000</v>
      </c>
      <c r="AC66" s="10">
        <v>290.23</v>
      </c>
      <c r="AD66" s="2">
        <f t="shared" si="0"/>
        <v>8.8999999999999773</v>
      </c>
      <c r="AE66" s="138">
        <f t="shared" si="1"/>
        <v>1.7257446588203607E-3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42523</v>
      </c>
      <c r="X67" s="10">
        <v>286.88</v>
      </c>
      <c r="Y67" s="10">
        <v>289.91000000000003</v>
      </c>
      <c r="Z67" s="10">
        <v>286.56</v>
      </c>
      <c r="AA67" s="10">
        <v>289.73</v>
      </c>
      <c r="AB67" s="95">
        <v>1128200</v>
      </c>
      <c r="AC67" s="10">
        <v>289.73</v>
      </c>
      <c r="AD67" s="2">
        <f>Y67-Z67</f>
        <v>3.3500000000000227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3">
        <v>42408</v>
      </c>
      <c r="C69" s="384">
        <v>5</v>
      </c>
      <c r="D69" s="385">
        <v>251.5</v>
      </c>
      <c r="E69" s="385">
        <v>256.52</v>
      </c>
      <c r="F69" s="385">
        <f>C69*(E69-D69)</f>
        <v>25.099999999999909</v>
      </c>
      <c r="G69" s="385">
        <f>D69*C69</f>
        <v>1257.5</v>
      </c>
      <c r="H69" s="386">
        <f>(E69-D69)/D69</f>
        <v>1.9960238568588397E-2</v>
      </c>
      <c r="I69" s="386"/>
    </row>
    <row r="70" spans="2:31" x14ac:dyDescent="0.25">
      <c r="B70" s="383">
        <v>42422</v>
      </c>
      <c r="C70" s="384">
        <v>5</v>
      </c>
      <c r="D70" s="385">
        <v>251.5</v>
      </c>
      <c r="E70" s="385">
        <v>265.83</v>
      </c>
      <c r="F70" s="385">
        <f t="shared" ref="F70:F79" si="8">C70*(E70-D70)</f>
        <v>71.64999999999992</v>
      </c>
      <c r="G70" s="385">
        <f t="shared" ref="G70:G80" si="9">D70*C70</f>
        <v>1257.5</v>
      </c>
      <c r="H70" s="386">
        <f t="shared" ref="H70:H79" si="10">(E70-D70)/D70</f>
        <v>5.6978131212723597E-2</v>
      </c>
      <c r="I70" s="386"/>
    </row>
    <row r="71" spans="2:31" x14ac:dyDescent="0.25">
      <c r="B71" s="383">
        <v>42431</v>
      </c>
      <c r="C71" s="384">
        <v>5</v>
      </c>
      <c r="D71" s="385">
        <v>251.5</v>
      </c>
      <c r="E71" s="385">
        <v>273.66000000000003</v>
      </c>
      <c r="F71" s="385">
        <f t="shared" si="8"/>
        <v>110.80000000000013</v>
      </c>
      <c r="G71" s="385">
        <f t="shared" si="9"/>
        <v>1257.5</v>
      </c>
      <c r="H71" s="386">
        <f t="shared" si="10"/>
        <v>8.8111332007952389E-2</v>
      </c>
      <c r="I71" s="386"/>
    </row>
    <row r="72" spans="2:31" x14ac:dyDescent="0.25">
      <c r="B72" s="383">
        <v>42433</v>
      </c>
      <c r="C72" s="384">
        <v>5</v>
      </c>
      <c r="D72" s="385">
        <v>251.5</v>
      </c>
      <c r="E72" s="385">
        <v>263.94</v>
      </c>
      <c r="F72" s="385">
        <f t="shared" si="8"/>
        <v>62.199999999999989</v>
      </c>
      <c r="G72" s="385">
        <f t="shared" si="9"/>
        <v>1257.5</v>
      </c>
      <c r="H72" s="386">
        <f t="shared" si="10"/>
        <v>4.9463220675944324E-2</v>
      </c>
      <c r="I72" s="386"/>
    </row>
    <row r="73" spans="2:31" x14ac:dyDescent="0.25">
      <c r="B73" s="383">
        <v>42439</v>
      </c>
      <c r="C73" s="384">
        <v>5</v>
      </c>
      <c r="D73" s="385">
        <v>251.5</v>
      </c>
      <c r="E73" s="385">
        <v>251.97</v>
      </c>
      <c r="F73" s="385">
        <f t="shared" si="8"/>
        <v>2.3499999999999943</v>
      </c>
      <c r="G73" s="385">
        <f t="shared" si="9"/>
        <v>1257.5</v>
      </c>
      <c r="H73" s="387">
        <f t="shared" si="10"/>
        <v>1.8687872763419437E-3</v>
      </c>
      <c r="I73" s="387"/>
    </row>
    <row r="74" spans="2:31" x14ac:dyDescent="0.25">
      <c r="B74" s="383">
        <v>42444</v>
      </c>
      <c r="C74" s="384">
        <v>5</v>
      </c>
      <c r="D74" s="385">
        <v>251.5</v>
      </c>
      <c r="E74" s="385">
        <v>250.33</v>
      </c>
      <c r="F74" s="385">
        <f t="shared" si="8"/>
        <v>-5.8499999999999375</v>
      </c>
      <c r="G74" s="385">
        <f t="shared" si="9"/>
        <v>1257.5</v>
      </c>
      <c r="H74" s="387">
        <f t="shared" si="10"/>
        <v>-4.6520874751490556E-3</v>
      </c>
      <c r="I74" s="387"/>
    </row>
    <row r="75" spans="2:31" x14ac:dyDescent="0.25">
      <c r="B75" s="383">
        <v>42446</v>
      </c>
      <c r="C75" s="384">
        <v>15</v>
      </c>
      <c r="D75" s="385">
        <v>245.5333</v>
      </c>
      <c r="E75" s="385">
        <v>246.31</v>
      </c>
      <c r="F75" s="385">
        <f t="shared" si="8"/>
        <v>11.650500000000079</v>
      </c>
      <c r="G75" s="385">
        <f t="shared" si="9"/>
        <v>3682.9994999999999</v>
      </c>
      <c r="H75" s="387">
        <f t="shared" si="10"/>
        <v>3.1633183767741701E-3</v>
      </c>
      <c r="I75" s="387"/>
    </row>
    <row r="76" spans="2:31" x14ac:dyDescent="0.25">
      <c r="B76" s="383">
        <v>42447</v>
      </c>
      <c r="C76" s="384">
        <v>10</v>
      </c>
      <c r="D76" s="385">
        <v>243.50800000000001</v>
      </c>
      <c r="E76" s="385">
        <v>250.78</v>
      </c>
      <c r="F76" s="385">
        <f t="shared" si="8"/>
        <v>72.719999999999914</v>
      </c>
      <c r="G76" s="385">
        <f t="shared" si="9"/>
        <v>2435.08</v>
      </c>
      <c r="H76" s="387">
        <f t="shared" si="10"/>
        <v>2.9863495244509385E-2</v>
      </c>
      <c r="I76" s="387" t="s">
        <v>200</v>
      </c>
    </row>
    <row r="77" spans="2:31" x14ac:dyDescent="0.25">
      <c r="B77" s="383">
        <v>42458</v>
      </c>
      <c r="C77" s="384">
        <v>10</v>
      </c>
      <c r="D77" s="385">
        <v>243.50800000000001</v>
      </c>
      <c r="E77" s="385">
        <v>254.68</v>
      </c>
      <c r="F77" s="385">
        <f t="shared" si="8"/>
        <v>111.71999999999997</v>
      </c>
      <c r="G77" s="385">
        <f t="shared" si="9"/>
        <v>2435.08</v>
      </c>
      <c r="H77" s="387">
        <f t="shared" si="10"/>
        <v>4.587939615946908E-2</v>
      </c>
      <c r="I77" s="387"/>
    </row>
    <row r="78" spans="2:31" x14ac:dyDescent="0.25">
      <c r="B78" s="383">
        <v>42460</v>
      </c>
      <c r="C78" s="384">
        <v>5</v>
      </c>
      <c r="D78" s="385">
        <v>225.80199999999999</v>
      </c>
      <c r="E78" s="385">
        <v>260.32</v>
      </c>
      <c r="F78" s="385">
        <f t="shared" si="8"/>
        <v>172.59</v>
      </c>
      <c r="G78" s="385">
        <f t="shared" si="9"/>
        <v>1129.01</v>
      </c>
      <c r="H78" s="387">
        <f t="shared" si="10"/>
        <v>0.15286844226357607</v>
      </c>
      <c r="I78" s="387"/>
    </row>
    <row r="79" spans="2:31" x14ac:dyDescent="0.25">
      <c r="B79" s="383">
        <v>42469</v>
      </c>
      <c r="C79" s="384">
        <v>5</v>
      </c>
      <c r="D79" s="385">
        <v>225.80199999999999</v>
      </c>
      <c r="E79" s="385">
        <v>270.83</v>
      </c>
      <c r="F79" s="385">
        <f t="shared" si="8"/>
        <v>225.13999999999996</v>
      </c>
      <c r="G79" s="385">
        <f t="shared" si="9"/>
        <v>1129.01</v>
      </c>
      <c r="H79" s="387">
        <f t="shared" si="10"/>
        <v>0.1994136455832986</v>
      </c>
      <c r="I79" s="387"/>
    </row>
    <row r="80" spans="2:31" x14ac:dyDescent="0.25">
      <c r="B80" s="383">
        <v>42482</v>
      </c>
      <c r="C80" s="384">
        <v>0</v>
      </c>
      <c r="D80" s="385">
        <v>0</v>
      </c>
      <c r="E80" s="385">
        <v>0</v>
      </c>
      <c r="F80" s="385">
        <v>285.70999999999998</v>
      </c>
      <c r="G80" s="385">
        <f t="shared" si="9"/>
        <v>0</v>
      </c>
      <c r="H80" s="387"/>
      <c r="I80" s="387"/>
    </row>
    <row r="81" spans="2:9" x14ac:dyDescent="0.25">
      <c r="B81" s="384"/>
      <c r="C81" s="384"/>
      <c r="D81" s="385"/>
      <c r="E81" s="385"/>
      <c r="F81" s="385"/>
      <c r="G81" s="385"/>
      <c r="H81" s="387"/>
      <c r="I81" s="387"/>
    </row>
    <row r="82" spans="2:9" x14ac:dyDescent="0.25">
      <c r="B82" s="384"/>
      <c r="C82" s="384"/>
      <c r="D82" s="385"/>
      <c r="E82" s="385"/>
      <c r="F82" s="385"/>
      <c r="G82" s="385"/>
      <c r="H82" s="387"/>
      <c r="I82" s="387"/>
    </row>
  </sheetData>
  <mergeCells count="1">
    <mergeCell ref="O42:P42"/>
  </mergeCells>
  <conditionalFormatting sqref="N19 F25:F35">
    <cfRule type="expression" dxfId="746" priority="58">
      <formula>F19&gt;0</formula>
    </cfRule>
    <cfRule type="expression" dxfId="745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744" priority="47">
      <formula>H25&gt;0</formula>
    </cfRule>
    <cfRule type="expression" dxfId="743" priority="48">
      <formula>H25&lt;0</formula>
    </cfRule>
  </conditionalFormatting>
  <conditionalFormatting sqref="M39">
    <cfRule type="expression" dxfId="742" priority="45">
      <formula>M39&gt;0</formula>
    </cfRule>
    <cfRule type="expression" dxfId="741" priority="46">
      <formula>M39&lt;0</formula>
    </cfRule>
  </conditionalFormatting>
  <conditionalFormatting sqref="F61:F67">
    <cfRule type="expression" dxfId="740" priority="43">
      <formula>F61&gt;0</formula>
    </cfRule>
    <cfRule type="expression" dxfId="739" priority="44">
      <formula>F61&lt;0</formula>
    </cfRule>
  </conditionalFormatting>
  <conditionalFormatting sqref="H61:H67">
    <cfRule type="expression" dxfId="738" priority="41">
      <formula>H61&gt;0</formula>
    </cfRule>
    <cfRule type="expression" dxfId="737" priority="42">
      <formula>H61&lt;0</formula>
    </cfRule>
  </conditionalFormatting>
  <conditionalFormatting sqref="F21:F24">
    <cfRule type="expression" dxfId="736" priority="39">
      <formula>F21&gt;0</formula>
    </cfRule>
    <cfRule type="expression" dxfId="735" priority="40">
      <formula>F21&lt;0</formula>
    </cfRule>
  </conditionalFormatting>
  <conditionalFormatting sqref="H21:H24">
    <cfRule type="expression" dxfId="734" priority="37">
      <formula>H21&gt;0</formula>
    </cfRule>
    <cfRule type="expression" dxfId="733" priority="38">
      <formula>H21&lt;0</formula>
    </cfRule>
  </conditionalFormatting>
  <conditionalFormatting sqref="I25:I28">
    <cfRule type="expression" dxfId="732" priority="31">
      <formula>I25&gt;0</formula>
    </cfRule>
    <cfRule type="expression" dxfId="731" priority="32">
      <formula>I25&lt;0</formula>
    </cfRule>
  </conditionalFormatting>
  <conditionalFormatting sqref="I21:I24">
    <cfRule type="expression" dxfId="730" priority="29">
      <formula>I21&gt;0</formula>
    </cfRule>
    <cfRule type="expression" dxfId="729" priority="30">
      <formula>I21&lt;0</formula>
    </cfRule>
  </conditionalFormatting>
  <conditionalFormatting sqref="H29">
    <cfRule type="expression" dxfId="728" priority="27">
      <formula>H29&gt;0</formula>
    </cfRule>
    <cfRule type="expression" dxfId="727" priority="28">
      <formula>H29&lt;0</formula>
    </cfRule>
  </conditionalFormatting>
  <conditionalFormatting sqref="H30">
    <cfRule type="expression" dxfId="726" priority="25">
      <formula>H30&gt;0</formula>
    </cfRule>
    <cfRule type="expression" dxfId="725" priority="26">
      <formula>H30&lt;0</formula>
    </cfRule>
  </conditionalFormatting>
  <conditionalFormatting sqref="H31">
    <cfRule type="expression" dxfId="724" priority="23">
      <formula>H31&gt;0</formula>
    </cfRule>
    <cfRule type="expression" dxfId="723" priority="24">
      <formula>H31&lt;0</formula>
    </cfRule>
  </conditionalFormatting>
  <conditionalFormatting sqref="Q7">
    <cfRule type="expression" dxfId="722" priority="21">
      <formula>Q7&gt;0</formula>
    </cfRule>
    <cfRule type="expression" dxfId="721" priority="22">
      <formula>Q7&lt;0</formula>
    </cfRule>
  </conditionalFormatting>
  <conditionalFormatting sqref="Q8">
    <cfRule type="expression" dxfId="720" priority="19">
      <formula>Q8&gt;0</formula>
    </cfRule>
    <cfRule type="expression" dxfId="719" priority="20">
      <formula>Q8&lt;0</formula>
    </cfRule>
  </conditionalFormatting>
  <conditionalFormatting sqref="F73:F82">
    <cfRule type="expression" dxfId="718" priority="17">
      <formula>F73&gt;0</formula>
    </cfRule>
    <cfRule type="expression" dxfId="717" priority="18">
      <formula>F73&lt;0</formula>
    </cfRule>
  </conditionalFormatting>
  <conditionalFormatting sqref="H73:H76">
    <cfRule type="expression" dxfId="716" priority="15">
      <formula>H73&gt;0</formula>
    </cfRule>
    <cfRule type="expression" dxfId="715" priority="16">
      <formula>H73&lt;0</formula>
    </cfRule>
  </conditionalFormatting>
  <conditionalFormatting sqref="F69:F72">
    <cfRule type="expression" dxfId="714" priority="13">
      <formula>F69&gt;0</formula>
    </cfRule>
    <cfRule type="expression" dxfId="713" priority="14">
      <formula>F69&lt;0</formula>
    </cfRule>
  </conditionalFormatting>
  <conditionalFormatting sqref="H69:H72">
    <cfRule type="expression" dxfId="712" priority="11">
      <formula>H69&gt;0</formula>
    </cfRule>
    <cfRule type="expression" dxfId="711" priority="12">
      <formula>H69&lt;0</formula>
    </cfRule>
  </conditionalFormatting>
  <conditionalFormatting sqref="I73:I76">
    <cfRule type="expression" dxfId="710" priority="9">
      <formula>I73&gt;0</formula>
    </cfRule>
    <cfRule type="expression" dxfId="709" priority="10">
      <formula>I73&lt;0</formula>
    </cfRule>
  </conditionalFormatting>
  <conditionalFormatting sqref="I69:I72">
    <cfRule type="expression" dxfId="708" priority="7">
      <formula>I69&gt;0</formula>
    </cfRule>
    <cfRule type="expression" dxfId="707" priority="8">
      <formula>I69&lt;0</formula>
    </cfRule>
  </conditionalFormatting>
  <conditionalFormatting sqref="H77">
    <cfRule type="expression" dxfId="706" priority="5">
      <formula>H77&gt;0</formula>
    </cfRule>
    <cfRule type="expression" dxfId="705" priority="6">
      <formula>H77&lt;0</formula>
    </cfRule>
  </conditionalFormatting>
  <conditionalFormatting sqref="H78">
    <cfRule type="expression" dxfId="704" priority="3">
      <formula>H78&gt;0</formula>
    </cfRule>
    <cfRule type="expression" dxfId="703" priority="4">
      <formula>H78&lt;0</formula>
    </cfRule>
  </conditionalFormatting>
  <conditionalFormatting sqref="H79">
    <cfRule type="expression" dxfId="702" priority="1">
      <formula>H79&gt;0</formula>
    </cfRule>
    <cfRule type="expression" dxfId="701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28515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218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42615</v>
      </c>
      <c r="X2" s="10">
        <v>42.01</v>
      </c>
      <c r="Y2" s="10">
        <v>42.09</v>
      </c>
      <c r="Z2" s="10">
        <v>39.82</v>
      </c>
      <c r="AA2" s="10">
        <v>39.97</v>
      </c>
      <c r="AB2" s="95">
        <v>17214100</v>
      </c>
      <c r="AC2" s="10">
        <v>39.97</v>
      </c>
      <c r="AD2" s="2">
        <f>Y2-Z2</f>
        <v>2.2700000000000031</v>
      </c>
      <c r="AE2" s="138">
        <f>AC2/AC3-1</f>
        <v>-4.6517175572519109E-2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40.4</v>
      </c>
      <c r="W3" s="133">
        <v>42614</v>
      </c>
      <c r="X3" s="10">
        <v>42.52</v>
      </c>
      <c r="Y3" s="10">
        <v>42.63</v>
      </c>
      <c r="Z3" s="10">
        <v>41.55</v>
      </c>
      <c r="AA3" s="10">
        <v>41.92</v>
      </c>
      <c r="AB3" s="95">
        <v>5185700</v>
      </c>
      <c r="AC3" s="10">
        <v>41.92</v>
      </c>
      <c r="AD3" s="2">
        <f t="shared" ref="AD3:AD66" si="0">Y3-Z3</f>
        <v>1.0800000000000054</v>
      </c>
      <c r="AE3" s="138">
        <f t="shared" ref="AE3:AE66" si="1">AC3/AC4-1</f>
        <v>-1.0387157695939564E-2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40.4</v>
      </c>
      <c r="T4" s="1"/>
      <c r="W4" s="133">
        <v>42613</v>
      </c>
      <c r="X4" s="10">
        <v>42.56</v>
      </c>
      <c r="Y4" s="10">
        <v>42.63</v>
      </c>
      <c r="Z4" s="10">
        <v>41.87</v>
      </c>
      <c r="AA4" s="10">
        <v>42.36</v>
      </c>
      <c r="AB4" s="95">
        <v>6174000</v>
      </c>
      <c r="AC4" s="10">
        <v>42.36</v>
      </c>
      <c r="AD4" s="2">
        <f t="shared" si="0"/>
        <v>0.76000000000000512</v>
      </c>
      <c r="AE4" s="138">
        <f t="shared" si="1"/>
        <v>-9.1228070175438658E-3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42612</v>
      </c>
      <c r="X5" s="10">
        <v>43.25</v>
      </c>
      <c r="Y5" s="10">
        <v>44.1</v>
      </c>
      <c r="Z5" s="10">
        <v>42.59</v>
      </c>
      <c r="AA5" s="10">
        <v>42.75</v>
      </c>
      <c r="AB5" s="95">
        <v>4955400</v>
      </c>
      <c r="AC5" s="10">
        <v>42.75</v>
      </c>
      <c r="AD5" s="2">
        <f t="shared" si="0"/>
        <v>1.509999999999998</v>
      </c>
      <c r="AE5" s="138">
        <f t="shared" si="1"/>
        <v>-1.0874595094863437E-2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42611</v>
      </c>
      <c r="X6" s="10">
        <v>43.99</v>
      </c>
      <c r="Y6" s="10">
        <v>44.24</v>
      </c>
      <c r="Z6" s="10">
        <v>42.47</v>
      </c>
      <c r="AA6" s="10">
        <v>43.22</v>
      </c>
      <c r="AB6" s="95">
        <v>11676600</v>
      </c>
      <c r="AC6" s="10">
        <v>43.22</v>
      </c>
      <c r="AD6" s="2">
        <f t="shared" si="0"/>
        <v>1.7700000000000031</v>
      </c>
      <c r="AE6" s="138">
        <f t="shared" si="1"/>
        <v>4.415524052986175E-3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Q7" s="2">
        <f>Q10+Q8</f>
        <v>439.77999999999975</v>
      </c>
      <c r="R7">
        <v>0</v>
      </c>
      <c r="W7" s="133">
        <v>42608</v>
      </c>
      <c r="X7" s="10">
        <v>43.11</v>
      </c>
      <c r="Y7" s="10">
        <v>43.98</v>
      </c>
      <c r="Z7" s="10">
        <v>42.63</v>
      </c>
      <c r="AA7" s="10">
        <v>43.03</v>
      </c>
      <c r="AB7" s="95">
        <v>8306700</v>
      </c>
      <c r="AC7" s="10">
        <v>43.03</v>
      </c>
      <c r="AD7" s="2">
        <f t="shared" si="0"/>
        <v>1.3499999999999943</v>
      </c>
      <c r="AE7" s="138">
        <f t="shared" si="1"/>
        <v>4.2007001166861624E-3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42607</v>
      </c>
      <c r="X8" s="10">
        <v>44.65</v>
      </c>
      <c r="Y8" s="10">
        <v>45.11</v>
      </c>
      <c r="Z8" s="10">
        <v>42.33</v>
      </c>
      <c r="AA8" s="10">
        <v>42.85</v>
      </c>
      <c r="AB8" s="95">
        <v>17699200</v>
      </c>
      <c r="AC8" s="10">
        <v>42.85</v>
      </c>
      <c r="AD8" s="2">
        <f t="shared" si="0"/>
        <v>2.7800000000000011</v>
      </c>
      <c r="AE8" s="138">
        <f t="shared" si="1"/>
        <v>-6.9524913093857998E-3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224</v>
      </c>
      <c r="Q9" s="138">
        <f>IF(Q2=0, 0, Q8/Q6)</f>
        <v>0</v>
      </c>
      <c r="T9" s="158"/>
      <c r="W9" s="133">
        <v>42606</v>
      </c>
      <c r="X9" s="10">
        <v>45.5</v>
      </c>
      <c r="Y9" s="10">
        <v>45.99</v>
      </c>
      <c r="Z9" s="10">
        <v>42.78</v>
      </c>
      <c r="AA9" s="10">
        <v>43.15</v>
      </c>
      <c r="AB9" s="95">
        <v>17897400</v>
      </c>
      <c r="AC9" s="10">
        <v>43.15</v>
      </c>
      <c r="AD9" s="2">
        <f t="shared" si="0"/>
        <v>3.2100000000000009</v>
      </c>
      <c r="AE9" s="138">
        <f t="shared" si="1"/>
        <v>-5.4142919772029785E-2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223</v>
      </c>
      <c r="P10" s="34"/>
      <c r="Q10" s="2">
        <f>M35</f>
        <v>439.77999999999975</v>
      </c>
      <c r="W10" s="133">
        <v>42605</v>
      </c>
      <c r="X10" s="10">
        <v>47.45</v>
      </c>
      <c r="Y10" s="10">
        <v>47.59</v>
      </c>
      <c r="Z10" s="10">
        <v>45.53</v>
      </c>
      <c r="AA10" s="10">
        <v>45.62</v>
      </c>
      <c r="AB10" s="95">
        <v>13058000</v>
      </c>
      <c r="AC10" s="10">
        <v>45.62</v>
      </c>
      <c r="AD10" s="2">
        <f t="shared" si="0"/>
        <v>2.0600000000000023</v>
      </c>
      <c r="AE10" s="138">
        <f t="shared" si="1"/>
        <v>-4.759916492693117E-2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42604</v>
      </c>
      <c r="X11" s="10">
        <v>48.54</v>
      </c>
      <c r="Y11" s="10">
        <v>49.09</v>
      </c>
      <c r="Z11" s="10">
        <v>47.57</v>
      </c>
      <c r="AA11" s="10">
        <v>47.9</v>
      </c>
      <c r="AB11" s="95">
        <v>7245700</v>
      </c>
      <c r="AC11" s="10">
        <v>47.9</v>
      </c>
      <c r="AD11" s="2">
        <f t="shared" si="0"/>
        <v>1.5200000000000031</v>
      </c>
      <c r="AE11" s="138">
        <f t="shared" si="1"/>
        <v>-1.5618577887381746E-2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42601</v>
      </c>
      <c r="X12" s="10">
        <v>48.99</v>
      </c>
      <c r="Y12" s="10">
        <v>49.2</v>
      </c>
      <c r="Z12" s="10">
        <v>48.1</v>
      </c>
      <c r="AA12" s="10">
        <v>48.66</v>
      </c>
      <c r="AB12" s="95">
        <v>5146500</v>
      </c>
      <c r="AC12" s="10">
        <v>48.66</v>
      </c>
      <c r="AD12" s="2">
        <f t="shared" si="0"/>
        <v>1.1000000000000014</v>
      </c>
      <c r="AE12" s="138">
        <f t="shared" si="1"/>
        <v>-1.3381995133819991E-2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42600</v>
      </c>
      <c r="X13" s="10">
        <v>49</v>
      </c>
      <c r="Y13" s="10">
        <v>49.42</v>
      </c>
      <c r="Z13" s="10">
        <v>48.86</v>
      </c>
      <c r="AA13" s="10">
        <v>49.32</v>
      </c>
      <c r="AB13" s="95">
        <v>2983900</v>
      </c>
      <c r="AC13" s="10">
        <v>49.32</v>
      </c>
      <c r="AD13" s="2">
        <f t="shared" si="0"/>
        <v>0.56000000000000227</v>
      </c>
      <c r="AE13" s="138">
        <f t="shared" si="1"/>
        <v>8.5889570552146743E-3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42599</v>
      </c>
      <c r="X14" s="10">
        <v>48.76</v>
      </c>
      <c r="Y14" s="10">
        <v>49.16</v>
      </c>
      <c r="Z14" s="10">
        <v>48.32</v>
      </c>
      <c r="AA14" s="10">
        <v>48.9</v>
      </c>
      <c r="AB14" s="95">
        <v>2566900</v>
      </c>
      <c r="AC14" s="10">
        <v>48.9</v>
      </c>
      <c r="AD14" s="2">
        <f t="shared" si="0"/>
        <v>0.83999999999999631</v>
      </c>
      <c r="AE14" s="138">
        <f t="shared" si="1"/>
        <v>7.6241500103029214E-3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42598</v>
      </c>
      <c r="X15" s="10">
        <v>48.71</v>
      </c>
      <c r="Y15" s="10">
        <v>49.02</v>
      </c>
      <c r="Z15" s="10">
        <v>48.49</v>
      </c>
      <c r="AA15" s="10">
        <v>48.53</v>
      </c>
      <c r="AB15" s="95">
        <v>2217800</v>
      </c>
      <c r="AC15" s="10">
        <v>48.53</v>
      </c>
      <c r="AD15" s="2">
        <f t="shared" si="0"/>
        <v>0.53000000000000114</v>
      </c>
      <c r="AE15" s="138">
        <f t="shared" si="1"/>
        <v>-4.5128205128205368E-3</v>
      </c>
    </row>
    <row r="16" spans="1:40" x14ac:dyDescent="0.25">
      <c r="G16" s="1"/>
      <c r="W16" s="133">
        <v>42597</v>
      </c>
      <c r="X16" s="10">
        <v>48.72</v>
      </c>
      <c r="Y16" s="10">
        <v>48.9</v>
      </c>
      <c r="Z16" s="10">
        <v>48.5</v>
      </c>
      <c r="AA16" s="10">
        <v>48.75</v>
      </c>
      <c r="AB16" s="95">
        <v>3309600</v>
      </c>
      <c r="AC16" s="10">
        <v>48.75</v>
      </c>
      <c r="AD16" s="2">
        <f t="shared" si="0"/>
        <v>0.39999999999999858</v>
      </c>
      <c r="AE16" s="138">
        <f t="shared" si="1"/>
        <v>5.9843169624431702E-3</v>
      </c>
    </row>
    <row r="17" spans="1:31" x14ac:dyDescent="0.25">
      <c r="G17" s="1"/>
      <c r="W17" s="133">
        <v>42594</v>
      </c>
      <c r="X17" s="10">
        <v>48.4</v>
      </c>
      <c r="Y17" s="10">
        <v>48.52</v>
      </c>
      <c r="Z17" s="10">
        <v>47.73</v>
      </c>
      <c r="AA17" s="10">
        <v>48.46</v>
      </c>
      <c r="AB17" s="95">
        <v>3618700</v>
      </c>
      <c r="AC17" s="10">
        <v>48.46</v>
      </c>
      <c r="AD17" s="2">
        <f t="shared" si="0"/>
        <v>0.79000000000000625</v>
      </c>
      <c r="AE17" s="138">
        <f t="shared" si="1"/>
        <v>-5.1324163416136548E-3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42593</v>
      </c>
      <c r="X18" s="10">
        <v>49.09</v>
      </c>
      <c r="Y18" s="10">
        <v>49.4</v>
      </c>
      <c r="Z18" s="10">
        <v>48.56</v>
      </c>
      <c r="AA18" s="10">
        <v>48.71</v>
      </c>
      <c r="AB18" s="95">
        <v>3444900</v>
      </c>
      <c r="AC18" s="10">
        <v>48.71</v>
      </c>
      <c r="AD18" s="2">
        <f t="shared" si="0"/>
        <v>0.83999999999999631</v>
      </c>
      <c r="AE18" s="138">
        <f t="shared" si="1"/>
        <v>-1.6396802623488416E-3</v>
      </c>
    </row>
    <row r="19" spans="1:31" x14ac:dyDescent="0.25">
      <c r="N19" s="2"/>
      <c r="W19" s="133">
        <v>42592</v>
      </c>
      <c r="X19" s="10">
        <v>49.3</v>
      </c>
      <c r="Y19" s="10">
        <v>49.91</v>
      </c>
      <c r="Z19" s="10">
        <v>48.01</v>
      </c>
      <c r="AA19" s="10">
        <v>48.79</v>
      </c>
      <c r="AB19" s="95">
        <v>7496200</v>
      </c>
      <c r="AC19" s="10">
        <v>48.79</v>
      </c>
      <c r="AD19" s="2">
        <f t="shared" si="0"/>
        <v>1.8999999999999986</v>
      </c>
      <c r="AE19" s="138">
        <f t="shared" si="1"/>
        <v>-2.2636217948717952E-2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W20" s="133">
        <v>42591</v>
      </c>
      <c r="X20" s="10">
        <v>48.6</v>
      </c>
      <c r="Y20" s="10">
        <v>50.4</v>
      </c>
      <c r="Z20" s="10">
        <v>48.6</v>
      </c>
      <c r="AA20" s="10">
        <v>49.92</v>
      </c>
      <c r="AB20" s="95">
        <v>7636700</v>
      </c>
      <c r="AC20" s="10">
        <v>49.92</v>
      </c>
      <c r="AD20" s="2">
        <f t="shared" si="0"/>
        <v>1.7999999999999972</v>
      </c>
      <c r="AE20" s="138">
        <f t="shared" si="1"/>
        <v>2.8642077065732519E-2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42590</v>
      </c>
      <c r="X21" s="10">
        <v>48.42</v>
      </c>
      <c r="Y21" s="10">
        <v>49.32</v>
      </c>
      <c r="Z21" s="10">
        <v>48.24</v>
      </c>
      <c r="AA21" s="10">
        <v>48.53</v>
      </c>
      <c r="AB21" s="95">
        <v>6708700</v>
      </c>
      <c r="AC21" s="10">
        <v>48.53</v>
      </c>
      <c r="AD21" s="2">
        <f t="shared" si="0"/>
        <v>1.0799999999999983</v>
      </c>
      <c r="AE21" s="138">
        <f t="shared" si="1"/>
        <v>1.4444903012793553E-3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42587</v>
      </c>
      <c r="X22" s="10">
        <v>48.98</v>
      </c>
      <c r="Y22" s="10">
        <v>49.11</v>
      </c>
      <c r="Z22" s="10">
        <v>48.3</v>
      </c>
      <c r="AA22" s="10">
        <v>48.46</v>
      </c>
      <c r="AB22" s="95">
        <v>4747200</v>
      </c>
      <c r="AC22" s="10">
        <v>48.46</v>
      </c>
      <c r="AD22" s="2">
        <f t="shared" si="0"/>
        <v>0.81000000000000227</v>
      </c>
      <c r="AE22" s="138">
        <f t="shared" si="1"/>
        <v>-1.8537590113284486E-3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42586</v>
      </c>
      <c r="X23" s="10">
        <v>48.31</v>
      </c>
      <c r="Y23" s="10">
        <v>49.19</v>
      </c>
      <c r="Z23" s="10">
        <v>48.25</v>
      </c>
      <c r="AA23" s="10">
        <v>48.55</v>
      </c>
      <c r="AB23" s="95">
        <v>11709900</v>
      </c>
      <c r="AC23" s="10">
        <v>48.55</v>
      </c>
      <c r="AD23" s="2">
        <f t="shared" si="0"/>
        <v>0.93999999999999773</v>
      </c>
      <c r="AE23" s="138">
        <f t="shared" si="1"/>
        <v>2.8919644701508318E-3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42585</v>
      </c>
      <c r="X24" s="10">
        <v>46.33</v>
      </c>
      <c r="Y24" s="10">
        <v>48.54</v>
      </c>
      <c r="Z24" s="10">
        <v>46.3</v>
      </c>
      <c r="AA24" s="10">
        <v>48.41</v>
      </c>
      <c r="AB24" s="95">
        <v>7782500</v>
      </c>
      <c r="AC24" s="10">
        <v>48.41</v>
      </c>
      <c r="AD24" s="2">
        <f t="shared" si="0"/>
        <v>2.240000000000002</v>
      </c>
      <c r="AE24" s="138">
        <f t="shared" si="1"/>
        <v>4.040404040404022E-2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42584</v>
      </c>
      <c r="X25" s="10">
        <v>46.4</v>
      </c>
      <c r="Y25" s="10">
        <v>46.74</v>
      </c>
      <c r="Z25" s="10">
        <v>45.68</v>
      </c>
      <c r="AA25" s="10">
        <v>46.53</v>
      </c>
      <c r="AB25" s="95">
        <v>4814300</v>
      </c>
      <c r="AC25" s="10">
        <v>46.53</v>
      </c>
      <c r="AD25" s="2">
        <f t="shared" si="0"/>
        <v>1.0600000000000023</v>
      </c>
      <c r="AE25" s="138">
        <f t="shared" si="1"/>
        <v>-4.49293966623876E-3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42583</v>
      </c>
      <c r="X26" s="10">
        <v>46.79</v>
      </c>
      <c r="Y26" s="10">
        <v>47.12</v>
      </c>
      <c r="Z26" s="10">
        <v>46.36</v>
      </c>
      <c r="AA26" s="10">
        <v>46.74</v>
      </c>
      <c r="AB26" s="95">
        <v>3122700</v>
      </c>
      <c r="AC26" s="10">
        <v>46.74</v>
      </c>
      <c r="AD26" s="2">
        <f t="shared" si="0"/>
        <v>0.75999999999999801</v>
      </c>
      <c r="AE26" s="138">
        <f t="shared" si="1"/>
        <v>-1.0686044026501085E-3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42580</v>
      </c>
      <c r="X27" s="10">
        <v>46.7</v>
      </c>
      <c r="Y27" s="10">
        <v>46.94</v>
      </c>
      <c r="Z27" s="10">
        <v>46.11</v>
      </c>
      <c r="AA27" s="10">
        <v>46.79</v>
      </c>
      <c r="AB27" s="95">
        <v>2658900</v>
      </c>
      <c r="AC27" s="10">
        <v>46.79</v>
      </c>
      <c r="AD27" s="2">
        <f t="shared" si="0"/>
        <v>0.82999999999999829</v>
      </c>
      <c r="AE27" s="138">
        <f t="shared" si="1"/>
        <v>1.4982876712328341E-3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42579</v>
      </c>
      <c r="X28" s="10">
        <v>46.82</v>
      </c>
      <c r="Y28" s="10">
        <v>46.92</v>
      </c>
      <c r="Z28" s="10">
        <v>45.82</v>
      </c>
      <c r="AA28" s="10">
        <v>46.72</v>
      </c>
      <c r="AB28" s="95">
        <v>3866700</v>
      </c>
      <c r="AC28" s="10">
        <v>46.72</v>
      </c>
      <c r="AD28" s="2">
        <f t="shared" si="0"/>
        <v>1.1000000000000014</v>
      </c>
      <c r="AE28" s="138">
        <f t="shared" si="1"/>
        <v>-4.4747496271042575E-3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42578</v>
      </c>
      <c r="X29" s="10">
        <v>46.53</v>
      </c>
      <c r="Y29" s="10">
        <v>47.01</v>
      </c>
      <c r="Z29" s="10">
        <v>46.38</v>
      </c>
      <c r="AA29" s="10">
        <v>46.93</v>
      </c>
      <c r="AB29" s="95">
        <v>2952100</v>
      </c>
      <c r="AC29" s="10">
        <v>46.93</v>
      </c>
      <c r="AD29" s="2">
        <f t="shared" si="0"/>
        <v>0.62999999999999545</v>
      </c>
      <c r="AE29" s="138">
        <f t="shared" si="1"/>
        <v>9.6815834767642883E-3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42577</v>
      </c>
      <c r="X30" s="10">
        <v>47.13</v>
      </c>
      <c r="Y30" s="10">
        <v>48.34</v>
      </c>
      <c r="Z30" s="10">
        <v>46.42</v>
      </c>
      <c r="AA30" s="10">
        <v>46.48</v>
      </c>
      <c r="AB30" s="95">
        <v>3797000</v>
      </c>
      <c r="AC30" s="10">
        <v>46.48</v>
      </c>
      <c r="AD30" s="2">
        <f t="shared" si="0"/>
        <v>1.9200000000000017</v>
      </c>
      <c r="AE30" s="138">
        <f t="shared" si="1"/>
        <v>-1.6920473773265776E-2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42576</v>
      </c>
      <c r="X31" s="10">
        <v>46.58</v>
      </c>
      <c r="Y31" s="10">
        <v>47.34</v>
      </c>
      <c r="Z31" s="10">
        <v>46.51</v>
      </c>
      <c r="AA31" s="10">
        <v>47.28</v>
      </c>
      <c r="AB31" s="95">
        <v>2763600</v>
      </c>
      <c r="AC31" s="10">
        <v>47.28</v>
      </c>
      <c r="AD31" s="2">
        <f t="shared" si="0"/>
        <v>0.8300000000000054</v>
      </c>
      <c r="AE31" s="138">
        <f t="shared" si="1"/>
        <v>1.481004507405026E-2</v>
      </c>
    </row>
    <row r="32" spans="1:31" x14ac:dyDescent="0.25">
      <c r="W32" s="133">
        <v>42573</v>
      </c>
      <c r="X32" s="10">
        <v>47.04</v>
      </c>
      <c r="Y32" s="10">
        <v>47.06</v>
      </c>
      <c r="Z32" s="10">
        <v>46.09</v>
      </c>
      <c r="AA32" s="10">
        <v>46.59</v>
      </c>
      <c r="AB32" s="95">
        <v>2236400</v>
      </c>
      <c r="AC32" s="10">
        <v>46.59</v>
      </c>
      <c r="AD32" s="2">
        <f t="shared" si="0"/>
        <v>0.96999999999999886</v>
      </c>
      <c r="AE32" s="138">
        <f t="shared" si="1"/>
        <v>-5.7618437900127661E-3</v>
      </c>
    </row>
    <row r="33" spans="1:31" x14ac:dyDescent="0.25">
      <c r="W33" s="133">
        <v>42572</v>
      </c>
      <c r="X33" s="10">
        <v>47.02</v>
      </c>
      <c r="Y33" s="10">
        <v>47.69</v>
      </c>
      <c r="Z33" s="10">
        <v>45.97</v>
      </c>
      <c r="AA33" s="10">
        <v>46.86</v>
      </c>
      <c r="AB33" s="95">
        <v>4706300</v>
      </c>
      <c r="AC33" s="10">
        <v>46.86</v>
      </c>
      <c r="AD33" s="2">
        <f t="shared" si="0"/>
        <v>1.7199999999999989</v>
      </c>
      <c r="AE33" s="138">
        <f t="shared" si="1"/>
        <v>-7.2033898305084998E-3</v>
      </c>
    </row>
    <row r="34" spans="1:31" x14ac:dyDescent="0.25">
      <c r="W34" s="133">
        <v>42571</v>
      </c>
      <c r="X34" s="10">
        <v>45.07</v>
      </c>
      <c r="Y34" s="10">
        <v>47.21</v>
      </c>
      <c r="Z34" s="10">
        <v>44.99</v>
      </c>
      <c r="AA34" s="10">
        <v>47.2</v>
      </c>
      <c r="AB34" s="95">
        <v>5311800</v>
      </c>
      <c r="AC34" s="10">
        <v>47.2</v>
      </c>
      <c r="AD34" s="2">
        <f t="shared" si="0"/>
        <v>2.2199999999999989</v>
      </c>
      <c r="AE34" s="138">
        <f t="shared" si="1"/>
        <v>5.0523035833518914E-2</v>
      </c>
    </row>
    <row r="35" spans="1:31" x14ac:dyDescent="0.25">
      <c r="L35" t="s">
        <v>223</v>
      </c>
      <c r="M35" s="2">
        <f>K53+M53-F53</f>
        <v>439.77999999999975</v>
      </c>
      <c r="W35" s="133">
        <v>42570</v>
      </c>
      <c r="X35" s="10">
        <v>45.32</v>
      </c>
      <c r="Y35" s="10">
        <v>45.75</v>
      </c>
      <c r="Z35" s="10">
        <v>44.74</v>
      </c>
      <c r="AA35" s="10">
        <v>44.93</v>
      </c>
      <c r="AB35" s="95">
        <v>3856200</v>
      </c>
      <c r="AC35" s="10">
        <v>44.93</v>
      </c>
      <c r="AD35" s="2">
        <f t="shared" si="0"/>
        <v>1.009999999999998</v>
      </c>
      <c r="AE35" s="138">
        <f t="shared" si="1"/>
        <v>-1.3178124313639406E-2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0" t="s">
        <v>7</v>
      </c>
      <c r="J36" s="390" t="s">
        <v>95</v>
      </c>
      <c r="K36" s="392" t="s">
        <v>61</v>
      </c>
      <c r="L36" s="390" t="s">
        <v>77</v>
      </c>
      <c r="M36" s="390" t="s">
        <v>38</v>
      </c>
      <c r="W36" s="133">
        <v>42569</v>
      </c>
      <c r="X36" s="10">
        <v>45.56</v>
      </c>
      <c r="Y36" s="10">
        <v>45.92</v>
      </c>
      <c r="Z36" s="10">
        <v>45.41</v>
      </c>
      <c r="AA36" s="10">
        <v>45.53</v>
      </c>
      <c r="AB36" s="95">
        <v>3529800</v>
      </c>
      <c r="AC36" s="10">
        <v>45.53</v>
      </c>
      <c r="AD36" s="2">
        <f t="shared" si="0"/>
        <v>0.51000000000000512</v>
      </c>
      <c r="AE36" s="138">
        <f t="shared" si="1"/>
        <v>1.7601760176018111E-3</v>
      </c>
    </row>
    <row r="37" spans="1:31" x14ac:dyDescent="0.25">
      <c r="A37" s="393" t="s">
        <v>218</v>
      </c>
      <c r="B37" s="383">
        <v>42502</v>
      </c>
      <c r="C37" s="384">
        <v>60</v>
      </c>
      <c r="D37" s="385">
        <v>38.25</v>
      </c>
      <c r="E37" s="385">
        <v>0</v>
      </c>
      <c r="F37" s="385">
        <f>C37*D37 + E37</f>
        <v>2295</v>
      </c>
      <c r="G37" s="383">
        <v>42528</v>
      </c>
      <c r="H37" s="388">
        <v>30</v>
      </c>
      <c r="I37" s="385">
        <v>45.25</v>
      </c>
      <c r="J37" s="385">
        <v>0.03</v>
      </c>
      <c r="K37" s="385">
        <f>H37*I37 - J37</f>
        <v>1357.47</v>
      </c>
      <c r="L37" s="384"/>
      <c r="M37" s="384"/>
      <c r="W37" s="133">
        <v>42566</v>
      </c>
      <c r="X37" s="10">
        <v>45.83</v>
      </c>
      <c r="Y37" s="10">
        <v>45.9</v>
      </c>
      <c r="Z37" s="10">
        <v>45.15</v>
      </c>
      <c r="AA37" s="10">
        <v>45.45</v>
      </c>
      <c r="AB37" s="95">
        <v>2696000</v>
      </c>
      <c r="AC37" s="10">
        <v>45.45</v>
      </c>
      <c r="AD37" s="2">
        <f t="shared" si="0"/>
        <v>0.75</v>
      </c>
      <c r="AE37" s="138">
        <f t="shared" si="1"/>
        <v>1.5425297487881018E-3</v>
      </c>
    </row>
    <row r="38" spans="1:31" x14ac:dyDescent="0.25">
      <c r="A38" s="394" t="s">
        <v>71</v>
      </c>
      <c r="B38" s="395"/>
      <c r="C38" s="384"/>
      <c r="D38" s="385"/>
      <c r="E38" s="385"/>
      <c r="F38" s="385"/>
      <c r="G38" s="383">
        <v>42544</v>
      </c>
      <c r="H38" s="388">
        <v>30</v>
      </c>
      <c r="I38" s="385">
        <v>45.91</v>
      </c>
      <c r="J38" s="385">
        <v>-0.01</v>
      </c>
      <c r="K38" s="385">
        <f>H38*I38 - J38</f>
        <v>1377.31</v>
      </c>
      <c r="L38" s="384"/>
      <c r="M38" s="384"/>
      <c r="W38" s="133">
        <v>42565</v>
      </c>
      <c r="X38" s="10">
        <v>45.85</v>
      </c>
      <c r="Y38" s="10">
        <v>45.97</v>
      </c>
      <c r="Z38" s="10">
        <v>45.28</v>
      </c>
      <c r="AA38" s="10">
        <v>45.38</v>
      </c>
      <c r="AB38" s="95">
        <v>2502400</v>
      </c>
      <c r="AC38" s="10">
        <v>45.38</v>
      </c>
      <c r="AD38" s="2">
        <f t="shared" si="0"/>
        <v>0.68999999999999773</v>
      </c>
      <c r="AE38" s="138">
        <f t="shared" si="1"/>
        <v>1.7660044150111798E-3</v>
      </c>
    </row>
    <row r="39" spans="1:31" x14ac:dyDescent="0.25">
      <c r="A39" s="384"/>
      <c r="B39" s="395"/>
      <c r="C39" s="384"/>
      <c r="D39" s="385"/>
      <c r="E39" s="385"/>
      <c r="F39" s="385"/>
      <c r="G39" s="383"/>
      <c r="H39" s="388"/>
      <c r="I39" s="385"/>
      <c r="J39" s="385"/>
      <c r="K39" s="385"/>
      <c r="L39" s="384"/>
      <c r="M39" s="384"/>
      <c r="W39" s="133">
        <v>42564</v>
      </c>
      <c r="X39" s="10">
        <v>45.94</v>
      </c>
      <c r="Y39" s="10">
        <v>46.78</v>
      </c>
      <c r="Z39" s="10">
        <v>45.28</v>
      </c>
      <c r="AA39" s="10">
        <v>45.3</v>
      </c>
      <c r="AB39" s="95">
        <v>3604100</v>
      </c>
      <c r="AC39" s="10">
        <v>45.3</v>
      </c>
      <c r="AD39" s="2">
        <f t="shared" si="0"/>
        <v>1.5</v>
      </c>
      <c r="AE39" s="138">
        <f t="shared" si="1"/>
        <v>3.1000885739591588E-3</v>
      </c>
    </row>
    <row r="40" spans="1:31" x14ac:dyDescent="0.25">
      <c r="A40" s="384"/>
      <c r="B40" s="383"/>
      <c r="C40" s="384"/>
      <c r="D40" s="385"/>
      <c r="E40" s="385"/>
      <c r="F40" s="385"/>
      <c r="G40" s="383"/>
      <c r="H40" s="388"/>
      <c r="I40" s="385"/>
      <c r="J40" s="385"/>
      <c r="K40" s="385"/>
      <c r="L40" s="384"/>
      <c r="M40" s="384"/>
      <c r="W40" s="133">
        <v>42563</v>
      </c>
      <c r="X40" s="10">
        <v>44.78</v>
      </c>
      <c r="Y40" s="10">
        <v>45.39</v>
      </c>
      <c r="Z40" s="10">
        <v>44.74</v>
      </c>
      <c r="AA40" s="10">
        <v>45.16</v>
      </c>
      <c r="AB40" s="95">
        <v>2629100</v>
      </c>
      <c r="AC40" s="10">
        <v>45.16</v>
      </c>
      <c r="AD40" s="2">
        <f t="shared" si="0"/>
        <v>0.64999999999999858</v>
      </c>
      <c r="AE40" s="138">
        <f t="shared" si="1"/>
        <v>1.3692480359146941E-2</v>
      </c>
    </row>
    <row r="41" spans="1:31" x14ac:dyDescent="0.25">
      <c r="A41" s="384"/>
      <c r="B41" s="395"/>
      <c r="C41" s="384"/>
      <c r="D41" s="385"/>
      <c r="E41" s="385"/>
      <c r="F41" s="385"/>
      <c r="G41" s="383"/>
      <c r="H41" s="388"/>
      <c r="I41" s="385"/>
      <c r="J41" s="385"/>
      <c r="K41" s="385"/>
      <c r="L41" s="384"/>
      <c r="M41" s="384"/>
      <c r="W41" s="133">
        <v>42562</v>
      </c>
      <c r="X41" s="10">
        <v>44.72</v>
      </c>
      <c r="Y41" s="10">
        <v>44.88</v>
      </c>
      <c r="Z41" s="10">
        <v>44.31</v>
      </c>
      <c r="AA41" s="10">
        <v>44.55</v>
      </c>
      <c r="AB41" s="95">
        <v>3109900</v>
      </c>
      <c r="AC41" s="10">
        <v>44.55</v>
      </c>
      <c r="AD41" s="2">
        <f t="shared" si="0"/>
        <v>0.57000000000000028</v>
      </c>
      <c r="AE41" s="138">
        <f t="shared" si="1"/>
        <v>2.2451728783101643E-4</v>
      </c>
    </row>
    <row r="42" spans="1:31" ht="20.25" thickBot="1" x14ac:dyDescent="0.35">
      <c r="A42" s="384"/>
      <c r="B42" s="395"/>
      <c r="C42" s="384"/>
      <c r="D42" s="385"/>
      <c r="E42" s="385"/>
      <c r="F42" s="385"/>
      <c r="G42" s="383"/>
      <c r="H42" s="388"/>
      <c r="I42" s="385"/>
      <c r="J42" s="385"/>
      <c r="K42" s="385"/>
      <c r="L42" s="384"/>
      <c r="M42" s="384"/>
      <c r="O42" s="545" t="s">
        <v>78</v>
      </c>
      <c r="P42" s="545"/>
      <c r="T42" s="112" t="s">
        <v>113</v>
      </c>
      <c r="U42" s="9"/>
      <c r="W42" s="133">
        <v>42559</v>
      </c>
      <c r="X42" s="10">
        <v>44.18</v>
      </c>
      <c r="Y42" s="10">
        <v>44.79</v>
      </c>
      <c r="Z42" s="10">
        <v>43.8</v>
      </c>
      <c r="AA42" s="10">
        <v>44.54</v>
      </c>
      <c r="AB42" s="95">
        <v>2490500</v>
      </c>
      <c r="AC42" s="10">
        <v>44.54</v>
      </c>
      <c r="AD42" s="2">
        <f t="shared" si="0"/>
        <v>0.99000000000000199</v>
      </c>
      <c r="AE42" s="138">
        <f t="shared" si="1"/>
        <v>1.922196796338671E-2</v>
      </c>
    </row>
    <row r="43" spans="1:31" ht="15.75" thickTop="1" x14ac:dyDescent="0.25">
      <c r="A43" s="384"/>
      <c r="B43" s="383"/>
      <c r="C43" s="384"/>
      <c r="D43" s="385"/>
      <c r="E43" s="385"/>
      <c r="F43" s="385"/>
      <c r="G43" s="383"/>
      <c r="H43" s="388"/>
      <c r="I43" s="385"/>
      <c r="J43" s="385"/>
      <c r="K43" s="385"/>
      <c r="L43" s="384"/>
      <c r="M43" s="384"/>
      <c r="O43" s="83">
        <v>1.1000000000000001</v>
      </c>
      <c r="P43" s="83">
        <f>O43*$Q$4</f>
        <v>44.440000000000005</v>
      </c>
      <c r="Q43" s="2"/>
      <c r="T43" s="139" t="s">
        <v>98</v>
      </c>
      <c r="U43" s="370">
        <v>41.92</v>
      </c>
      <c r="W43" s="133">
        <v>42558</v>
      </c>
      <c r="X43" s="10">
        <v>43.76</v>
      </c>
      <c r="Y43" s="10">
        <v>43.92</v>
      </c>
      <c r="Z43" s="10">
        <v>43.14</v>
      </c>
      <c r="AA43" s="10">
        <v>43.7</v>
      </c>
      <c r="AB43" s="95">
        <v>2110900</v>
      </c>
      <c r="AC43" s="10">
        <v>43.7</v>
      </c>
      <c r="AD43" s="2">
        <f t="shared" si="0"/>
        <v>0.78000000000000114</v>
      </c>
      <c r="AE43" s="138">
        <f t="shared" si="1"/>
        <v>3.6747818098301632E-3</v>
      </c>
    </row>
    <row r="44" spans="1:31" x14ac:dyDescent="0.25">
      <c r="A44" s="384"/>
      <c r="B44" s="383"/>
      <c r="C44" s="384"/>
      <c r="D44" s="385"/>
      <c r="E44" s="385"/>
      <c r="F44" s="385"/>
      <c r="G44" s="383"/>
      <c r="H44" s="388"/>
      <c r="I44" s="385"/>
      <c r="J44" s="385"/>
      <c r="K44" s="385"/>
      <c r="L44" s="384"/>
      <c r="M44" s="384"/>
      <c r="O44" s="83">
        <v>1.0900000000000001</v>
      </c>
      <c r="P44" s="83">
        <f t="shared" ref="P44:P63" si="3">O44*$Q$4</f>
        <v>44.036000000000001</v>
      </c>
      <c r="Q44" s="2"/>
      <c r="T44" s="108" t="s">
        <v>99</v>
      </c>
      <c r="U44" s="371">
        <v>42.01</v>
      </c>
      <c r="W44" s="133">
        <v>42557</v>
      </c>
      <c r="X44" s="10">
        <v>42.64</v>
      </c>
      <c r="Y44" s="10">
        <v>43.6</v>
      </c>
      <c r="Z44" s="10">
        <v>41.99</v>
      </c>
      <c r="AA44" s="10">
        <v>43.54</v>
      </c>
      <c r="AB44" s="95">
        <v>3764000</v>
      </c>
      <c r="AC44" s="10">
        <v>43.54</v>
      </c>
      <c r="AD44" s="2">
        <f t="shared" si="0"/>
        <v>1.6099999999999994</v>
      </c>
      <c r="AE44" s="138">
        <f t="shared" si="1"/>
        <v>2.0389032106866489E-2</v>
      </c>
    </row>
    <row r="45" spans="1:31" x14ac:dyDescent="0.25">
      <c r="A45" s="384"/>
      <c r="B45" s="383"/>
      <c r="C45" s="384"/>
      <c r="D45" s="385"/>
      <c r="E45" s="385"/>
      <c r="F45" s="385"/>
      <c r="G45" s="383"/>
      <c r="H45" s="384"/>
      <c r="I45" s="384"/>
      <c r="J45" s="384"/>
      <c r="K45" s="385"/>
      <c r="L45" s="384"/>
      <c r="M45" s="384"/>
      <c r="O45" s="83">
        <v>1.08</v>
      </c>
      <c r="P45" s="83">
        <f t="shared" si="3"/>
        <v>43.631999999999998</v>
      </c>
      <c r="Q45" s="2"/>
      <c r="T45" s="108" t="s">
        <v>100</v>
      </c>
      <c r="U45" s="371" t="s">
        <v>489</v>
      </c>
      <c r="W45" s="133">
        <v>42556</v>
      </c>
      <c r="X45" s="10">
        <v>43.3</v>
      </c>
      <c r="Y45" s="10">
        <v>43.31</v>
      </c>
      <c r="Z45" s="10">
        <v>42.33</v>
      </c>
      <c r="AA45" s="10">
        <v>42.67</v>
      </c>
      <c r="AB45" s="95">
        <v>4036200</v>
      </c>
      <c r="AC45" s="10">
        <v>42.67</v>
      </c>
      <c r="AD45" s="2">
        <f t="shared" si="0"/>
        <v>0.98000000000000398</v>
      </c>
      <c r="AE45" s="138">
        <f t="shared" si="1"/>
        <v>-1.8629254829806707E-2</v>
      </c>
    </row>
    <row r="46" spans="1:31" x14ac:dyDescent="0.25">
      <c r="A46" s="384"/>
      <c r="B46" s="383"/>
      <c r="C46" s="384"/>
      <c r="D46" s="385"/>
      <c r="E46" s="385"/>
      <c r="F46" s="385"/>
      <c r="G46" s="383"/>
      <c r="H46" s="384"/>
      <c r="I46" s="384"/>
      <c r="J46" s="384"/>
      <c r="K46" s="385"/>
      <c r="L46" s="384"/>
      <c r="M46" s="384"/>
      <c r="O46" s="83">
        <v>1.07</v>
      </c>
      <c r="P46" s="83">
        <f t="shared" si="3"/>
        <v>43.228000000000002</v>
      </c>
      <c r="Q46" s="2"/>
      <c r="T46" s="108" t="s">
        <v>101</v>
      </c>
      <c r="U46" s="371" t="s">
        <v>490</v>
      </c>
      <c r="W46" s="133">
        <v>42552</v>
      </c>
      <c r="X46" s="10">
        <v>43.34</v>
      </c>
      <c r="Y46" s="10">
        <v>43.59</v>
      </c>
      <c r="Z46" s="10">
        <v>42.84</v>
      </c>
      <c r="AA46" s="10">
        <v>43.48</v>
      </c>
      <c r="AB46" s="95">
        <v>5332200</v>
      </c>
      <c r="AC46" s="10">
        <v>43.48</v>
      </c>
      <c r="AD46" s="2">
        <f t="shared" si="0"/>
        <v>0.75</v>
      </c>
      <c r="AE46" s="138">
        <f t="shared" si="1"/>
        <v>5.5504162812209934E-3</v>
      </c>
    </row>
    <row r="47" spans="1:31" x14ac:dyDescent="0.25">
      <c r="A47" s="384"/>
      <c r="B47" s="383"/>
      <c r="C47" s="384"/>
      <c r="D47" s="385"/>
      <c r="E47" s="385"/>
      <c r="F47" s="385"/>
      <c r="G47" s="383"/>
      <c r="H47" s="384"/>
      <c r="I47" s="384"/>
      <c r="J47" s="384"/>
      <c r="K47" s="385"/>
      <c r="L47" s="384"/>
      <c r="M47" s="384"/>
      <c r="O47" s="83">
        <v>1.06</v>
      </c>
      <c r="P47" s="83">
        <f t="shared" si="3"/>
        <v>42.823999999999998</v>
      </c>
      <c r="Q47" s="2"/>
      <c r="T47" s="108" t="s">
        <v>102</v>
      </c>
      <c r="U47" s="371">
        <v>58.06</v>
      </c>
      <c r="W47" s="133">
        <v>42551</v>
      </c>
      <c r="X47" s="10">
        <v>43.25</v>
      </c>
      <c r="Y47" s="10">
        <v>43.37</v>
      </c>
      <c r="Z47" s="10">
        <v>42.47</v>
      </c>
      <c r="AA47" s="10">
        <v>43.24</v>
      </c>
      <c r="AB47" s="95">
        <v>7206400</v>
      </c>
      <c r="AC47" s="10">
        <v>43.24</v>
      </c>
      <c r="AD47" s="2">
        <f t="shared" si="0"/>
        <v>0.89999999999999858</v>
      </c>
      <c r="AE47" s="138">
        <f t="shared" si="1"/>
        <v>4.6274872744112017E-4</v>
      </c>
    </row>
    <row r="48" spans="1:31" x14ac:dyDescent="0.25">
      <c r="A48" s="384"/>
      <c r="B48" s="383"/>
      <c r="C48" s="384"/>
      <c r="D48" s="385"/>
      <c r="E48" s="385"/>
      <c r="F48" s="385"/>
      <c r="G48" s="383"/>
      <c r="H48" s="384"/>
      <c r="I48" s="385"/>
      <c r="J48" s="384"/>
      <c r="K48" s="385"/>
      <c r="L48" s="384"/>
      <c r="M48" s="384"/>
      <c r="O48" s="83">
        <v>1.05</v>
      </c>
      <c r="P48" s="83">
        <f t="shared" si="3"/>
        <v>42.42</v>
      </c>
      <c r="Q48" s="2"/>
      <c r="T48" s="108" t="s">
        <v>103</v>
      </c>
      <c r="U48" s="371">
        <v>1.4606300000000001</v>
      </c>
      <c r="W48" s="133">
        <v>42550</v>
      </c>
      <c r="X48" s="10">
        <v>43.17</v>
      </c>
      <c r="Y48" s="10">
        <v>43.93</v>
      </c>
      <c r="Z48" s="10">
        <v>42.67</v>
      </c>
      <c r="AA48" s="10">
        <v>43.22</v>
      </c>
      <c r="AB48" s="95">
        <v>4748800</v>
      </c>
      <c r="AC48" s="10">
        <v>43.22</v>
      </c>
      <c r="AD48" s="2">
        <f t="shared" si="0"/>
        <v>1.259999999999998</v>
      </c>
      <c r="AE48" s="138">
        <f t="shared" si="1"/>
        <v>9.3414292386735376E-3</v>
      </c>
    </row>
    <row r="49" spans="1:31" x14ac:dyDescent="0.25">
      <c r="A49" s="384"/>
      <c r="B49" s="383"/>
      <c r="C49" s="384"/>
      <c r="D49" s="385"/>
      <c r="E49" s="385"/>
      <c r="F49" s="385"/>
      <c r="G49" s="383"/>
      <c r="H49" s="384"/>
      <c r="I49" s="384"/>
      <c r="J49" s="384"/>
      <c r="K49" s="385"/>
      <c r="L49" s="384"/>
      <c r="M49" s="384"/>
      <c r="O49" s="83">
        <v>1.04</v>
      </c>
      <c r="P49" s="83">
        <f t="shared" si="3"/>
        <v>42.015999999999998</v>
      </c>
      <c r="Q49" s="2"/>
      <c r="T49" s="108" t="s">
        <v>123</v>
      </c>
      <c r="U49" s="371" t="s">
        <v>320</v>
      </c>
      <c r="W49" s="133">
        <v>42549</v>
      </c>
      <c r="X49" s="10">
        <v>42.18</v>
      </c>
      <c r="Y49" s="10">
        <v>43.07</v>
      </c>
      <c r="Z49" s="10">
        <v>42.14</v>
      </c>
      <c r="AA49" s="10">
        <v>42.82</v>
      </c>
      <c r="AB49" s="95">
        <v>3755300</v>
      </c>
      <c r="AC49" s="10">
        <v>42.82</v>
      </c>
      <c r="AD49" s="2">
        <f t="shared" si="0"/>
        <v>0.92999999999999972</v>
      </c>
      <c r="AE49" s="138">
        <f t="shared" si="1"/>
        <v>2.4156900263094805E-2</v>
      </c>
    </row>
    <row r="50" spans="1:31" x14ac:dyDescent="0.25">
      <c r="A50" s="384"/>
      <c r="B50" s="384"/>
      <c r="C50" s="384"/>
      <c r="D50" s="385"/>
      <c r="E50" s="385"/>
      <c r="F50" s="385"/>
      <c r="G50" s="383"/>
      <c r="H50" s="384"/>
      <c r="I50" s="384"/>
      <c r="J50" s="384"/>
      <c r="K50" s="385"/>
      <c r="L50" s="384"/>
      <c r="M50" s="384"/>
      <c r="O50" s="83">
        <v>1.03</v>
      </c>
      <c r="P50" s="83">
        <f t="shared" si="3"/>
        <v>41.612000000000002</v>
      </c>
      <c r="Q50" s="2"/>
      <c r="T50" s="108"/>
      <c r="U50" s="371"/>
      <c r="W50" s="133">
        <v>42548</v>
      </c>
      <c r="X50" s="10">
        <v>43.18</v>
      </c>
      <c r="Y50" s="10">
        <v>43.19</v>
      </c>
      <c r="Z50" s="10">
        <v>41.62</v>
      </c>
      <c r="AA50" s="10">
        <v>41.81</v>
      </c>
      <c r="AB50" s="95">
        <v>5270300</v>
      </c>
      <c r="AC50" s="10">
        <v>41.81</v>
      </c>
      <c r="AD50" s="2">
        <f t="shared" si="0"/>
        <v>1.5700000000000003</v>
      </c>
      <c r="AE50" s="138">
        <f t="shared" si="1"/>
        <v>-4.0174471992653782E-2</v>
      </c>
    </row>
    <row r="51" spans="1:31" x14ac:dyDescent="0.25">
      <c r="A51" s="384"/>
      <c r="B51" s="384"/>
      <c r="C51" s="384"/>
      <c r="D51" s="385"/>
      <c r="E51" s="385"/>
      <c r="F51" s="385"/>
      <c r="G51" s="383"/>
      <c r="H51" s="384"/>
      <c r="I51" s="384"/>
      <c r="J51" s="384"/>
      <c r="K51" s="385"/>
      <c r="L51" s="384"/>
      <c r="M51" s="384"/>
      <c r="O51" s="83">
        <v>1.02</v>
      </c>
      <c r="P51" s="83">
        <f t="shared" si="3"/>
        <v>41.207999999999998</v>
      </c>
      <c r="Q51" s="2"/>
      <c r="T51" s="108" t="s">
        <v>105</v>
      </c>
      <c r="U51" s="371" t="s">
        <v>491</v>
      </c>
      <c r="W51" s="133">
        <v>42545</v>
      </c>
      <c r="X51" s="10">
        <v>43.68</v>
      </c>
      <c r="Y51" s="10">
        <v>45.14</v>
      </c>
      <c r="Z51" s="10">
        <v>43.2</v>
      </c>
      <c r="AA51" s="10">
        <v>43.56</v>
      </c>
      <c r="AB51" s="95">
        <v>9367100</v>
      </c>
      <c r="AC51" s="10">
        <v>43.56</v>
      </c>
      <c r="AD51" s="2">
        <f t="shared" si="0"/>
        <v>1.9399999999999977</v>
      </c>
      <c r="AE51" s="138">
        <f t="shared" si="1"/>
        <v>-5.6325823223570048E-2</v>
      </c>
    </row>
    <row r="52" spans="1:31" x14ac:dyDescent="0.25">
      <c r="A52" s="384"/>
      <c r="B52" s="384"/>
      <c r="C52" s="384"/>
      <c r="D52" s="385"/>
      <c r="E52" s="385"/>
      <c r="F52" s="385"/>
      <c r="G52" s="383"/>
      <c r="H52" s="384"/>
      <c r="I52" s="384"/>
      <c r="J52" s="384"/>
      <c r="K52" s="385"/>
      <c r="L52" s="384"/>
      <c r="M52" s="384"/>
      <c r="O52" s="83">
        <v>1.01</v>
      </c>
      <c r="P52" s="83">
        <f t="shared" si="3"/>
        <v>40.804000000000002</v>
      </c>
      <c r="Q52" s="2"/>
      <c r="T52" s="108" t="s">
        <v>106</v>
      </c>
      <c r="U52" s="371" t="s">
        <v>350</v>
      </c>
      <c r="W52" s="133">
        <v>42544</v>
      </c>
      <c r="X52" s="10">
        <v>45.64</v>
      </c>
      <c r="Y52" s="10">
        <v>46.22</v>
      </c>
      <c r="Z52" s="10">
        <v>45.46</v>
      </c>
      <c r="AA52" s="10">
        <v>46.16</v>
      </c>
      <c r="AB52" s="95">
        <v>2964200</v>
      </c>
      <c r="AC52" s="10">
        <v>46.16</v>
      </c>
      <c r="AD52" s="2">
        <f t="shared" si="0"/>
        <v>0.75999999999999801</v>
      </c>
      <c r="AE52" s="138">
        <f t="shared" si="1"/>
        <v>2.5777777777777677E-2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40.4</v>
      </c>
      <c r="Q53" s="2"/>
      <c r="T53" s="108" t="s">
        <v>107</v>
      </c>
      <c r="U53" s="372">
        <v>17238016</v>
      </c>
      <c r="W53" s="133">
        <v>42543</v>
      </c>
      <c r="X53" s="10">
        <v>44.74</v>
      </c>
      <c r="Y53" s="10">
        <v>46.29</v>
      </c>
      <c r="Z53" s="10">
        <v>44.7</v>
      </c>
      <c r="AA53" s="10">
        <v>45</v>
      </c>
      <c r="AB53" s="95">
        <v>3360400</v>
      </c>
      <c r="AC53" s="10">
        <v>45</v>
      </c>
      <c r="AD53" s="2">
        <f t="shared" si="0"/>
        <v>1.5899999999999963</v>
      </c>
      <c r="AE53" s="138">
        <f t="shared" si="1"/>
        <v>2.673796791443861E-3</v>
      </c>
    </row>
    <row r="54" spans="1:31" x14ac:dyDescent="0.25">
      <c r="O54" s="83">
        <v>0.99</v>
      </c>
      <c r="P54" s="83">
        <f t="shared" si="3"/>
        <v>39.995999999999995</v>
      </c>
      <c r="Q54" s="2"/>
      <c r="T54" s="108" t="s">
        <v>110</v>
      </c>
      <c r="U54" s="372">
        <v>5456470</v>
      </c>
      <c r="W54" s="133">
        <v>42542</v>
      </c>
      <c r="X54" s="10">
        <v>45.56</v>
      </c>
      <c r="Y54" s="10">
        <v>45.79</v>
      </c>
      <c r="Z54" s="10">
        <v>44.06</v>
      </c>
      <c r="AA54" s="10">
        <v>44.88</v>
      </c>
      <c r="AB54" s="95">
        <v>5221100</v>
      </c>
      <c r="AC54" s="10">
        <v>44.88</v>
      </c>
      <c r="AD54" s="2">
        <f t="shared" si="0"/>
        <v>1.7299999999999969</v>
      </c>
      <c r="AE54" s="138">
        <f t="shared" si="1"/>
        <v>-1.1018069634200045E-2</v>
      </c>
    </row>
    <row r="55" spans="1:31" x14ac:dyDescent="0.25">
      <c r="B55" s="191" t="s">
        <v>114</v>
      </c>
      <c r="C55" s="191" t="s">
        <v>150</v>
      </c>
      <c r="D55" s="192" t="s">
        <v>149</v>
      </c>
      <c r="E55" s="194" t="s">
        <v>151</v>
      </c>
      <c r="F55" s="195" t="s">
        <v>65</v>
      </c>
      <c r="G55" s="229" t="s">
        <v>155</v>
      </c>
      <c r="H55" s="195" t="s">
        <v>88</v>
      </c>
      <c r="I55" s="195" t="s">
        <v>161</v>
      </c>
      <c r="O55" s="83">
        <v>0.98</v>
      </c>
      <c r="P55" s="83">
        <f t="shared" si="3"/>
        <v>39.591999999999999</v>
      </c>
      <c r="Q55" s="2"/>
      <c r="T55" s="108" t="s">
        <v>108</v>
      </c>
      <c r="U55" s="371" t="s">
        <v>492</v>
      </c>
      <c r="W55" s="133">
        <v>42541</v>
      </c>
      <c r="X55" s="10">
        <v>45.66</v>
      </c>
      <c r="Y55" s="10">
        <v>46.21</v>
      </c>
      <c r="Z55" s="10">
        <v>45.09</v>
      </c>
      <c r="AA55" s="10">
        <v>45.38</v>
      </c>
      <c r="AB55" s="95">
        <v>3812700</v>
      </c>
      <c r="AC55" s="10">
        <v>45.38</v>
      </c>
      <c r="AD55" s="2">
        <f t="shared" si="0"/>
        <v>1.1199999999999974</v>
      </c>
      <c r="AE55" s="138">
        <f t="shared" si="1"/>
        <v>8.2203954676740576E-3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39.187999999999995</v>
      </c>
      <c r="T56" s="108" t="s">
        <v>111</v>
      </c>
      <c r="U56" s="371">
        <v>25.3</v>
      </c>
      <c r="W56" s="133">
        <v>42538</v>
      </c>
      <c r="X56" s="10">
        <v>45.05</v>
      </c>
      <c r="Y56" s="10">
        <v>45.58</v>
      </c>
      <c r="Z56" s="10">
        <v>44.47</v>
      </c>
      <c r="AA56" s="10">
        <v>45.01</v>
      </c>
      <c r="AB56" s="95">
        <v>9207200</v>
      </c>
      <c r="AC56" s="10">
        <v>45.01</v>
      </c>
      <c r="AD56" s="2">
        <f t="shared" si="0"/>
        <v>1.1099999999999994</v>
      </c>
      <c r="AE56" s="138">
        <f t="shared" si="1"/>
        <v>-8.8790233074365066E-4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38.783999999999999</v>
      </c>
      <c r="T57" s="108" t="s">
        <v>112</v>
      </c>
      <c r="U57" s="371">
        <v>1.58</v>
      </c>
      <c r="W57" s="133">
        <v>42537</v>
      </c>
      <c r="X57" s="10">
        <v>44.4</v>
      </c>
      <c r="Y57" s="10">
        <v>45.12</v>
      </c>
      <c r="Z57" s="10">
        <v>44.09</v>
      </c>
      <c r="AA57" s="10">
        <v>45.05</v>
      </c>
      <c r="AB57" s="95">
        <v>3046000</v>
      </c>
      <c r="AC57" s="10">
        <v>45.05</v>
      </c>
      <c r="AD57" s="2">
        <f t="shared" si="0"/>
        <v>1.029999999999994</v>
      </c>
      <c r="AE57" s="138">
        <f t="shared" si="1"/>
        <v>6.9289226642823554E-3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38.379999999999995</v>
      </c>
      <c r="T58" s="108" t="s">
        <v>109</v>
      </c>
      <c r="U58" s="371" t="s">
        <v>124</v>
      </c>
      <c r="W58" s="133">
        <v>42536</v>
      </c>
      <c r="X58" s="10">
        <v>44.97</v>
      </c>
      <c r="Y58" s="10">
        <v>45.8</v>
      </c>
      <c r="Z58" s="10">
        <v>44.66</v>
      </c>
      <c r="AA58" s="10">
        <v>44.74</v>
      </c>
      <c r="AB58" s="95">
        <v>3455300</v>
      </c>
      <c r="AC58" s="10">
        <v>44.74</v>
      </c>
      <c r="AD58" s="2">
        <f t="shared" si="0"/>
        <v>1.1400000000000006</v>
      </c>
      <c r="AE58" s="138">
        <f t="shared" si="1"/>
        <v>-2.8972587474926925E-3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37.975999999999999</v>
      </c>
      <c r="W59" s="133">
        <v>42535</v>
      </c>
      <c r="X59" s="10">
        <v>44.67</v>
      </c>
      <c r="Y59" s="10">
        <v>45.43</v>
      </c>
      <c r="Z59" s="10">
        <v>44.1</v>
      </c>
      <c r="AA59" s="10">
        <v>44.87</v>
      </c>
      <c r="AB59" s="95">
        <v>4302800</v>
      </c>
      <c r="AC59" s="10">
        <v>44.87</v>
      </c>
      <c r="AD59" s="2">
        <f t="shared" si="0"/>
        <v>1.3299999999999983</v>
      </c>
      <c r="AE59" s="138">
        <f t="shared" si="1"/>
        <v>2.2336385972747674E-3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37.572000000000003</v>
      </c>
      <c r="W60" s="133">
        <v>42534</v>
      </c>
      <c r="X60" s="10">
        <v>44.15</v>
      </c>
      <c r="Y60" s="10">
        <v>45.37</v>
      </c>
      <c r="Z60" s="10">
        <v>44.05</v>
      </c>
      <c r="AA60" s="10">
        <v>44.77</v>
      </c>
      <c r="AB60" s="95">
        <v>4893100</v>
      </c>
      <c r="AC60" s="10">
        <v>44.77</v>
      </c>
      <c r="AD60" s="2">
        <f t="shared" si="0"/>
        <v>1.3200000000000003</v>
      </c>
      <c r="AE60" s="138">
        <f t="shared" si="1"/>
        <v>5.3896249719291855E-3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37.167999999999999</v>
      </c>
      <c r="W61" s="133">
        <v>42531</v>
      </c>
      <c r="X61" s="10">
        <v>44.39</v>
      </c>
      <c r="Y61" s="10">
        <v>44.58</v>
      </c>
      <c r="Z61" s="10">
        <v>43</v>
      </c>
      <c r="AA61" s="10">
        <v>44.53</v>
      </c>
      <c r="AB61" s="95">
        <v>7341000</v>
      </c>
      <c r="AC61" s="10">
        <v>44.53</v>
      </c>
      <c r="AD61" s="2">
        <f t="shared" si="0"/>
        <v>1.5799999999999983</v>
      </c>
      <c r="AE61" s="138">
        <f t="shared" si="1"/>
        <v>-2.6879370629370514E-2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36.764000000000003</v>
      </c>
      <c r="W62" s="133">
        <v>42530</v>
      </c>
      <c r="X62" s="10">
        <v>46.29</v>
      </c>
      <c r="Y62" s="10">
        <v>46.71</v>
      </c>
      <c r="Z62" s="10">
        <v>45.71</v>
      </c>
      <c r="AA62" s="10">
        <v>45.76</v>
      </c>
      <c r="AB62" s="95">
        <v>3919200</v>
      </c>
      <c r="AC62" s="10">
        <v>45.76</v>
      </c>
      <c r="AD62" s="2">
        <f t="shared" si="0"/>
        <v>1</v>
      </c>
      <c r="AE62" s="138">
        <f t="shared" si="1"/>
        <v>-1.6125564394753766E-2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36.36</v>
      </c>
      <c r="W63" s="133">
        <v>42529</v>
      </c>
      <c r="X63" s="10">
        <v>46.67</v>
      </c>
      <c r="Y63" s="10">
        <v>47</v>
      </c>
      <c r="Z63" s="10">
        <v>46.18</v>
      </c>
      <c r="AA63" s="10">
        <v>46.51</v>
      </c>
      <c r="AB63" s="95">
        <v>4764000</v>
      </c>
      <c r="AC63" s="10">
        <v>46.51</v>
      </c>
      <c r="AD63" s="2">
        <f t="shared" si="0"/>
        <v>0.82000000000000028</v>
      </c>
      <c r="AE63" s="138">
        <f t="shared" si="1"/>
        <v>-2.1454623471358625E-3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42528</v>
      </c>
      <c r="X64" s="10">
        <v>46.28</v>
      </c>
      <c r="Y64" s="10">
        <v>46.68</v>
      </c>
      <c r="Z64" s="10">
        <v>45.42</v>
      </c>
      <c r="AA64" s="10">
        <v>46.61</v>
      </c>
      <c r="AB64" s="95">
        <v>4569600</v>
      </c>
      <c r="AC64" s="10">
        <v>46.61</v>
      </c>
      <c r="AD64" s="2">
        <f t="shared" si="0"/>
        <v>1.259999999999998</v>
      </c>
      <c r="AE64" s="138">
        <f t="shared" si="1"/>
        <v>1.9346517626825932E-3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42527</v>
      </c>
      <c r="X65" s="10">
        <v>45.12</v>
      </c>
      <c r="Y65" s="10">
        <v>46.55</v>
      </c>
      <c r="Z65" s="10">
        <v>44.8</v>
      </c>
      <c r="AA65" s="10">
        <v>46.52</v>
      </c>
      <c r="AB65" s="95">
        <v>4955900</v>
      </c>
      <c r="AC65" s="10">
        <v>46.52</v>
      </c>
      <c r="AD65" s="2">
        <f t="shared" si="0"/>
        <v>1.75</v>
      </c>
      <c r="AE65" s="138">
        <f t="shared" si="1"/>
        <v>4.4923629829290102E-2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42524</v>
      </c>
      <c r="X66" s="10">
        <v>44.95</v>
      </c>
      <c r="Y66" s="10">
        <v>45.29</v>
      </c>
      <c r="Z66" s="10">
        <v>43.53</v>
      </c>
      <c r="AA66" s="10">
        <v>44.52</v>
      </c>
      <c r="AB66" s="95">
        <v>2792700</v>
      </c>
      <c r="AC66" s="10">
        <v>44.52</v>
      </c>
      <c r="AD66" s="2">
        <f t="shared" si="0"/>
        <v>1.759999999999998</v>
      </c>
      <c r="AE66" s="138">
        <f t="shared" si="1"/>
        <v>-9.7864768683273429E-3</v>
      </c>
    </row>
    <row r="67" spans="2:31" x14ac:dyDescent="0.25">
      <c r="W67" s="133">
        <v>42523</v>
      </c>
      <c r="X67" s="10">
        <v>44.75</v>
      </c>
      <c r="Y67" s="10">
        <v>45.68</v>
      </c>
      <c r="Z67" s="10">
        <v>44.55</v>
      </c>
      <c r="AA67" s="10">
        <v>44.96</v>
      </c>
      <c r="AB67" s="95">
        <v>6713800</v>
      </c>
      <c r="AC67" s="10">
        <v>44.96</v>
      </c>
      <c r="AD67" s="2">
        <f>Y67-Z67</f>
        <v>1.1300000000000026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700" priority="25">
      <formula>N19&gt;0</formula>
    </cfRule>
    <cfRule type="expression" dxfId="699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698" priority="19">
      <formula>F21&gt;0</formula>
    </cfRule>
    <cfRule type="expression" dxfId="697" priority="20">
      <formula>F21&lt;0</formula>
    </cfRule>
  </conditionalFormatting>
  <conditionalFormatting sqref="H21:H31">
    <cfRule type="expression" dxfId="696" priority="17">
      <formula>H21&gt;0</formula>
    </cfRule>
    <cfRule type="expression" dxfId="695" priority="18">
      <formula>H21&lt;0</formula>
    </cfRule>
  </conditionalFormatting>
  <conditionalFormatting sqref="I21:I31">
    <cfRule type="expression" dxfId="694" priority="15">
      <formula>I21&gt;0</formula>
    </cfRule>
    <cfRule type="expression" dxfId="693" priority="16">
      <formula>I21&lt;0</formula>
    </cfRule>
  </conditionalFormatting>
  <conditionalFormatting sqref="Q8">
    <cfRule type="expression" dxfId="692" priority="7">
      <formula>Q8&gt;0</formula>
    </cfRule>
    <cfRule type="expression" dxfId="691" priority="8">
      <formula>Q8&lt;0</formula>
    </cfRule>
  </conditionalFormatting>
  <conditionalFormatting sqref="Q7">
    <cfRule type="expression" dxfId="690" priority="9">
      <formula>Q7&gt;0</formula>
    </cfRule>
    <cfRule type="expression" dxfId="689" priority="10">
      <formula>Q7&lt;0</formula>
    </cfRule>
  </conditionalFormatting>
  <conditionalFormatting sqref="F56:F66">
    <cfRule type="expression" dxfId="688" priority="5">
      <formula>F56&gt;0</formula>
    </cfRule>
    <cfRule type="expression" dxfId="687" priority="6">
      <formula>F56&lt;0</formula>
    </cfRule>
  </conditionalFormatting>
  <conditionalFormatting sqref="H56:H66">
    <cfRule type="expression" dxfId="686" priority="3">
      <formula>H56&gt;0</formula>
    </cfRule>
    <cfRule type="expression" dxfId="685" priority="4">
      <formula>H56&lt;0</formula>
    </cfRule>
  </conditionalFormatting>
  <conditionalFormatting sqref="I56:I66">
    <cfRule type="expression" dxfId="684" priority="1">
      <formula>I56&gt;0</formula>
    </cfRule>
    <cfRule type="expression" dxfId="683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8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.8554687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232</v>
      </c>
      <c r="B2" s="529">
        <v>42608</v>
      </c>
      <c r="C2" s="4">
        <v>25</v>
      </c>
      <c r="D2" s="3">
        <v>78.95</v>
      </c>
      <c r="E2" s="3">
        <v>0</v>
      </c>
      <c r="F2" s="3">
        <f>D2*C2+E2</f>
        <v>1973.75</v>
      </c>
      <c r="G2" s="74"/>
      <c r="H2" s="4"/>
      <c r="I2" s="3"/>
      <c r="J2" s="3"/>
      <c r="K2" s="3"/>
      <c r="L2" s="74"/>
      <c r="M2" s="4"/>
      <c r="O2" s="11" t="s">
        <v>57</v>
      </c>
      <c r="Q2">
        <f>C18-H18</f>
        <v>25</v>
      </c>
      <c r="T2" s="1">
        <v>42568</v>
      </c>
      <c r="U2" t="s">
        <v>296</v>
      </c>
      <c r="W2" s="133">
        <v>42615</v>
      </c>
      <c r="X2" s="10">
        <v>81.39</v>
      </c>
      <c r="Y2" s="10">
        <v>83.34</v>
      </c>
      <c r="Z2" s="10">
        <v>80.849999999999994</v>
      </c>
      <c r="AA2" s="10">
        <v>82</v>
      </c>
      <c r="AB2" s="95">
        <v>1133900</v>
      </c>
      <c r="AC2" s="10">
        <v>82</v>
      </c>
      <c r="AD2" s="2">
        <f>Y2-Z2</f>
        <v>2.4900000000000091</v>
      </c>
      <c r="AE2" s="138">
        <f>AC2/AC3-1</f>
        <v>1.6991194344536886E-2</v>
      </c>
    </row>
    <row r="3" spans="1:40" x14ac:dyDescent="0.25">
      <c r="A3" s="23" t="s">
        <v>71</v>
      </c>
      <c r="B3" s="369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78.95</v>
      </c>
      <c r="W3" s="133">
        <v>42614</v>
      </c>
      <c r="X3" s="10">
        <v>81.349999999999994</v>
      </c>
      <c r="Y3" s="10">
        <v>82.23</v>
      </c>
      <c r="Z3" s="10">
        <v>78.86</v>
      </c>
      <c r="AA3" s="10">
        <v>80.63</v>
      </c>
      <c r="AB3" s="95">
        <v>1619500</v>
      </c>
      <c r="AC3" s="10">
        <v>80.63</v>
      </c>
      <c r="AD3" s="2">
        <f t="shared" ref="AD3:AD66" si="0">Y3-Z3</f>
        <v>3.3700000000000045</v>
      </c>
      <c r="AE3" s="138">
        <f t="shared" ref="AE3:AE66" si="1">AC3/AC4-1</f>
        <v>-1.6467431080751549E-2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81.099999999999994</v>
      </c>
      <c r="T4" s="1"/>
      <c r="W4" s="133">
        <v>42613</v>
      </c>
      <c r="X4" s="10">
        <v>79.97</v>
      </c>
      <c r="Y4" s="10">
        <v>82.38</v>
      </c>
      <c r="Z4" s="10">
        <v>79.94</v>
      </c>
      <c r="AA4" s="10">
        <v>81.98</v>
      </c>
      <c r="AB4" s="95">
        <v>1780900</v>
      </c>
      <c r="AC4" s="10">
        <v>81.98</v>
      </c>
      <c r="AD4" s="2">
        <f t="shared" si="0"/>
        <v>2.4399999999999977</v>
      </c>
      <c r="AE4" s="138">
        <f t="shared" si="1"/>
        <v>2.5647441511322366E-2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2027.4999999999998</v>
      </c>
      <c r="T5" s="1"/>
      <c r="W5" s="133">
        <v>42612</v>
      </c>
      <c r="X5" s="10">
        <v>78.37</v>
      </c>
      <c r="Y5" s="10">
        <v>81.13</v>
      </c>
      <c r="Z5" s="10">
        <v>78.2</v>
      </c>
      <c r="AA5" s="10">
        <v>79.930000000000007</v>
      </c>
      <c r="AB5" s="95">
        <v>2071800</v>
      </c>
      <c r="AC5" s="10">
        <v>79.930000000000007</v>
      </c>
      <c r="AD5" s="2">
        <f t="shared" si="0"/>
        <v>2.9299999999999926</v>
      </c>
      <c r="AE5" s="138">
        <f t="shared" si="1"/>
        <v>-3.117984534796725E-3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1973.75</v>
      </c>
      <c r="W6" s="133">
        <v>42611</v>
      </c>
      <c r="X6" s="10">
        <v>80.349999999999994</v>
      </c>
      <c r="Y6" s="10">
        <v>82.29</v>
      </c>
      <c r="Z6" s="10">
        <v>79.180000000000007</v>
      </c>
      <c r="AA6" s="10">
        <v>80.180000000000007</v>
      </c>
      <c r="AB6" s="95">
        <v>1589800</v>
      </c>
      <c r="AC6" s="10">
        <v>80.180000000000007</v>
      </c>
      <c r="AD6" s="2">
        <f t="shared" si="0"/>
        <v>3.1099999999999994</v>
      </c>
      <c r="AE6" s="138">
        <f t="shared" si="1"/>
        <v>-5.8276503409795399E-3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Q7" s="2">
        <f>Q10+Q8</f>
        <v>487.74000000000137</v>
      </c>
      <c r="R7" s="30">
        <v>42639</v>
      </c>
      <c r="W7" s="133">
        <v>42608</v>
      </c>
      <c r="X7" s="10">
        <v>82.29</v>
      </c>
      <c r="Y7" s="10">
        <v>82.45</v>
      </c>
      <c r="Z7" s="10">
        <v>78.709999999999994</v>
      </c>
      <c r="AA7" s="10">
        <v>80.650000000000006</v>
      </c>
      <c r="AB7" s="95">
        <v>5141800</v>
      </c>
      <c r="AC7" s="10">
        <v>80.650000000000006</v>
      </c>
      <c r="AD7" s="2">
        <f t="shared" si="0"/>
        <v>3.7400000000000091</v>
      </c>
      <c r="AE7" s="138">
        <f t="shared" si="1"/>
        <v>-3.3437200383509058E-2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190</v>
      </c>
      <c r="P8" s="34"/>
      <c r="Q8" s="2">
        <f>K18+M18-F18+Q2*Q4</f>
        <v>53.749999999999773</v>
      </c>
      <c r="W8" s="133">
        <v>42607</v>
      </c>
      <c r="X8" s="10">
        <v>85.3</v>
      </c>
      <c r="Y8" s="10">
        <v>87.73</v>
      </c>
      <c r="Z8" s="10">
        <v>78.709999999999994</v>
      </c>
      <c r="AA8" s="10">
        <v>83.44</v>
      </c>
      <c r="AB8" s="95">
        <v>10811000</v>
      </c>
      <c r="AC8" s="10">
        <v>83.44</v>
      </c>
      <c r="AD8" s="2">
        <f t="shared" si="0"/>
        <v>9.0200000000000102</v>
      </c>
      <c r="AE8" s="138">
        <f t="shared" si="1"/>
        <v>-0.12628272251308903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224</v>
      </c>
      <c r="Q9" s="138">
        <f>IF(Q2=0, 0, Q8/Q6)</f>
        <v>2.723242558581369E-2</v>
      </c>
      <c r="T9" s="158"/>
      <c r="W9" s="133">
        <v>42606</v>
      </c>
      <c r="X9" s="10">
        <v>94.74</v>
      </c>
      <c r="Y9" s="10">
        <v>96.2</v>
      </c>
      <c r="Z9" s="10">
        <v>94.32</v>
      </c>
      <c r="AA9" s="10">
        <v>95.5</v>
      </c>
      <c r="AB9" s="95">
        <v>2402200</v>
      </c>
      <c r="AC9" s="10">
        <v>95.5</v>
      </c>
      <c r="AD9" s="2">
        <f t="shared" si="0"/>
        <v>1.8800000000000097</v>
      </c>
      <c r="AE9" s="138">
        <f t="shared" si="1"/>
        <v>5.3689862090746665E-3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223</v>
      </c>
      <c r="P10" s="34"/>
      <c r="Q10" s="2">
        <f>M61</f>
        <v>433.9900000000016</v>
      </c>
      <c r="W10" s="133">
        <v>42605</v>
      </c>
      <c r="X10" s="10">
        <v>92.59</v>
      </c>
      <c r="Y10" s="10">
        <v>95.3</v>
      </c>
      <c r="Z10" s="10">
        <v>92.59</v>
      </c>
      <c r="AA10" s="10">
        <v>94.99</v>
      </c>
      <c r="AB10" s="95">
        <v>1932500</v>
      </c>
      <c r="AC10" s="10">
        <v>94.99</v>
      </c>
      <c r="AD10" s="2">
        <f t="shared" si="0"/>
        <v>2.7099999999999937</v>
      </c>
      <c r="AE10" s="138">
        <f t="shared" si="1"/>
        <v>2.7919056379179796E-2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1.2699999999999999E-2</v>
      </c>
      <c r="W11" s="133">
        <v>42604</v>
      </c>
      <c r="X11" s="10">
        <v>92.02</v>
      </c>
      <c r="Y11" s="10">
        <v>93.35</v>
      </c>
      <c r="Z11" s="10">
        <v>91.63</v>
      </c>
      <c r="AA11" s="10">
        <v>92.41</v>
      </c>
      <c r="AB11" s="95">
        <v>951800</v>
      </c>
      <c r="AC11" s="10">
        <v>92.41</v>
      </c>
      <c r="AD11" s="2">
        <f t="shared" si="0"/>
        <v>1.7199999999999989</v>
      </c>
      <c r="AE11" s="138">
        <f t="shared" si="1"/>
        <v>-6.8780225685115548E-3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42601</v>
      </c>
      <c r="X12" s="10">
        <v>92.64</v>
      </c>
      <c r="Y12" s="10">
        <v>95.34</v>
      </c>
      <c r="Z12" s="10">
        <v>92.23</v>
      </c>
      <c r="AA12" s="10">
        <v>93.05</v>
      </c>
      <c r="AB12" s="95">
        <v>1046300</v>
      </c>
      <c r="AC12" s="10">
        <v>93.05</v>
      </c>
      <c r="AD12" s="2">
        <f t="shared" si="0"/>
        <v>3.1099999999999994</v>
      </c>
      <c r="AE12" s="138">
        <f t="shared" si="1"/>
        <v>1.1835592855604649E-3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42600</v>
      </c>
      <c r="X13" s="10">
        <v>90.68</v>
      </c>
      <c r="Y13" s="10">
        <v>93.06</v>
      </c>
      <c r="Z13" s="10">
        <v>90.17</v>
      </c>
      <c r="AA13" s="10">
        <v>92.94</v>
      </c>
      <c r="AB13" s="95">
        <v>985000</v>
      </c>
      <c r="AC13" s="10">
        <v>92.94</v>
      </c>
      <c r="AD13" s="2">
        <f t="shared" si="0"/>
        <v>2.8900000000000006</v>
      </c>
      <c r="AE13" s="138">
        <f t="shared" si="1"/>
        <v>2.176781002638517E-2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42599</v>
      </c>
      <c r="X14" s="10">
        <v>92.57</v>
      </c>
      <c r="Y14" s="10">
        <v>92.67</v>
      </c>
      <c r="Z14" s="10">
        <v>90.07</v>
      </c>
      <c r="AA14" s="10">
        <v>90.96</v>
      </c>
      <c r="AB14" s="95">
        <v>1152800</v>
      </c>
      <c r="AC14" s="10">
        <v>90.96</v>
      </c>
      <c r="AD14" s="2">
        <f t="shared" si="0"/>
        <v>2.6000000000000085</v>
      </c>
      <c r="AE14" s="138">
        <f t="shared" si="1"/>
        <v>-1.5903927296332498E-2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42598</v>
      </c>
      <c r="X15" s="10">
        <v>92.28</v>
      </c>
      <c r="Y15" s="10">
        <v>93</v>
      </c>
      <c r="Z15" s="10">
        <v>89.37</v>
      </c>
      <c r="AA15" s="10">
        <v>92.43</v>
      </c>
      <c r="AB15" s="95">
        <v>956300</v>
      </c>
      <c r="AC15" s="10">
        <v>92.43</v>
      </c>
      <c r="AD15" s="2">
        <f t="shared" si="0"/>
        <v>3.6299999999999955</v>
      </c>
      <c r="AE15" s="138">
        <f t="shared" si="1"/>
        <v>-2.5898348980252228E-3</v>
      </c>
    </row>
    <row r="16" spans="1:40" x14ac:dyDescent="0.25">
      <c r="G16" s="1"/>
      <c r="H16" s="72"/>
      <c r="W16" s="133">
        <v>42597</v>
      </c>
      <c r="X16" s="10">
        <v>91.26</v>
      </c>
      <c r="Y16" s="10">
        <v>94.18</v>
      </c>
      <c r="Z16" s="10">
        <v>91.26</v>
      </c>
      <c r="AA16" s="10">
        <v>92.67</v>
      </c>
      <c r="AB16" s="95">
        <v>1646000</v>
      </c>
      <c r="AC16" s="10">
        <v>92.67</v>
      </c>
      <c r="AD16" s="2">
        <f t="shared" si="0"/>
        <v>2.9200000000000017</v>
      </c>
      <c r="AE16" s="138">
        <f t="shared" si="1"/>
        <v>1.5895636921727796E-2</v>
      </c>
    </row>
    <row r="17" spans="1:31" x14ac:dyDescent="0.25">
      <c r="G17" s="1"/>
      <c r="H17" s="72"/>
      <c r="W17" s="133">
        <v>42594</v>
      </c>
      <c r="X17" s="10">
        <v>90.1</v>
      </c>
      <c r="Y17" s="10">
        <v>91.5</v>
      </c>
      <c r="Z17" s="10">
        <v>89.85</v>
      </c>
      <c r="AA17" s="10">
        <v>91.22</v>
      </c>
      <c r="AB17" s="95">
        <v>709400</v>
      </c>
      <c r="AC17" s="10">
        <v>91.22</v>
      </c>
      <c r="AD17" s="2">
        <f t="shared" si="0"/>
        <v>1.6500000000000057</v>
      </c>
      <c r="AE17" s="138">
        <f t="shared" si="1"/>
        <v>6.6210549547560671E-3</v>
      </c>
    </row>
    <row r="18" spans="1:31" x14ac:dyDescent="0.25">
      <c r="A18" s="32" t="s">
        <v>81</v>
      </c>
      <c r="B18" s="14"/>
      <c r="C18" s="14">
        <f>SUM(C2:C14)</f>
        <v>25</v>
      </c>
      <c r="D18" s="14"/>
      <c r="E18" s="14"/>
      <c r="F18" s="18">
        <f t="shared" ref="F18:M18" si="2">SUM(F2:F14)</f>
        <v>1973.75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/>
      <c r="M18" s="18">
        <f t="shared" si="2"/>
        <v>0</v>
      </c>
      <c r="W18" s="133">
        <v>42593</v>
      </c>
      <c r="X18" s="10">
        <v>88.17</v>
      </c>
      <c r="Y18" s="10">
        <v>90.85</v>
      </c>
      <c r="Z18" s="10">
        <v>88.17</v>
      </c>
      <c r="AA18" s="10">
        <v>90.62</v>
      </c>
      <c r="AB18" s="95">
        <v>1040300</v>
      </c>
      <c r="AC18" s="10">
        <v>90.62</v>
      </c>
      <c r="AD18" s="2">
        <f t="shared" si="0"/>
        <v>2.6799999999999926</v>
      </c>
      <c r="AE18" s="138">
        <f t="shared" si="1"/>
        <v>4.0771792810382568E-2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>SumByColor($A$19,M2:M17)</f>
        <v>0</v>
      </c>
      <c r="N19" s="2"/>
      <c r="W19" s="133">
        <v>42592</v>
      </c>
      <c r="X19" s="10">
        <v>87.74</v>
      </c>
      <c r="Y19" s="10">
        <v>89.09</v>
      </c>
      <c r="Z19" s="10">
        <v>86.94</v>
      </c>
      <c r="AA19" s="10">
        <v>87.07</v>
      </c>
      <c r="AB19" s="95">
        <v>600700</v>
      </c>
      <c r="AC19" s="10">
        <v>87.07</v>
      </c>
      <c r="AD19" s="2">
        <f t="shared" si="0"/>
        <v>2.1500000000000057</v>
      </c>
      <c r="AE19" s="138">
        <f t="shared" si="1"/>
        <v>-6.8438462415878476E-3</v>
      </c>
    </row>
    <row r="20" spans="1:31" x14ac:dyDescent="0.25">
      <c r="W20" s="133">
        <v>42591</v>
      </c>
      <c r="X20" s="10">
        <v>87.66</v>
      </c>
      <c r="Y20" s="10">
        <v>88.44</v>
      </c>
      <c r="Z20" s="10">
        <v>86.65</v>
      </c>
      <c r="AA20" s="10">
        <v>87.67</v>
      </c>
      <c r="AB20" s="95">
        <v>1026200</v>
      </c>
      <c r="AC20" s="10">
        <v>87.67</v>
      </c>
      <c r="AD20" s="2">
        <f t="shared" si="0"/>
        <v>1.789999999999992</v>
      </c>
      <c r="AE20" s="138">
        <f t="shared" si="1"/>
        <v>-2.6166097838453695E-3</v>
      </c>
    </row>
    <row r="21" spans="1:31" x14ac:dyDescent="0.25">
      <c r="W21" s="133">
        <v>42590</v>
      </c>
      <c r="X21" s="10">
        <v>87.03</v>
      </c>
      <c r="Y21" s="10">
        <v>88.37</v>
      </c>
      <c r="Z21" s="10">
        <v>86.98</v>
      </c>
      <c r="AA21" s="10">
        <v>87.9</v>
      </c>
      <c r="AB21" s="95">
        <v>775400</v>
      </c>
      <c r="AC21" s="10">
        <v>87.9</v>
      </c>
      <c r="AD21" s="2">
        <f t="shared" si="0"/>
        <v>1.3900000000000006</v>
      </c>
      <c r="AE21" s="138">
        <f t="shared" si="1"/>
        <v>1.0344827586207028E-2</v>
      </c>
    </row>
    <row r="22" spans="1:31" x14ac:dyDescent="0.25">
      <c r="W22" s="133">
        <v>42587</v>
      </c>
      <c r="X22" s="10">
        <v>86.65</v>
      </c>
      <c r="Y22" s="10">
        <v>87.91</v>
      </c>
      <c r="Z22" s="10">
        <v>86.4</v>
      </c>
      <c r="AA22" s="10">
        <v>87</v>
      </c>
      <c r="AB22" s="95">
        <v>956700</v>
      </c>
      <c r="AC22" s="10">
        <v>87</v>
      </c>
      <c r="AD22" s="2">
        <f t="shared" si="0"/>
        <v>1.5099999999999909</v>
      </c>
      <c r="AE22" s="138">
        <f t="shared" si="1"/>
        <v>9.1636701078761096E-3</v>
      </c>
    </row>
    <row r="23" spans="1:31" x14ac:dyDescent="0.25">
      <c r="W23" s="133">
        <v>42586</v>
      </c>
      <c r="X23" s="10">
        <v>84.6</v>
      </c>
      <c r="Y23" s="10">
        <v>86.21</v>
      </c>
      <c r="Z23" s="10">
        <v>83.86</v>
      </c>
      <c r="AA23" s="10">
        <v>86.21</v>
      </c>
      <c r="AB23" s="95">
        <v>1139700</v>
      </c>
      <c r="AC23" s="10">
        <v>86.21</v>
      </c>
      <c r="AD23" s="2">
        <f t="shared" si="0"/>
        <v>2.3499999999999943</v>
      </c>
      <c r="AE23" s="138">
        <f t="shared" si="1"/>
        <v>2.1566536319469032E-2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5" t="s">
        <v>65</v>
      </c>
      <c r="G24" s="229" t="s">
        <v>155</v>
      </c>
      <c r="H24" s="195" t="s">
        <v>88</v>
      </c>
      <c r="I24" s="195" t="s">
        <v>161</v>
      </c>
      <c r="W24" s="133">
        <v>42585</v>
      </c>
      <c r="X24" s="10">
        <v>82.93</v>
      </c>
      <c r="Y24" s="10">
        <v>84.53</v>
      </c>
      <c r="Z24" s="10">
        <v>81.86</v>
      </c>
      <c r="AA24" s="10">
        <v>84.39</v>
      </c>
      <c r="AB24" s="95">
        <v>1001400</v>
      </c>
      <c r="AC24" s="10">
        <v>84.39</v>
      </c>
      <c r="AD24" s="2">
        <f t="shared" si="0"/>
        <v>2.6700000000000017</v>
      </c>
      <c r="AE24" s="138">
        <f t="shared" si="1"/>
        <v>9.5705227898073009E-3</v>
      </c>
    </row>
    <row r="25" spans="1:31" x14ac:dyDescent="0.25">
      <c r="B25" s="266">
        <v>42516</v>
      </c>
      <c r="C25" s="261">
        <v>20</v>
      </c>
      <c r="D25" s="262">
        <v>96.2</v>
      </c>
      <c r="E25" s="262">
        <v>97</v>
      </c>
      <c r="F25" s="262">
        <f t="shared" ref="F25:F33" si="3">C25*(E25-D25)</f>
        <v>15.999999999999943</v>
      </c>
      <c r="G25" s="262">
        <f t="shared" ref="G25:G33" si="4">D25*C25</f>
        <v>1924</v>
      </c>
      <c r="H25" s="276">
        <f t="shared" ref="H25:H33" si="5">(E25-D25)/D25</f>
        <v>8.316008316008287E-3</v>
      </c>
      <c r="I25" s="276"/>
      <c r="W25" s="133">
        <v>42584</v>
      </c>
      <c r="X25" s="10">
        <v>86.52</v>
      </c>
      <c r="Y25" s="10">
        <v>86.7</v>
      </c>
      <c r="Z25" s="10">
        <v>83.46</v>
      </c>
      <c r="AA25" s="10">
        <v>83.59</v>
      </c>
      <c r="AB25" s="95">
        <v>1052700</v>
      </c>
      <c r="AC25" s="10">
        <v>83.59</v>
      </c>
      <c r="AD25" s="2">
        <f t="shared" si="0"/>
        <v>3.2400000000000091</v>
      </c>
      <c r="AE25" s="138">
        <f t="shared" si="1"/>
        <v>-3.5759603183758149E-2</v>
      </c>
    </row>
    <row r="26" spans="1:31" x14ac:dyDescent="0.25">
      <c r="B26" s="266">
        <v>42522</v>
      </c>
      <c r="C26" s="261">
        <v>20</v>
      </c>
      <c r="D26" s="262">
        <v>96.2</v>
      </c>
      <c r="E26" s="262">
        <v>98.73</v>
      </c>
      <c r="F26" s="262">
        <f t="shared" si="3"/>
        <v>50.600000000000023</v>
      </c>
      <c r="G26" s="262">
        <f t="shared" si="4"/>
        <v>1924</v>
      </c>
      <c r="H26" s="276">
        <f t="shared" si="5"/>
        <v>2.6299376299376311E-2</v>
      </c>
      <c r="I26" s="276"/>
      <c r="W26" s="133">
        <v>42583</v>
      </c>
      <c r="X26" s="10">
        <v>87.86</v>
      </c>
      <c r="Y26" s="10">
        <v>88.1</v>
      </c>
      <c r="Z26" s="10">
        <v>86.27</v>
      </c>
      <c r="AA26" s="10">
        <v>86.69</v>
      </c>
      <c r="AB26" s="95">
        <v>776200</v>
      </c>
      <c r="AC26" s="10">
        <v>86.69</v>
      </c>
      <c r="AD26" s="2">
        <f t="shared" si="0"/>
        <v>1.8299999999999983</v>
      </c>
      <c r="AE26" s="138">
        <f t="shared" si="1"/>
        <v>-1.3877829598452962E-2</v>
      </c>
    </row>
    <row r="27" spans="1:31" x14ac:dyDescent="0.25">
      <c r="B27" s="266">
        <v>42527</v>
      </c>
      <c r="C27" s="261">
        <v>45</v>
      </c>
      <c r="D27" s="262">
        <v>90.305599999999998</v>
      </c>
      <c r="E27" s="262">
        <v>86.39</v>
      </c>
      <c r="F27" s="262">
        <f t="shared" si="3"/>
        <v>-176.20199999999988</v>
      </c>
      <c r="G27" s="262">
        <f t="shared" si="4"/>
        <v>4063.752</v>
      </c>
      <c r="H27" s="276">
        <f t="shared" si="5"/>
        <v>-4.3359437288495929E-2</v>
      </c>
      <c r="I27" s="274"/>
      <c r="W27" s="133">
        <v>42580</v>
      </c>
      <c r="X27" s="10">
        <v>86.95</v>
      </c>
      <c r="Y27" s="10">
        <v>88.08</v>
      </c>
      <c r="Z27" s="10">
        <v>84.94</v>
      </c>
      <c r="AA27" s="10">
        <v>87.91</v>
      </c>
      <c r="AB27" s="95">
        <v>1669700</v>
      </c>
      <c r="AC27" s="10">
        <v>87.91</v>
      </c>
      <c r="AD27" s="2">
        <f t="shared" si="0"/>
        <v>3.1400000000000006</v>
      </c>
      <c r="AE27" s="138">
        <f t="shared" si="1"/>
        <v>1.1389783709157886E-2</v>
      </c>
    </row>
    <row r="28" spans="1:31" x14ac:dyDescent="0.25">
      <c r="B28" s="266">
        <v>42529</v>
      </c>
      <c r="C28" s="261">
        <v>25</v>
      </c>
      <c r="D28" s="262">
        <v>91.3596</v>
      </c>
      <c r="E28" s="262">
        <v>89.31</v>
      </c>
      <c r="F28" s="262">
        <f t="shared" si="3"/>
        <v>-51.239999999999952</v>
      </c>
      <c r="G28" s="262">
        <f t="shared" si="4"/>
        <v>2283.9899999999998</v>
      </c>
      <c r="H28" s="276">
        <f t="shared" si="5"/>
        <v>-2.2434423968581276E-2</v>
      </c>
      <c r="I28" s="276"/>
      <c r="W28" s="133">
        <v>42579</v>
      </c>
      <c r="X28" s="10">
        <v>87.22</v>
      </c>
      <c r="Y28" s="10">
        <v>87.43</v>
      </c>
      <c r="Z28" s="10">
        <v>85.57</v>
      </c>
      <c r="AA28" s="10">
        <v>86.92</v>
      </c>
      <c r="AB28" s="95">
        <v>1463800</v>
      </c>
      <c r="AC28" s="10">
        <v>86.92</v>
      </c>
      <c r="AD28" s="2">
        <f t="shared" si="0"/>
        <v>1.8600000000000136</v>
      </c>
      <c r="AE28" s="138">
        <f t="shared" si="1"/>
        <v>-3.4395780784223229E-3</v>
      </c>
    </row>
    <row r="29" spans="1:31" x14ac:dyDescent="0.25">
      <c r="B29" s="266">
        <v>42534</v>
      </c>
      <c r="C29" s="261">
        <v>25</v>
      </c>
      <c r="D29" s="262">
        <v>91.3596</v>
      </c>
      <c r="E29" s="262">
        <v>85.51</v>
      </c>
      <c r="F29" s="262">
        <f t="shared" si="3"/>
        <v>-146.2399999999999</v>
      </c>
      <c r="G29" s="262">
        <f t="shared" si="4"/>
        <v>2283.9899999999998</v>
      </c>
      <c r="H29" s="276">
        <f t="shared" si="5"/>
        <v>-6.402830134983073E-2</v>
      </c>
      <c r="I29" s="276"/>
      <c r="W29" s="133">
        <v>42578</v>
      </c>
      <c r="X29" s="10">
        <v>88.39</v>
      </c>
      <c r="Y29" s="10">
        <v>89.97</v>
      </c>
      <c r="Z29" s="10">
        <v>86.63</v>
      </c>
      <c r="AA29" s="10">
        <v>87.22</v>
      </c>
      <c r="AB29" s="95">
        <v>1732800</v>
      </c>
      <c r="AC29" s="10">
        <v>87.22</v>
      </c>
      <c r="AD29" s="2">
        <f t="shared" si="0"/>
        <v>3.3400000000000034</v>
      </c>
      <c r="AE29" s="138" t="e">
        <f t="shared" si="1"/>
        <v>#DIV/0!</v>
      </c>
    </row>
    <row r="30" spans="1:31" x14ac:dyDescent="0.25">
      <c r="B30" s="266">
        <v>42535</v>
      </c>
      <c r="C30" s="261">
        <v>50</v>
      </c>
      <c r="D30" s="262">
        <v>87.0548</v>
      </c>
      <c r="E30" s="262">
        <v>83.87</v>
      </c>
      <c r="F30" s="262">
        <f t="shared" si="3"/>
        <v>-159.23999999999978</v>
      </c>
      <c r="G30" s="262">
        <f t="shared" si="4"/>
        <v>4352.74</v>
      </c>
      <c r="H30" s="276">
        <f t="shared" si="5"/>
        <v>-3.6583852929419118E-2</v>
      </c>
      <c r="I30" s="276"/>
      <c r="W30" s="133">
        <v>42578</v>
      </c>
      <c r="X30" s="10" t="s">
        <v>142</v>
      </c>
      <c r="Y30" s="10"/>
      <c r="Z30" s="10"/>
      <c r="AA30" s="10"/>
      <c r="AB30" s="95"/>
      <c r="AC30" s="10"/>
      <c r="AD30" s="2">
        <f t="shared" si="0"/>
        <v>0</v>
      </c>
      <c r="AE30" s="138">
        <f t="shared" si="1"/>
        <v>-1</v>
      </c>
    </row>
    <row r="31" spans="1:31" x14ac:dyDescent="0.25">
      <c r="B31" s="266">
        <v>42541</v>
      </c>
      <c r="C31" s="261">
        <v>25</v>
      </c>
      <c r="D31" s="262">
        <v>87.521600000000007</v>
      </c>
      <c r="E31" s="262">
        <v>86.01</v>
      </c>
      <c r="F31" s="262">
        <f t="shared" si="3"/>
        <v>-37.790000000000035</v>
      </c>
      <c r="G31" s="262">
        <f t="shared" si="4"/>
        <v>2188.04</v>
      </c>
      <c r="H31" s="276">
        <f t="shared" si="5"/>
        <v>-1.7271165060967823E-2</v>
      </c>
      <c r="I31" s="276"/>
      <c r="W31" s="133">
        <v>42577</v>
      </c>
      <c r="X31" s="10">
        <v>89.22</v>
      </c>
      <c r="Y31" s="10">
        <v>89.5</v>
      </c>
      <c r="Z31" s="10">
        <v>87.99</v>
      </c>
      <c r="AA31" s="10">
        <v>89.46</v>
      </c>
      <c r="AB31" s="95">
        <v>1258400</v>
      </c>
      <c r="AC31" s="10">
        <v>89.2</v>
      </c>
      <c r="AD31" s="2">
        <f t="shared" si="0"/>
        <v>1.5100000000000051</v>
      </c>
      <c r="AE31" s="138">
        <f t="shared" si="1"/>
        <v>6.7720090293454938E-3</v>
      </c>
    </row>
    <row r="32" spans="1:31" x14ac:dyDescent="0.25">
      <c r="B32" s="266">
        <v>42546</v>
      </c>
      <c r="C32" s="261">
        <v>25</v>
      </c>
      <c r="D32" s="262">
        <v>87.521600000000007</v>
      </c>
      <c r="E32" s="262">
        <v>82.02</v>
      </c>
      <c r="F32" s="262">
        <f t="shared" si="3"/>
        <v>-137.54000000000025</v>
      </c>
      <c r="G32" s="262">
        <f t="shared" si="4"/>
        <v>2188.04</v>
      </c>
      <c r="H32" s="276">
        <f t="shared" si="5"/>
        <v>-6.285991115336112E-2</v>
      </c>
      <c r="I32" s="276"/>
      <c r="W32" s="133">
        <v>42576</v>
      </c>
      <c r="X32" s="10">
        <v>89.54</v>
      </c>
      <c r="Y32" s="10">
        <v>89.79</v>
      </c>
      <c r="Z32" s="10">
        <v>88.78</v>
      </c>
      <c r="AA32" s="10">
        <v>88.86</v>
      </c>
      <c r="AB32" s="95">
        <v>910100</v>
      </c>
      <c r="AC32" s="10">
        <v>88.6</v>
      </c>
      <c r="AD32" s="2">
        <f t="shared" si="0"/>
        <v>1.0100000000000051</v>
      </c>
      <c r="AE32" s="138">
        <f t="shared" si="1"/>
        <v>-7.5053209364848161E-3</v>
      </c>
    </row>
    <row r="33" spans="2:31" x14ac:dyDescent="0.25">
      <c r="B33" s="266">
        <v>42548</v>
      </c>
      <c r="C33" s="261">
        <v>75</v>
      </c>
      <c r="D33" s="262">
        <v>81.493899999999996</v>
      </c>
      <c r="E33" s="262">
        <v>79.260000000000005</v>
      </c>
      <c r="F33" s="262">
        <f t="shared" si="3"/>
        <v>-167.54249999999934</v>
      </c>
      <c r="G33" s="262">
        <f t="shared" si="4"/>
        <v>6112.0424999999996</v>
      </c>
      <c r="H33" s="276">
        <f t="shared" si="5"/>
        <v>-2.7411867636718715E-2</v>
      </c>
      <c r="I33" s="276"/>
      <c r="W33" s="133">
        <v>42573</v>
      </c>
      <c r="X33" s="10">
        <v>87.82</v>
      </c>
      <c r="Y33" s="10">
        <v>89.73</v>
      </c>
      <c r="Z33" s="10">
        <v>87.36</v>
      </c>
      <c r="AA33" s="10">
        <v>89.53</v>
      </c>
      <c r="AB33" s="95">
        <v>1571900</v>
      </c>
      <c r="AC33" s="10">
        <v>89.27</v>
      </c>
      <c r="AD33" s="2">
        <f t="shared" si="0"/>
        <v>2.3700000000000045</v>
      </c>
      <c r="AE33" s="138">
        <f t="shared" si="1"/>
        <v>2.3621144364178503E-2</v>
      </c>
    </row>
    <row r="34" spans="2:31" x14ac:dyDescent="0.25">
      <c r="B34" s="266">
        <v>42549</v>
      </c>
      <c r="C34" s="261">
        <v>75</v>
      </c>
      <c r="D34" s="262">
        <v>81.493899999999996</v>
      </c>
      <c r="E34" s="262">
        <v>80.72</v>
      </c>
      <c r="F34" s="262">
        <f t="shared" ref="F34:F35" si="6">C34*(E34-D34)</f>
        <v>-58.042499999999819</v>
      </c>
      <c r="G34" s="262">
        <f t="shared" ref="G34:G35" si="7">D34*C34</f>
        <v>6112.0424999999996</v>
      </c>
      <c r="H34" s="276">
        <f t="shared" ref="H34:H35" si="8">(E34-D34)/D34</f>
        <v>-9.4964162961890114E-3</v>
      </c>
      <c r="I34" s="276"/>
      <c r="W34" s="133">
        <v>42572</v>
      </c>
      <c r="X34" s="10">
        <v>89.55</v>
      </c>
      <c r="Y34" s="10">
        <v>89.83</v>
      </c>
      <c r="Z34" s="10">
        <v>86.97</v>
      </c>
      <c r="AA34" s="10">
        <v>87.46</v>
      </c>
      <c r="AB34" s="95">
        <v>1919800</v>
      </c>
      <c r="AC34" s="10">
        <v>87.21</v>
      </c>
      <c r="AD34" s="2">
        <f t="shared" si="0"/>
        <v>2.8599999999999994</v>
      </c>
      <c r="AE34" s="138">
        <f t="shared" si="1"/>
        <v>-2.3294881845671522E-2</v>
      </c>
    </row>
    <row r="35" spans="2:31" x14ac:dyDescent="0.25">
      <c r="B35" s="266">
        <v>42552</v>
      </c>
      <c r="C35" s="261">
        <v>55</v>
      </c>
      <c r="D35" s="262">
        <v>80.590500000000006</v>
      </c>
      <c r="E35" s="262">
        <v>84.15</v>
      </c>
      <c r="F35" s="262">
        <f t="shared" si="6"/>
        <v>195.77249999999998</v>
      </c>
      <c r="G35" s="262">
        <f t="shared" si="7"/>
        <v>4432.4775</v>
      </c>
      <c r="H35" s="276">
        <f t="shared" si="8"/>
        <v>4.4167736892065435E-2</v>
      </c>
      <c r="I35" s="276"/>
      <c r="W35" s="133">
        <v>42571</v>
      </c>
      <c r="X35" s="10">
        <v>90.96</v>
      </c>
      <c r="Y35" s="10">
        <v>90.99</v>
      </c>
      <c r="Z35" s="10">
        <v>89.13</v>
      </c>
      <c r="AA35" s="10">
        <v>89.55</v>
      </c>
      <c r="AB35" s="95">
        <v>1697800</v>
      </c>
      <c r="AC35" s="10">
        <v>89.29</v>
      </c>
      <c r="AD35" s="2">
        <f t="shared" si="0"/>
        <v>1.8599999999999994</v>
      </c>
      <c r="AE35" s="138">
        <f t="shared" si="1"/>
        <v>-9.3198712970152808E-3</v>
      </c>
    </row>
    <row r="36" spans="2:31" x14ac:dyDescent="0.25">
      <c r="B36" s="266">
        <v>42556</v>
      </c>
      <c r="C36" s="261">
        <v>55</v>
      </c>
      <c r="D36" s="262">
        <v>80.590500000000006</v>
      </c>
      <c r="E36" s="262">
        <v>81.290000000000006</v>
      </c>
      <c r="F36" s="262">
        <f t="shared" ref="F36" si="9">C36*(E36-D36)</f>
        <v>38.472500000000025</v>
      </c>
      <c r="G36" s="262">
        <f t="shared" ref="G36" si="10">D36*C36</f>
        <v>4432.4775</v>
      </c>
      <c r="H36" s="276">
        <f t="shared" ref="H36" si="11">(E36-D36)/D36</f>
        <v>8.6796830891978632E-3</v>
      </c>
      <c r="I36" s="276"/>
      <c r="W36" s="133">
        <v>42570</v>
      </c>
      <c r="X36" s="10">
        <v>91.84</v>
      </c>
      <c r="Y36" s="10">
        <v>91.92</v>
      </c>
      <c r="Z36" s="10">
        <v>89.77</v>
      </c>
      <c r="AA36" s="10">
        <v>90.39</v>
      </c>
      <c r="AB36" s="95">
        <v>1353600</v>
      </c>
      <c r="AC36" s="10">
        <v>90.13</v>
      </c>
      <c r="AD36" s="2">
        <f t="shared" si="0"/>
        <v>2.1500000000000057</v>
      </c>
      <c r="AE36" s="138">
        <f t="shared" si="1"/>
        <v>-2.0219589085770151E-2</v>
      </c>
    </row>
    <row r="37" spans="2:31" x14ac:dyDescent="0.25">
      <c r="B37" s="266">
        <v>42563</v>
      </c>
      <c r="C37" s="261">
        <v>55</v>
      </c>
      <c r="D37" s="262">
        <v>80.590500000000006</v>
      </c>
      <c r="E37" s="262">
        <v>89.07</v>
      </c>
      <c r="F37" s="262">
        <f t="shared" ref="F37" si="12">C37*(E37-D37)</f>
        <v>466.37249999999932</v>
      </c>
      <c r="G37" s="262">
        <f t="shared" ref="G37" si="13">D37*C37</f>
        <v>4432.4775</v>
      </c>
      <c r="H37" s="276">
        <f t="shared" ref="H37" si="14">(E37-D37)/D37</f>
        <v>0.10521711616133399</v>
      </c>
      <c r="I37" s="276"/>
      <c r="W37" s="133">
        <v>42569</v>
      </c>
      <c r="X37" s="10">
        <v>90.48</v>
      </c>
      <c r="Y37" s="10">
        <v>92.67</v>
      </c>
      <c r="Z37" s="10">
        <v>90.41</v>
      </c>
      <c r="AA37" s="10">
        <v>92.26</v>
      </c>
      <c r="AB37" s="95">
        <v>1456700</v>
      </c>
      <c r="AC37" s="10">
        <v>91.99</v>
      </c>
      <c r="AD37" s="2">
        <f t="shared" si="0"/>
        <v>2.2600000000000051</v>
      </c>
      <c r="AE37" s="138">
        <f t="shared" si="1"/>
        <v>2.1203374777975181E-2</v>
      </c>
    </row>
    <row r="38" spans="2:31" x14ac:dyDescent="0.25">
      <c r="B38" s="266">
        <v>42566</v>
      </c>
      <c r="C38" s="261">
        <v>55</v>
      </c>
      <c r="D38" s="262">
        <v>80.590500000000006</v>
      </c>
      <c r="E38" s="262">
        <v>90.34</v>
      </c>
      <c r="F38" s="262">
        <f t="shared" ref="F38:F39" si="15">C38*(E38-D38)</f>
        <v>536.22249999999985</v>
      </c>
      <c r="G38" s="262">
        <f t="shared" ref="G38:G39" si="16">D38*C38</f>
        <v>4432.4775</v>
      </c>
      <c r="H38" s="276">
        <f t="shared" ref="H38:H39" si="17">(E38-D38)/D38</f>
        <v>0.12097579739547462</v>
      </c>
      <c r="I38" s="276"/>
      <c r="W38" s="133">
        <v>42566</v>
      </c>
      <c r="X38" s="10">
        <v>91.7</v>
      </c>
      <c r="Y38" s="10">
        <v>91.76</v>
      </c>
      <c r="Z38" s="10">
        <v>90</v>
      </c>
      <c r="AA38" s="10">
        <v>90.34</v>
      </c>
      <c r="AB38" s="95">
        <v>1790700</v>
      </c>
      <c r="AC38" s="10">
        <v>90.08</v>
      </c>
      <c r="AD38" s="2">
        <f t="shared" si="0"/>
        <v>1.7600000000000051</v>
      </c>
      <c r="AE38" s="138">
        <f t="shared" si="1"/>
        <v>-1.3578624616732315E-2</v>
      </c>
    </row>
    <row r="39" spans="2:31" ht="20.25" thickBot="1" x14ac:dyDescent="0.35">
      <c r="B39" s="266">
        <v>42569</v>
      </c>
      <c r="C39" s="261">
        <v>50</v>
      </c>
      <c r="D39" s="262">
        <v>79.449799999999996</v>
      </c>
      <c r="E39" s="262">
        <v>92.26</v>
      </c>
      <c r="F39" s="262">
        <f t="shared" si="15"/>
        <v>640.51000000000045</v>
      </c>
      <c r="G39" s="262">
        <f t="shared" si="16"/>
        <v>3972.49</v>
      </c>
      <c r="H39" s="276">
        <f t="shared" si="17"/>
        <v>0.16123640336413697</v>
      </c>
      <c r="I39" s="276"/>
      <c r="T39" s="112" t="s">
        <v>113</v>
      </c>
      <c r="U39" s="9"/>
      <c r="W39" s="133">
        <v>42565</v>
      </c>
      <c r="X39" s="10">
        <v>89.66</v>
      </c>
      <c r="Y39" s="10">
        <v>91.59</v>
      </c>
      <c r="Z39" s="10">
        <v>89.24</v>
      </c>
      <c r="AA39" s="10">
        <v>91.59</v>
      </c>
      <c r="AB39" s="95">
        <v>2416800</v>
      </c>
      <c r="AC39" s="10">
        <v>91.32</v>
      </c>
      <c r="AD39" s="2">
        <f t="shared" si="0"/>
        <v>2.3500000000000085</v>
      </c>
      <c r="AE39" s="138">
        <f t="shared" si="1"/>
        <v>3.1747825104507799E-2</v>
      </c>
    </row>
    <row r="40" spans="2:31" ht="15.75" thickTop="1" x14ac:dyDescent="0.25">
      <c r="B40" s="266">
        <v>42570</v>
      </c>
      <c r="C40" s="261">
        <v>50</v>
      </c>
      <c r="D40" s="262">
        <v>79.449799999999996</v>
      </c>
      <c r="E40" s="262">
        <v>90.39</v>
      </c>
      <c r="F40" s="262">
        <f t="shared" ref="F40" si="18">C40*(E40-D40)</f>
        <v>547.01000000000022</v>
      </c>
      <c r="G40" s="262">
        <f t="shared" ref="G40" si="19">D40*C40</f>
        <v>3972.49</v>
      </c>
      <c r="H40" s="276">
        <f t="shared" ref="H40" si="20">(E40-D40)/D40</f>
        <v>0.13769952850730907</v>
      </c>
      <c r="I40" s="276"/>
      <c r="T40" s="139" t="s">
        <v>98</v>
      </c>
      <c r="U40" s="370">
        <v>80.63</v>
      </c>
      <c r="W40" s="133">
        <v>42564</v>
      </c>
      <c r="X40" s="10">
        <v>89.06</v>
      </c>
      <c r="Y40" s="10">
        <v>89.24</v>
      </c>
      <c r="Z40" s="10">
        <v>87.56</v>
      </c>
      <c r="AA40" s="10">
        <v>88.77</v>
      </c>
      <c r="AB40" s="95">
        <v>1099400</v>
      </c>
      <c r="AC40" s="10">
        <v>88.51</v>
      </c>
      <c r="AD40" s="2">
        <f t="shared" si="0"/>
        <v>1.6799999999999926</v>
      </c>
      <c r="AE40" s="138">
        <f t="shared" si="1"/>
        <v>-3.3779979732011522E-3</v>
      </c>
    </row>
    <row r="41" spans="2:31" x14ac:dyDescent="0.25">
      <c r="B41" s="266">
        <v>42571</v>
      </c>
      <c r="C41" s="261">
        <v>50</v>
      </c>
      <c r="D41" s="262">
        <v>79.449799999999996</v>
      </c>
      <c r="E41" s="262">
        <v>89.55</v>
      </c>
      <c r="F41" s="262">
        <f t="shared" ref="F41" si="21">C41*(E41-D41)</f>
        <v>505.01000000000005</v>
      </c>
      <c r="G41" s="262">
        <f t="shared" ref="G41" si="22">D41*C41</f>
        <v>3972.49</v>
      </c>
      <c r="H41" s="276">
        <f t="shared" ref="H41" si="23">(E41-D41)/D41</f>
        <v>0.12712681466787834</v>
      </c>
      <c r="I41" s="276"/>
      <c r="T41" s="108" t="s">
        <v>99</v>
      </c>
      <c r="U41" s="371">
        <v>81.39</v>
      </c>
      <c r="W41" s="133">
        <v>42563</v>
      </c>
      <c r="X41" s="10">
        <v>88.37</v>
      </c>
      <c r="Y41" s="10">
        <v>89.9</v>
      </c>
      <c r="Z41" s="10">
        <v>88.37</v>
      </c>
      <c r="AA41" s="10">
        <v>89.07</v>
      </c>
      <c r="AB41" s="95">
        <v>2148500</v>
      </c>
      <c r="AC41" s="10">
        <v>88.81</v>
      </c>
      <c r="AD41" s="2">
        <f t="shared" si="0"/>
        <v>1.5300000000000011</v>
      </c>
      <c r="AE41" s="138">
        <f t="shared" si="1"/>
        <v>1.4739488117001986E-2</v>
      </c>
    </row>
    <row r="42" spans="2:31" ht="20.25" thickBot="1" x14ac:dyDescent="0.35">
      <c r="B42" s="266">
        <v>42572</v>
      </c>
      <c r="C42" s="261">
        <v>50</v>
      </c>
      <c r="D42" s="262">
        <v>79.449799999999996</v>
      </c>
      <c r="E42" s="262">
        <v>87.46</v>
      </c>
      <c r="F42" s="262">
        <f t="shared" ref="F42" si="24">C42*(E42-D42)</f>
        <v>400.50999999999988</v>
      </c>
      <c r="G42" s="262">
        <f t="shared" ref="G42" si="25">D42*C42</f>
        <v>3972.49</v>
      </c>
      <c r="H42" s="276">
        <f t="shared" ref="H42" si="26">(E42-D42)/D42</f>
        <v>0.1008208957102472</v>
      </c>
      <c r="I42" s="276"/>
      <c r="O42" s="545" t="s">
        <v>78</v>
      </c>
      <c r="P42" s="545"/>
      <c r="T42" s="108" t="s">
        <v>100</v>
      </c>
      <c r="U42" s="371" t="s">
        <v>493</v>
      </c>
      <c r="W42" s="133">
        <v>42562</v>
      </c>
      <c r="X42" s="10">
        <v>84.78</v>
      </c>
      <c r="Y42" s="10">
        <v>87.78</v>
      </c>
      <c r="Z42" s="10">
        <v>84.78</v>
      </c>
      <c r="AA42" s="10">
        <v>87.78</v>
      </c>
      <c r="AB42" s="95">
        <v>2072300</v>
      </c>
      <c r="AC42" s="10">
        <v>87.52</v>
      </c>
      <c r="AD42" s="2">
        <f t="shared" si="0"/>
        <v>3</v>
      </c>
      <c r="AE42" s="138">
        <f t="shared" si="1"/>
        <v>4.2028812953923023E-2</v>
      </c>
    </row>
    <row r="43" spans="2:31" ht="15.75" thickTop="1" x14ac:dyDescent="0.25">
      <c r="B43" s="266">
        <v>42575</v>
      </c>
      <c r="C43" s="261">
        <v>50</v>
      </c>
      <c r="D43" s="262">
        <v>79.449799999999996</v>
      </c>
      <c r="E43" s="262">
        <v>89.53</v>
      </c>
      <c r="F43" s="262">
        <f t="shared" ref="F43" si="27">C43*(E43-D43)</f>
        <v>504.01000000000022</v>
      </c>
      <c r="G43" s="262">
        <f t="shared" ref="G43" si="28">D43*C43</f>
        <v>3972.49</v>
      </c>
      <c r="H43" s="276">
        <f t="shared" ref="H43" si="29">(E43-D43)/D43</f>
        <v>0.12687508338598719</v>
      </c>
      <c r="I43" s="276"/>
      <c r="O43" s="83">
        <v>1.1000000000000001</v>
      </c>
      <c r="P43" s="83">
        <f>O43*$Q$4</f>
        <v>89.210000000000008</v>
      </c>
      <c r="Q43" s="2"/>
      <c r="T43" s="108" t="s">
        <v>101</v>
      </c>
      <c r="U43" s="371" t="s">
        <v>494</v>
      </c>
      <c r="W43" s="133">
        <v>42559</v>
      </c>
      <c r="X43" s="10">
        <v>82.47</v>
      </c>
      <c r="Y43" s="10">
        <v>84.71</v>
      </c>
      <c r="Z43" s="10">
        <v>82.47</v>
      </c>
      <c r="AA43" s="10">
        <v>84.23</v>
      </c>
      <c r="AB43" s="95">
        <v>984100</v>
      </c>
      <c r="AC43" s="10">
        <v>83.99</v>
      </c>
      <c r="AD43" s="2">
        <f t="shared" si="0"/>
        <v>2.2399999999999949</v>
      </c>
      <c r="AE43" s="138">
        <f t="shared" si="1"/>
        <v>2.1403380761279234E-2</v>
      </c>
    </row>
    <row r="44" spans="2:31" x14ac:dyDescent="0.25">
      <c r="B44" s="266">
        <v>42576</v>
      </c>
      <c r="C44" s="261">
        <v>50</v>
      </c>
      <c r="D44" s="262">
        <v>79.449799999999996</v>
      </c>
      <c r="E44" s="262">
        <v>88.86</v>
      </c>
      <c r="F44" s="262">
        <f t="shared" ref="F44" si="30">C44*(E44-D44)</f>
        <v>470.51000000000016</v>
      </c>
      <c r="G44" s="262">
        <f t="shared" ref="G44" si="31">D44*C44</f>
        <v>3972.49</v>
      </c>
      <c r="H44" s="276">
        <f t="shared" ref="H44" si="32">(E44-D44)/D44</f>
        <v>0.11844208544263174</v>
      </c>
      <c r="I44" s="276"/>
      <c r="O44" s="83">
        <v>1.0900000000000001</v>
      </c>
      <c r="P44" s="83">
        <f t="shared" ref="P44:P63" si="33">O44*$Q$4</f>
        <v>88.399000000000001</v>
      </c>
      <c r="Q44" s="2"/>
      <c r="T44" s="108" t="s">
        <v>102</v>
      </c>
      <c r="U44" s="371">
        <v>112.2</v>
      </c>
      <c r="W44" s="133">
        <v>42558</v>
      </c>
      <c r="X44" s="10">
        <v>82.35</v>
      </c>
      <c r="Y44" s="10">
        <v>84.49</v>
      </c>
      <c r="Z44" s="10">
        <v>81.680000000000007</v>
      </c>
      <c r="AA44" s="10">
        <v>82.47</v>
      </c>
      <c r="AB44" s="95">
        <v>803000</v>
      </c>
      <c r="AC44" s="10">
        <v>82.23</v>
      </c>
      <c r="AD44" s="2">
        <f t="shared" si="0"/>
        <v>2.8099999999999881</v>
      </c>
      <c r="AE44" s="138">
        <f t="shared" si="1"/>
        <v>4.7653958944282593E-3</v>
      </c>
    </row>
    <row r="45" spans="2:31" x14ac:dyDescent="0.25">
      <c r="B45" s="266">
        <v>42577</v>
      </c>
      <c r="C45" s="261">
        <v>50</v>
      </c>
      <c r="D45" s="262">
        <v>79.449799999999996</v>
      </c>
      <c r="E45" s="262">
        <v>89.46</v>
      </c>
      <c r="F45" s="262">
        <f t="shared" ref="F45:F46" si="34">C45*(E45-D45)</f>
        <v>500.50999999999988</v>
      </c>
      <c r="G45" s="262">
        <f t="shared" ref="G45:G46" si="35">D45*C45</f>
        <v>3972.49</v>
      </c>
      <c r="H45" s="276">
        <f t="shared" ref="H45:H46" si="36">(E45-D45)/D45</f>
        <v>0.12599402389936787</v>
      </c>
      <c r="I45" s="276"/>
      <c r="O45" s="83">
        <v>1.08</v>
      </c>
      <c r="P45" s="83">
        <f t="shared" si="33"/>
        <v>87.587999999999994</v>
      </c>
      <c r="Q45" s="2"/>
      <c r="T45" s="108" t="s">
        <v>103</v>
      </c>
      <c r="U45" s="371">
        <v>1.08568</v>
      </c>
      <c r="W45" s="133">
        <v>42557</v>
      </c>
      <c r="X45" s="10">
        <v>80.83</v>
      </c>
      <c r="Y45" s="10">
        <v>82.54</v>
      </c>
      <c r="Z45" s="10">
        <v>80.28</v>
      </c>
      <c r="AA45" s="10">
        <v>82.08</v>
      </c>
      <c r="AB45" s="95">
        <v>1632400</v>
      </c>
      <c r="AC45" s="10">
        <v>81.84</v>
      </c>
      <c r="AD45" s="2">
        <f t="shared" si="0"/>
        <v>2.2600000000000051</v>
      </c>
      <c r="AE45" s="138">
        <f t="shared" si="1"/>
        <v>9.747069710055678E-3</v>
      </c>
    </row>
    <row r="46" spans="2:31" x14ac:dyDescent="0.25">
      <c r="B46" s="266">
        <v>42580</v>
      </c>
      <c r="C46" s="261">
        <v>30</v>
      </c>
      <c r="D46" s="262">
        <v>73.937700000000007</v>
      </c>
      <c r="E46" s="262">
        <v>87.72</v>
      </c>
      <c r="F46" s="262">
        <f t="shared" si="34"/>
        <v>413.46899999999977</v>
      </c>
      <c r="G46" s="262">
        <f t="shared" si="35"/>
        <v>2218.1310000000003</v>
      </c>
      <c r="H46" s="276">
        <f t="shared" si="36"/>
        <v>0.18640422950673324</v>
      </c>
      <c r="I46" s="276"/>
      <c r="O46" s="83">
        <v>1.07</v>
      </c>
      <c r="P46" s="83">
        <f t="shared" si="33"/>
        <v>86.777000000000001</v>
      </c>
      <c r="Q46" s="2"/>
      <c r="T46" s="108" t="s">
        <v>123</v>
      </c>
      <c r="U46" s="371" t="s">
        <v>369</v>
      </c>
      <c r="W46" s="133">
        <v>42556</v>
      </c>
      <c r="X46" s="10">
        <v>82.88</v>
      </c>
      <c r="Y46" s="10">
        <v>84.1</v>
      </c>
      <c r="Z46" s="10">
        <v>79.349999999999994</v>
      </c>
      <c r="AA46" s="10">
        <v>81.290000000000006</v>
      </c>
      <c r="AB46" s="95">
        <v>1816500</v>
      </c>
      <c r="AC46" s="10">
        <v>81.05</v>
      </c>
      <c r="AD46" s="2">
        <f t="shared" si="0"/>
        <v>4.75</v>
      </c>
      <c r="AE46" s="138">
        <f t="shared" si="1"/>
        <v>-3.4084137766654754E-2</v>
      </c>
    </row>
    <row r="47" spans="2:31" x14ac:dyDescent="0.25">
      <c r="B47" s="266">
        <v>42580</v>
      </c>
      <c r="C47" s="261">
        <v>0</v>
      </c>
      <c r="D47" s="262"/>
      <c r="E47" s="262"/>
      <c r="F47" s="262">
        <v>420.99</v>
      </c>
      <c r="G47" s="262"/>
      <c r="H47" s="276"/>
      <c r="I47" s="276"/>
      <c r="O47" s="83">
        <v>1.06</v>
      </c>
      <c r="P47" s="83">
        <f t="shared" si="33"/>
        <v>85.965999999999994</v>
      </c>
      <c r="Q47" s="2"/>
      <c r="T47" s="108"/>
      <c r="U47" s="371"/>
      <c r="W47" s="133">
        <v>42552</v>
      </c>
      <c r="X47" s="10">
        <v>82.27</v>
      </c>
      <c r="Y47" s="10">
        <v>84.8</v>
      </c>
      <c r="Z47" s="10">
        <v>82.27</v>
      </c>
      <c r="AA47" s="10">
        <v>84.15</v>
      </c>
      <c r="AB47" s="95">
        <v>1241100</v>
      </c>
      <c r="AC47" s="10">
        <v>83.91</v>
      </c>
      <c r="AD47" s="2">
        <f t="shared" si="0"/>
        <v>2.5300000000000011</v>
      </c>
      <c r="AE47" s="138">
        <f t="shared" si="1"/>
        <v>2.117561153705716E-2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231"/>
      <c r="O48" s="83">
        <v>1.05</v>
      </c>
      <c r="P48" s="83">
        <f t="shared" si="33"/>
        <v>85.155000000000001</v>
      </c>
      <c r="Q48" s="2"/>
      <c r="T48" s="108" t="s">
        <v>105</v>
      </c>
      <c r="U48" s="371" t="s">
        <v>495</v>
      </c>
      <c r="W48" s="133">
        <v>42551</v>
      </c>
      <c r="X48" s="10">
        <v>82</v>
      </c>
      <c r="Y48" s="10">
        <v>82.75</v>
      </c>
      <c r="Z48" s="10">
        <v>80.83</v>
      </c>
      <c r="AA48" s="10">
        <v>82.41</v>
      </c>
      <c r="AB48" s="95">
        <v>1822100</v>
      </c>
      <c r="AC48" s="10">
        <v>82.17</v>
      </c>
      <c r="AD48" s="2">
        <f t="shared" si="0"/>
        <v>1.9200000000000017</v>
      </c>
      <c r="AE48" s="138">
        <f t="shared" si="1"/>
        <v>5.0146771037180571E-3</v>
      </c>
    </row>
    <row r="49" spans="1:31" x14ac:dyDescent="0.25">
      <c r="B49" s="193">
        <v>42608</v>
      </c>
      <c r="C49" s="10">
        <v>25</v>
      </c>
      <c r="D49" s="40">
        <v>78.95</v>
      </c>
      <c r="E49" s="40">
        <v>80.650000000000006</v>
      </c>
      <c r="F49" s="40">
        <f t="shared" ref="F49:F50" si="37">C49*(E49-D49)</f>
        <v>42.500000000000071</v>
      </c>
      <c r="G49" s="40">
        <f t="shared" ref="G49:G50" si="38">D49*C49</f>
        <v>1973.75</v>
      </c>
      <c r="H49" s="231">
        <f t="shared" ref="H49:H50" si="39">(E49-D49)/D49</f>
        <v>2.1532615579480718E-2</v>
      </c>
      <c r="I49" s="231"/>
      <c r="O49" s="83">
        <v>1.04</v>
      </c>
      <c r="P49" s="83">
        <f t="shared" si="33"/>
        <v>84.343999999999994</v>
      </c>
      <c r="Q49" s="2"/>
      <c r="T49" s="108" t="s">
        <v>106</v>
      </c>
      <c r="U49" s="371" t="s">
        <v>329</v>
      </c>
      <c r="W49" s="133">
        <v>42550</v>
      </c>
      <c r="X49" s="10">
        <v>81.510000000000005</v>
      </c>
      <c r="Y49" s="10">
        <v>82.87</v>
      </c>
      <c r="Z49" s="10">
        <v>81.5</v>
      </c>
      <c r="AA49" s="10">
        <v>82</v>
      </c>
      <c r="AB49" s="95">
        <v>1350400</v>
      </c>
      <c r="AC49" s="10">
        <v>81.760000000000005</v>
      </c>
      <c r="AD49" s="2">
        <f t="shared" si="0"/>
        <v>1.3700000000000045</v>
      </c>
      <c r="AE49" s="138">
        <f t="shared" si="1"/>
        <v>1.5778357559945499E-2</v>
      </c>
    </row>
    <row r="50" spans="1:31" x14ac:dyDescent="0.25">
      <c r="B50" s="193">
        <v>42609</v>
      </c>
      <c r="C50" s="10">
        <v>25</v>
      </c>
      <c r="D50" s="40">
        <v>78.95</v>
      </c>
      <c r="E50" s="40">
        <v>80.180000000000007</v>
      </c>
      <c r="F50" s="40">
        <f t="shared" si="37"/>
        <v>30.750000000000099</v>
      </c>
      <c r="G50" s="40">
        <f t="shared" si="38"/>
        <v>1973.75</v>
      </c>
      <c r="H50" s="231">
        <f t="shared" si="39"/>
        <v>1.5579480683977251E-2</v>
      </c>
      <c r="I50" s="231"/>
      <c r="O50" s="83">
        <v>1.03</v>
      </c>
      <c r="P50" s="83">
        <f t="shared" si="33"/>
        <v>83.533000000000001</v>
      </c>
      <c r="Q50" s="2"/>
      <c r="T50" s="108" t="s">
        <v>107</v>
      </c>
      <c r="U50" s="372">
        <v>1134329</v>
      </c>
      <c r="W50" s="133">
        <v>42549</v>
      </c>
      <c r="X50" s="10">
        <v>81.010000000000005</v>
      </c>
      <c r="Y50" s="10">
        <v>82.91</v>
      </c>
      <c r="Z50" s="10">
        <v>79.92</v>
      </c>
      <c r="AA50" s="10">
        <v>80.72</v>
      </c>
      <c r="AB50" s="95">
        <v>1423000</v>
      </c>
      <c r="AC50" s="10">
        <v>80.489999999999995</v>
      </c>
      <c r="AD50" s="2">
        <f t="shared" si="0"/>
        <v>2.9899999999999949</v>
      </c>
      <c r="AE50" s="138">
        <f t="shared" si="1"/>
        <v>1.8473997216246874E-2</v>
      </c>
    </row>
    <row r="51" spans="1:31" x14ac:dyDescent="0.25">
      <c r="B51" s="193">
        <v>42613</v>
      </c>
      <c r="C51" s="10">
        <v>25</v>
      </c>
      <c r="D51" s="40">
        <v>78.95</v>
      </c>
      <c r="E51" s="40">
        <v>81.98</v>
      </c>
      <c r="F51" s="40">
        <f t="shared" ref="F51" si="40">C51*(E51-D51)</f>
        <v>75.750000000000028</v>
      </c>
      <c r="G51" s="40">
        <f t="shared" ref="G51" si="41">D51*C51</f>
        <v>1973.75</v>
      </c>
      <c r="H51" s="231">
        <f t="shared" ref="H51" si="42">(E51-D51)/D51</f>
        <v>3.8378720709309699E-2</v>
      </c>
      <c r="I51" s="231"/>
      <c r="O51" s="83">
        <v>1.02</v>
      </c>
      <c r="P51" s="83">
        <f t="shared" si="33"/>
        <v>82.721999999999994</v>
      </c>
      <c r="Q51" s="2"/>
      <c r="T51" s="108" t="s">
        <v>110</v>
      </c>
      <c r="U51" s="372">
        <v>1946760</v>
      </c>
      <c r="W51" s="133">
        <v>42548</v>
      </c>
      <c r="X51" s="10">
        <v>81.16</v>
      </c>
      <c r="Y51" s="10">
        <v>81.59</v>
      </c>
      <c r="Z51" s="10">
        <v>77</v>
      </c>
      <c r="AA51" s="10">
        <v>79.260000000000005</v>
      </c>
      <c r="AB51" s="95">
        <v>4621200</v>
      </c>
      <c r="AC51" s="10">
        <v>79.03</v>
      </c>
      <c r="AD51" s="2">
        <f t="shared" si="0"/>
        <v>4.5900000000000034</v>
      </c>
      <c r="AE51" s="138">
        <f t="shared" si="1"/>
        <v>-3.3626803619466905E-2</v>
      </c>
    </row>
    <row r="52" spans="1:31" x14ac:dyDescent="0.25">
      <c r="B52" s="193"/>
      <c r="C52" s="10"/>
      <c r="D52" s="40"/>
      <c r="E52" s="40"/>
      <c r="F52" s="40"/>
      <c r="G52" s="40"/>
      <c r="H52" s="231"/>
      <c r="I52" s="231"/>
      <c r="O52" s="83">
        <v>1.01</v>
      </c>
      <c r="P52" s="83">
        <f t="shared" si="33"/>
        <v>81.911000000000001</v>
      </c>
      <c r="Q52" s="2"/>
      <c r="T52" s="108" t="s">
        <v>108</v>
      </c>
      <c r="U52" s="371" t="s">
        <v>496</v>
      </c>
      <c r="W52" s="133">
        <v>42545</v>
      </c>
      <c r="X52" s="10">
        <v>84.35</v>
      </c>
      <c r="Y52" s="10">
        <v>85.27</v>
      </c>
      <c r="Z52" s="10">
        <v>81.650000000000006</v>
      </c>
      <c r="AA52" s="10">
        <v>82.02</v>
      </c>
      <c r="AB52" s="95">
        <v>2846400</v>
      </c>
      <c r="AC52" s="10">
        <v>81.78</v>
      </c>
      <c r="AD52" s="2">
        <f t="shared" si="0"/>
        <v>3.6199999999999903</v>
      </c>
      <c r="AE52" s="138">
        <f t="shared" si="1"/>
        <v>-5.2485227667709466E-2</v>
      </c>
    </row>
    <row r="53" spans="1:31" x14ac:dyDescent="0.25">
      <c r="B53" s="193"/>
      <c r="C53" s="10"/>
      <c r="D53" s="40"/>
      <c r="E53" s="40"/>
      <c r="F53" s="40"/>
      <c r="G53" s="40"/>
      <c r="H53" s="231"/>
      <c r="I53" s="231"/>
      <c r="O53" s="83">
        <v>1</v>
      </c>
      <c r="P53" s="83">
        <f t="shared" si="33"/>
        <v>81.099999999999994</v>
      </c>
      <c r="Q53" s="2"/>
      <c r="T53" s="108" t="s">
        <v>111</v>
      </c>
      <c r="U53" s="371">
        <v>12.5</v>
      </c>
      <c r="W53" s="133">
        <v>42544</v>
      </c>
      <c r="X53" s="10">
        <v>85.54</v>
      </c>
      <c r="Y53" s="10">
        <v>86.62</v>
      </c>
      <c r="Z53" s="10">
        <v>85</v>
      </c>
      <c r="AA53" s="10">
        <v>86.56</v>
      </c>
      <c r="AB53" s="95">
        <v>1606700</v>
      </c>
      <c r="AC53" s="10">
        <v>86.31</v>
      </c>
      <c r="AD53" s="2">
        <f t="shared" si="0"/>
        <v>1.6200000000000045</v>
      </c>
      <c r="AE53" s="138">
        <f t="shared" si="1"/>
        <v>1.2790424782914922E-2</v>
      </c>
    </row>
    <row r="54" spans="1:31" x14ac:dyDescent="0.25">
      <c r="B54" s="193"/>
      <c r="C54" s="10"/>
      <c r="D54" s="40"/>
      <c r="E54" s="40"/>
      <c r="F54" s="40"/>
      <c r="G54" s="40"/>
      <c r="H54" s="231"/>
      <c r="I54" s="231"/>
      <c r="O54" s="83">
        <v>0.99</v>
      </c>
      <c r="P54" s="83">
        <f t="shared" si="33"/>
        <v>80.288999999999987</v>
      </c>
      <c r="Q54" s="2"/>
      <c r="T54" s="108" t="s">
        <v>112</v>
      </c>
      <c r="U54" s="371">
        <v>6.56</v>
      </c>
      <c r="W54" s="133">
        <v>42543</v>
      </c>
      <c r="X54" s="10">
        <v>85.12</v>
      </c>
      <c r="Y54" s="10">
        <v>85.93</v>
      </c>
      <c r="Z54" s="10">
        <v>84.7</v>
      </c>
      <c r="AA54" s="10">
        <v>85.47</v>
      </c>
      <c r="AB54" s="95">
        <v>1439100</v>
      </c>
      <c r="AC54" s="10">
        <v>85.22</v>
      </c>
      <c r="AD54" s="2">
        <f t="shared" si="0"/>
        <v>1.230000000000004</v>
      </c>
      <c r="AE54" s="138">
        <f t="shared" si="1"/>
        <v>2.8241939279829431E-3</v>
      </c>
    </row>
    <row r="55" spans="1:31" x14ac:dyDescent="0.25">
      <c r="B55" s="193"/>
      <c r="C55" s="10"/>
      <c r="D55" s="40"/>
      <c r="E55" s="40"/>
      <c r="F55" s="40"/>
      <c r="G55" s="40"/>
      <c r="H55" s="231"/>
      <c r="I55" s="231"/>
      <c r="O55" s="83">
        <v>0.98</v>
      </c>
      <c r="P55" s="83">
        <f t="shared" si="33"/>
        <v>79.477999999999994</v>
      </c>
      <c r="Q55" s="2"/>
      <c r="T55" s="108" t="s">
        <v>109</v>
      </c>
      <c r="U55" s="371" t="s">
        <v>583</v>
      </c>
      <c r="W55" s="133">
        <v>42542</v>
      </c>
      <c r="X55" s="10">
        <v>86.09</v>
      </c>
      <c r="Y55" s="10">
        <v>86.88</v>
      </c>
      <c r="Z55" s="10">
        <v>84.22</v>
      </c>
      <c r="AA55" s="10">
        <v>85.23</v>
      </c>
      <c r="AB55" s="95">
        <v>1735800</v>
      </c>
      <c r="AC55" s="10">
        <v>84.98</v>
      </c>
      <c r="AD55" s="2">
        <f t="shared" si="0"/>
        <v>2.6599999999999966</v>
      </c>
      <c r="AE55" s="138">
        <f t="shared" si="1"/>
        <v>-9.0951492537313383E-3</v>
      </c>
    </row>
    <row r="56" spans="1:31" x14ac:dyDescent="0.25">
      <c r="B56" s="193"/>
      <c r="C56" s="10"/>
      <c r="D56" s="40"/>
      <c r="E56" s="40"/>
      <c r="F56" s="40"/>
      <c r="G56" s="40"/>
      <c r="H56" s="231"/>
      <c r="I56" s="231"/>
      <c r="O56" s="83">
        <v>0.97</v>
      </c>
      <c r="P56" s="83">
        <f t="shared" si="33"/>
        <v>78.666999999999987</v>
      </c>
      <c r="W56" s="133">
        <v>42541</v>
      </c>
      <c r="X56" s="10">
        <v>85.82</v>
      </c>
      <c r="Y56" s="10">
        <v>89.47</v>
      </c>
      <c r="Z56" s="10">
        <v>85.82</v>
      </c>
      <c r="AA56" s="10">
        <v>86.01</v>
      </c>
      <c r="AB56" s="95">
        <v>2802000</v>
      </c>
      <c r="AC56" s="10">
        <v>85.76</v>
      </c>
      <c r="AD56" s="2">
        <f t="shared" si="0"/>
        <v>3.6500000000000057</v>
      </c>
      <c r="AE56" s="138">
        <f t="shared" si="1"/>
        <v>1.31128174837567E-2</v>
      </c>
    </row>
    <row r="57" spans="1:31" x14ac:dyDescent="0.25">
      <c r="B57" s="193"/>
      <c r="C57" s="10"/>
      <c r="D57" s="40"/>
      <c r="E57" s="40"/>
      <c r="F57" s="40"/>
      <c r="G57" s="40"/>
      <c r="H57" s="231"/>
      <c r="I57" s="231"/>
      <c r="O57" s="83">
        <v>0.96</v>
      </c>
      <c r="P57" s="83">
        <f t="shared" si="33"/>
        <v>77.855999999999995</v>
      </c>
      <c r="W57" s="133">
        <v>42538</v>
      </c>
      <c r="X57" s="10">
        <v>82.01</v>
      </c>
      <c r="Y57" s="10">
        <v>85.55</v>
      </c>
      <c r="Z57" s="10">
        <v>81.97</v>
      </c>
      <c r="AA57" s="10">
        <v>84.9</v>
      </c>
      <c r="AB57" s="95">
        <v>2741100</v>
      </c>
      <c r="AC57" s="10">
        <v>84.65</v>
      </c>
      <c r="AD57" s="2">
        <f t="shared" si="0"/>
        <v>3.5799999999999983</v>
      </c>
      <c r="AE57" s="138">
        <f t="shared" si="1"/>
        <v>3.5094155050134468E-2</v>
      </c>
    </row>
    <row r="58" spans="1:31" x14ac:dyDescent="0.25">
      <c r="B58" s="193"/>
      <c r="C58" s="10"/>
      <c r="D58" s="40"/>
      <c r="E58" s="40"/>
      <c r="F58" s="40"/>
      <c r="G58" s="40"/>
      <c r="H58" s="231"/>
      <c r="I58" s="231"/>
      <c r="O58" s="83">
        <v>0.95</v>
      </c>
      <c r="P58" s="83">
        <f t="shared" si="33"/>
        <v>77.044999999999987</v>
      </c>
      <c r="W58" s="133">
        <v>42537</v>
      </c>
      <c r="X58" s="10">
        <v>82.82</v>
      </c>
      <c r="Y58" s="10">
        <v>83.58</v>
      </c>
      <c r="Z58" s="10">
        <v>81.319999999999993</v>
      </c>
      <c r="AA58" s="10">
        <v>82.02</v>
      </c>
      <c r="AB58" s="95">
        <v>1576300</v>
      </c>
      <c r="AC58" s="10">
        <v>81.78</v>
      </c>
      <c r="AD58" s="2">
        <f t="shared" si="0"/>
        <v>2.2600000000000051</v>
      </c>
      <c r="AE58" s="138">
        <f t="shared" si="1"/>
        <v>-1.1722054380664648E-2</v>
      </c>
    </row>
    <row r="59" spans="1:31" x14ac:dyDescent="0.25">
      <c r="O59" s="83">
        <v>0.94</v>
      </c>
      <c r="P59" s="83">
        <f t="shared" si="33"/>
        <v>76.233999999999995</v>
      </c>
      <c r="W59" s="133">
        <v>42536</v>
      </c>
      <c r="X59" s="10">
        <v>84.36</v>
      </c>
      <c r="Y59" s="10">
        <v>84.73</v>
      </c>
      <c r="Z59" s="10">
        <v>82.79</v>
      </c>
      <c r="AA59" s="10">
        <v>82.99</v>
      </c>
      <c r="AB59" s="95">
        <v>2123700</v>
      </c>
      <c r="AC59" s="10">
        <v>82.75</v>
      </c>
      <c r="AD59" s="2">
        <f t="shared" si="0"/>
        <v>1.9399999999999977</v>
      </c>
      <c r="AE59" s="138">
        <f t="shared" si="1"/>
        <v>-1.0522539758459848E-2</v>
      </c>
    </row>
    <row r="60" spans="1:31" x14ac:dyDescent="0.25">
      <c r="O60" s="83">
        <v>0.93</v>
      </c>
      <c r="P60" s="83">
        <f t="shared" si="33"/>
        <v>75.423000000000002</v>
      </c>
      <c r="W60" s="133">
        <v>42535</v>
      </c>
      <c r="X60" s="10">
        <v>85.57</v>
      </c>
      <c r="Y60" s="10">
        <v>85.6</v>
      </c>
      <c r="Z60" s="10">
        <v>81.69</v>
      </c>
      <c r="AA60" s="10">
        <v>83.87</v>
      </c>
      <c r="AB60" s="95">
        <v>2895800</v>
      </c>
      <c r="AC60" s="10">
        <v>83.63</v>
      </c>
      <c r="AD60" s="2">
        <f t="shared" si="0"/>
        <v>3.9099999999999966</v>
      </c>
      <c r="AE60" s="138">
        <f t="shared" si="1"/>
        <v>-1.9117992024396124E-2</v>
      </c>
    </row>
    <row r="61" spans="1:31" x14ac:dyDescent="0.25">
      <c r="L61" t="s">
        <v>65</v>
      </c>
      <c r="M61" s="2">
        <f>K79+M79-F79</f>
        <v>433.9900000000016</v>
      </c>
      <c r="O61" s="83">
        <v>0.92</v>
      </c>
      <c r="P61" s="83">
        <f t="shared" si="33"/>
        <v>74.611999999999995</v>
      </c>
      <c r="W61" s="133">
        <v>42534</v>
      </c>
      <c r="X61" s="10">
        <v>89</v>
      </c>
      <c r="Y61" s="10">
        <v>89.1</v>
      </c>
      <c r="Z61" s="10">
        <v>85.32</v>
      </c>
      <c r="AA61" s="10">
        <v>85.51</v>
      </c>
      <c r="AB61" s="95">
        <v>1463100</v>
      </c>
      <c r="AC61" s="10">
        <v>85.26</v>
      </c>
      <c r="AD61" s="2">
        <f t="shared" si="0"/>
        <v>3.7800000000000011</v>
      </c>
      <c r="AE61" s="138">
        <f t="shared" si="1"/>
        <v>-4.0621131990547954E-2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94</v>
      </c>
      <c r="F62" s="264" t="s">
        <v>60</v>
      </c>
      <c r="G62" s="263" t="s">
        <v>3</v>
      </c>
      <c r="H62" s="263" t="s">
        <v>6</v>
      </c>
      <c r="I62" s="263" t="s">
        <v>7</v>
      </c>
      <c r="J62" s="263" t="s">
        <v>95</v>
      </c>
      <c r="K62" s="264" t="s">
        <v>61</v>
      </c>
      <c r="L62" s="263" t="s">
        <v>77</v>
      </c>
      <c r="M62" s="263" t="s">
        <v>38</v>
      </c>
      <c r="O62" s="83">
        <v>0.91</v>
      </c>
      <c r="P62" s="83">
        <f t="shared" si="33"/>
        <v>73.801000000000002</v>
      </c>
      <c r="W62" s="133">
        <v>42531</v>
      </c>
      <c r="X62" s="10">
        <v>88.23</v>
      </c>
      <c r="Y62" s="10">
        <v>90.11</v>
      </c>
      <c r="Z62" s="10">
        <v>87.9</v>
      </c>
      <c r="AA62" s="10">
        <v>89.13</v>
      </c>
      <c r="AB62" s="95">
        <v>2418100</v>
      </c>
      <c r="AC62" s="10">
        <v>88.87</v>
      </c>
      <c r="AD62" s="2">
        <f t="shared" si="0"/>
        <v>2.2099999999999937</v>
      </c>
      <c r="AE62" s="138">
        <f t="shared" si="1"/>
        <v>-5.2608014327288899E-3</v>
      </c>
    </row>
    <row r="63" spans="1:31" x14ac:dyDescent="0.25">
      <c r="A63" s="265" t="s">
        <v>232</v>
      </c>
      <c r="B63" s="266">
        <v>42516</v>
      </c>
      <c r="C63" s="261">
        <v>20</v>
      </c>
      <c r="D63" s="262">
        <v>96.2</v>
      </c>
      <c r="E63" s="262">
        <v>0</v>
      </c>
      <c r="F63" s="262">
        <f t="shared" ref="F63:F68" si="43">C63*D63 + E63</f>
        <v>1924</v>
      </c>
      <c r="G63" s="266">
        <v>42516</v>
      </c>
      <c r="H63" s="261">
        <v>20</v>
      </c>
      <c r="I63" s="262">
        <v>88.99</v>
      </c>
      <c r="J63" s="262">
        <v>0.04</v>
      </c>
      <c r="K63" s="262">
        <f t="shared" ref="K63:K68" si="44">H63*I63 - J63</f>
        <v>1779.76</v>
      </c>
      <c r="L63" s="266">
        <v>42608</v>
      </c>
      <c r="M63" s="261">
        <v>13</v>
      </c>
      <c r="O63" s="83">
        <v>0.9</v>
      </c>
      <c r="P63" s="83">
        <f t="shared" si="33"/>
        <v>72.989999999999995</v>
      </c>
      <c r="W63" s="133">
        <v>42530</v>
      </c>
      <c r="X63" s="10">
        <v>89</v>
      </c>
      <c r="Y63" s="10">
        <v>90.68</v>
      </c>
      <c r="Z63" s="10">
        <v>88.42</v>
      </c>
      <c r="AA63" s="10">
        <v>89.6</v>
      </c>
      <c r="AB63" s="95">
        <v>2611300</v>
      </c>
      <c r="AC63" s="10">
        <v>89.34</v>
      </c>
      <c r="AD63" s="2">
        <f t="shared" si="0"/>
        <v>2.2600000000000051</v>
      </c>
      <c r="AE63" s="138">
        <f t="shared" si="1"/>
        <v>3.2565974171814283E-3</v>
      </c>
    </row>
    <row r="64" spans="1:31" x14ac:dyDescent="0.25">
      <c r="A64" s="268" t="s">
        <v>71</v>
      </c>
      <c r="B64" s="486">
        <v>42527</v>
      </c>
      <c r="C64" s="261">
        <v>25</v>
      </c>
      <c r="D64" s="262">
        <v>85.59</v>
      </c>
      <c r="E64" s="262">
        <v>0</v>
      </c>
      <c r="F64" s="262">
        <f t="shared" si="43"/>
        <v>2139.75</v>
      </c>
      <c r="G64" s="266">
        <v>42541</v>
      </c>
      <c r="H64" s="267">
        <v>25</v>
      </c>
      <c r="I64" s="262">
        <v>86.59</v>
      </c>
      <c r="J64" s="262">
        <v>0.05</v>
      </c>
      <c r="K64" s="262">
        <f t="shared" si="44"/>
        <v>2164.6999999999998</v>
      </c>
      <c r="L64" s="261"/>
      <c r="M64" s="261"/>
      <c r="W64" s="133">
        <v>42529</v>
      </c>
      <c r="X64" s="10">
        <v>86.84</v>
      </c>
      <c r="Y64" s="10">
        <v>90.5</v>
      </c>
      <c r="Z64" s="10">
        <v>86.1</v>
      </c>
      <c r="AA64" s="10">
        <v>89.31</v>
      </c>
      <c r="AB64" s="95">
        <v>4561600</v>
      </c>
      <c r="AC64" s="10">
        <v>89.05</v>
      </c>
      <c r="AD64" s="2">
        <f t="shared" si="0"/>
        <v>4.4000000000000057</v>
      </c>
      <c r="AE64" s="138">
        <f t="shared" si="1"/>
        <v>3.9696438995913574E-2</v>
      </c>
    </row>
    <row r="65" spans="1:31" x14ac:dyDescent="0.25">
      <c r="A65" s="261"/>
      <c r="B65" s="486">
        <v>42535</v>
      </c>
      <c r="C65" s="261">
        <v>20</v>
      </c>
      <c r="D65" s="262">
        <v>82.75</v>
      </c>
      <c r="E65" s="262">
        <v>0</v>
      </c>
      <c r="F65" s="262">
        <f t="shared" si="43"/>
        <v>1655</v>
      </c>
      <c r="G65" s="266">
        <v>42552</v>
      </c>
      <c r="H65" s="267">
        <v>20</v>
      </c>
      <c r="I65" s="262">
        <v>83.98</v>
      </c>
      <c r="J65" s="262">
        <v>0.04</v>
      </c>
      <c r="K65" s="262">
        <f t="shared" si="44"/>
        <v>1679.5600000000002</v>
      </c>
      <c r="L65" s="261"/>
      <c r="M65" s="261"/>
      <c r="W65" s="133">
        <v>42528</v>
      </c>
      <c r="X65" s="10">
        <v>86.5</v>
      </c>
      <c r="Y65" s="10">
        <v>86.71</v>
      </c>
      <c r="Z65" s="10">
        <v>84.15</v>
      </c>
      <c r="AA65" s="10">
        <v>85.9</v>
      </c>
      <c r="AB65" s="95">
        <v>2971000</v>
      </c>
      <c r="AC65" s="10">
        <v>85.65</v>
      </c>
      <c r="AD65" s="2">
        <f t="shared" si="0"/>
        <v>2.5599999999999881</v>
      </c>
      <c r="AE65" s="138">
        <f t="shared" si="1"/>
        <v>-5.6884142094264512E-3</v>
      </c>
    </row>
    <row r="66" spans="1:31" x14ac:dyDescent="0.25">
      <c r="A66" s="261"/>
      <c r="B66" s="266">
        <v>42535</v>
      </c>
      <c r="C66" s="261">
        <v>5</v>
      </c>
      <c r="D66" s="262">
        <v>82.75</v>
      </c>
      <c r="E66" s="262">
        <v>0</v>
      </c>
      <c r="F66" s="262">
        <f t="shared" si="43"/>
        <v>413.75</v>
      </c>
      <c r="G66" s="266">
        <v>42569</v>
      </c>
      <c r="H66" s="267">
        <v>5</v>
      </c>
      <c r="I66" s="262">
        <v>92</v>
      </c>
      <c r="J66" s="262">
        <v>0.01</v>
      </c>
      <c r="K66" s="262">
        <f t="shared" si="44"/>
        <v>459.99</v>
      </c>
      <c r="L66" s="261"/>
      <c r="M66" s="261"/>
      <c r="W66" s="133">
        <v>42527</v>
      </c>
      <c r="X66" s="10">
        <v>87.47</v>
      </c>
      <c r="Y66" s="10">
        <v>87.74</v>
      </c>
      <c r="Z66" s="10">
        <v>84.27</v>
      </c>
      <c r="AA66" s="10">
        <v>86.39</v>
      </c>
      <c r="AB66" s="95">
        <v>4353800</v>
      </c>
      <c r="AC66" s="10">
        <v>86.14</v>
      </c>
      <c r="AD66" s="2">
        <f t="shared" si="0"/>
        <v>3.4699999999999989</v>
      </c>
      <c r="AE66" s="138">
        <f t="shared" si="1"/>
        <v>-2.0357102240418534E-2</v>
      </c>
    </row>
    <row r="67" spans="1:31" x14ac:dyDescent="0.25">
      <c r="A67" s="261"/>
      <c r="B67" s="266">
        <v>42548</v>
      </c>
      <c r="C67" s="261">
        <v>20</v>
      </c>
      <c r="D67" s="262">
        <v>78.48</v>
      </c>
      <c r="E67" s="262">
        <v>0</v>
      </c>
      <c r="F67" s="262">
        <f t="shared" si="43"/>
        <v>1569.6000000000001</v>
      </c>
      <c r="G67" s="266">
        <v>42580</v>
      </c>
      <c r="H67" s="267">
        <v>20</v>
      </c>
      <c r="I67" s="262">
        <v>87.72</v>
      </c>
      <c r="J67" s="262">
        <v>0.04</v>
      </c>
      <c r="K67" s="262">
        <f t="shared" si="44"/>
        <v>1754.3600000000001</v>
      </c>
      <c r="L67" s="261"/>
      <c r="M67" s="261"/>
      <c r="W67" s="133">
        <v>42524</v>
      </c>
      <c r="X67" s="10">
        <v>92.14</v>
      </c>
      <c r="Y67" s="10">
        <v>92.4</v>
      </c>
      <c r="Z67" s="10">
        <v>87.48</v>
      </c>
      <c r="AA67" s="10">
        <v>88.19</v>
      </c>
      <c r="AB67" s="95">
        <v>3837000</v>
      </c>
      <c r="AC67" s="10">
        <v>87.93</v>
      </c>
      <c r="AD67" s="2">
        <f>Y67-Z67</f>
        <v>4.9200000000000017</v>
      </c>
      <c r="AE67" s="138">
        <f>AC67/AC68-1</f>
        <v>-4.3823401478903734E-2</v>
      </c>
    </row>
    <row r="68" spans="1:31" x14ac:dyDescent="0.25">
      <c r="A68" s="261"/>
      <c r="B68" s="266">
        <v>42548</v>
      </c>
      <c r="C68" s="261">
        <v>30</v>
      </c>
      <c r="D68" s="262">
        <v>78.48</v>
      </c>
      <c r="E68" s="262">
        <v>0</v>
      </c>
      <c r="F68" s="262">
        <f t="shared" si="43"/>
        <v>2354.4</v>
      </c>
      <c r="G68" s="266">
        <v>42580</v>
      </c>
      <c r="H68" s="267">
        <v>30</v>
      </c>
      <c r="I68" s="262">
        <v>87.97</v>
      </c>
      <c r="J68" s="262">
        <v>-0.02</v>
      </c>
      <c r="K68" s="262">
        <f t="shared" si="44"/>
        <v>2639.12</v>
      </c>
      <c r="L68" s="261"/>
      <c r="M68" s="261"/>
      <c r="W68" s="133">
        <v>42523</v>
      </c>
      <c r="X68" s="10">
        <v>98.66</v>
      </c>
      <c r="Y68" s="10">
        <v>99.03</v>
      </c>
      <c r="Z68" s="10">
        <v>84.8</v>
      </c>
      <c r="AA68" s="10">
        <v>92.23</v>
      </c>
      <c r="AB68" s="95">
        <v>11586700</v>
      </c>
      <c r="AC68" s="10">
        <v>91.96</v>
      </c>
      <c r="AD68" s="2">
        <f>Y68-Z68</f>
        <v>14.230000000000004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2"/>
      <c r="J69" s="262"/>
      <c r="K69" s="262"/>
      <c r="L69" s="261"/>
      <c r="M69" s="261"/>
      <c r="W69" s="284" t="s">
        <v>122</v>
      </c>
      <c r="AB69" s="235"/>
    </row>
    <row r="70" spans="1:31" x14ac:dyDescent="0.25">
      <c r="A70" s="261"/>
      <c r="B70" s="266"/>
      <c r="C70" s="261"/>
      <c r="D70" s="262"/>
      <c r="E70" s="262"/>
      <c r="F70" s="262"/>
      <c r="G70" s="266"/>
      <c r="H70" s="267"/>
      <c r="I70" s="262"/>
      <c r="J70" s="262"/>
      <c r="K70" s="262"/>
      <c r="L70" s="261"/>
      <c r="M70" s="261"/>
    </row>
    <row r="71" spans="1:31" x14ac:dyDescent="0.25">
      <c r="A71" s="261"/>
      <c r="B71" s="266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6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261"/>
      <c r="B73" s="266"/>
      <c r="C73" s="261"/>
      <c r="D73" s="262"/>
      <c r="E73" s="262"/>
      <c r="F73" s="262"/>
      <c r="G73" s="266"/>
      <c r="H73" s="267"/>
      <c r="I73" s="261"/>
      <c r="J73" s="261"/>
      <c r="K73" s="262"/>
      <c r="L73" s="261"/>
      <c r="M73" s="261"/>
    </row>
    <row r="74" spans="1:31" x14ac:dyDescent="0.25">
      <c r="A74" s="261"/>
      <c r="B74" s="266"/>
      <c r="C74" s="261"/>
      <c r="D74" s="262"/>
      <c r="E74" s="262"/>
      <c r="F74" s="262"/>
      <c r="G74" s="266"/>
      <c r="H74" s="267"/>
      <c r="I74" s="262"/>
      <c r="J74" s="261"/>
      <c r="K74" s="262"/>
      <c r="L74" s="261"/>
      <c r="M74" s="261"/>
    </row>
    <row r="75" spans="1:31" x14ac:dyDescent="0.25">
      <c r="A75" s="261"/>
      <c r="B75" s="266"/>
      <c r="C75" s="261"/>
      <c r="D75" s="262"/>
      <c r="E75" s="262"/>
      <c r="F75" s="262"/>
      <c r="G75" s="266"/>
      <c r="H75" s="267"/>
      <c r="I75" s="261"/>
      <c r="J75" s="261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6"/>
      <c r="H76" s="267"/>
      <c r="I76" s="261"/>
      <c r="J76" s="261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6"/>
      <c r="H77" s="267"/>
      <c r="I77" s="261"/>
      <c r="J77" s="261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6"/>
      <c r="H78" s="267"/>
      <c r="I78" s="261"/>
      <c r="J78" s="261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SUM(C63:C75)</f>
        <v>120</v>
      </c>
      <c r="D79" s="14"/>
      <c r="E79" s="14"/>
      <c r="F79" s="18">
        <f t="shared" ref="F79" si="45">SUM(F63:F75)</f>
        <v>10056.5</v>
      </c>
      <c r="G79" s="14"/>
      <c r="H79" s="14">
        <f t="shared" ref="H79" si="46">SUM(H63:H75)</f>
        <v>120</v>
      </c>
      <c r="I79" s="14"/>
      <c r="J79" s="14"/>
      <c r="K79" s="14">
        <f t="shared" ref="K79" si="47">SUM(K63:K75)</f>
        <v>10477.490000000002</v>
      </c>
      <c r="L79" s="14"/>
      <c r="M79" s="18">
        <f t="shared" ref="M79" si="48">SUM(M63:M75)</f>
        <v>13</v>
      </c>
    </row>
    <row r="80" spans="1:31" ht="15.75" thickBot="1" x14ac:dyDescent="0.3">
      <c r="A80" s="488" t="s">
        <v>204</v>
      </c>
      <c r="B80" s="489"/>
      <c r="C80" s="490">
        <f>SumByColor($A$19,C63:C78)</f>
        <v>0</v>
      </c>
      <c r="D80" s="490"/>
      <c r="E80" s="490"/>
      <c r="F80" s="491">
        <f>SumByColor($A$19,F63:F78)</f>
        <v>0</v>
      </c>
      <c r="G80" s="490"/>
      <c r="H80" s="490">
        <f>SumByColor($A$19,H63:H78)</f>
        <v>0</v>
      </c>
      <c r="I80" s="490"/>
      <c r="J80" s="490"/>
      <c r="K80" s="491">
        <f>SumByColor($A$19,K63:K78)</f>
        <v>0</v>
      </c>
      <c r="L80" s="490"/>
      <c r="M80" s="491">
        <f>SumByColor($A$19,M63:M78)</f>
        <v>0</v>
      </c>
    </row>
  </sheetData>
  <mergeCells count="1">
    <mergeCell ref="O42:P42"/>
  </mergeCells>
  <conditionalFormatting sqref="N19">
    <cfRule type="expression" dxfId="682" priority="27">
      <formula>N19&gt;0</formula>
    </cfRule>
    <cfRule type="expression" dxfId="681" priority="28">
      <formula>N19&lt;0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47 F50:F58">
    <cfRule type="expression" dxfId="680" priority="21">
      <formula>F29&gt;0</formula>
    </cfRule>
    <cfRule type="expression" dxfId="679" priority="22">
      <formula>F29&lt;0</formula>
    </cfRule>
  </conditionalFormatting>
  <conditionalFormatting sqref="H29:H47 H50:H58">
    <cfRule type="expression" dxfId="678" priority="19">
      <formula>H29&gt;0</formula>
    </cfRule>
    <cfRule type="expression" dxfId="677" priority="20">
      <formula>H29&lt;0</formula>
    </cfRule>
  </conditionalFormatting>
  <conditionalFormatting sqref="I25:I58">
    <cfRule type="expression" dxfId="676" priority="17">
      <formula>I25&gt;0</formula>
    </cfRule>
    <cfRule type="expression" dxfId="675" priority="18">
      <formula>I25&lt;0</formula>
    </cfRule>
  </conditionalFormatting>
  <conditionalFormatting sqref="Q7">
    <cfRule type="expression" dxfId="674" priority="15">
      <formula>Q7&gt;0</formula>
    </cfRule>
    <cfRule type="expression" dxfId="673" priority="16">
      <formula>Q7&lt;0</formula>
    </cfRule>
  </conditionalFormatting>
  <conditionalFormatting sqref="Q8">
    <cfRule type="expression" dxfId="672" priority="13">
      <formula>Q8&gt;0</formula>
    </cfRule>
    <cfRule type="expression" dxfId="671" priority="14">
      <formula>Q8&lt;0</formula>
    </cfRule>
  </conditionalFormatting>
  <conditionalFormatting sqref="F25:F28">
    <cfRule type="expression" dxfId="670" priority="11">
      <formula>F25&gt;0</formula>
    </cfRule>
    <cfRule type="expression" dxfId="669" priority="12">
      <formula>F25&lt;0</formula>
    </cfRule>
  </conditionalFormatting>
  <conditionalFormatting sqref="H25:H28">
    <cfRule type="expression" dxfId="668" priority="9">
      <formula>H25&gt;0</formula>
    </cfRule>
    <cfRule type="expression" dxfId="667" priority="10">
      <formula>H25&lt;0</formula>
    </cfRule>
  </conditionalFormatting>
  <conditionalFormatting sqref="F48:F51">
    <cfRule type="expression" dxfId="666" priority="3">
      <formula>F48&gt;0</formula>
    </cfRule>
    <cfRule type="expression" dxfId="665" priority="4">
      <formula>F48&lt;0</formula>
    </cfRule>
  </conditionalFormatting>
  <conditionalFormatting sqref="H48:H51">
    <cfRule type="expression" dxfId="664" priority="1">
      <formula>H48&gt;0</formula>
    </cfRule>
    <cfRule type="expression" dxfId="663" priority="2">
      <formula>H48&lt;0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217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42615</v>
      </c>
      <c r="X2" s="10">
        <v>107.7</v>
      </c>
      <c r="Y2" s="10">
        <v>108</v>
      </c>
      <c r="Z2" s="10">
        <v>106.82</v>
      </c>
      <c r="AA2" s="10">
        <v>107.73</v>
      </c>
      <c r="AB2" s="95">
        <v>26334900</v>
      </c>
      <c r="AC2" s="10">
        <v>107.73</v>
      </c>
      <c r="AD2" s="2">
        <f>Y2-Z2</f>
        <v>1.1800000000000068</v>
      </c>
      <c r="AE2" s="138">
        <f>AC2/AC3-1</f>
        <v>9.3694368968424424E-3</v>
      </c>
    </row>
    <row r="3" spans="1:40" x14ac:dyDescent="0.25">
      <c r="A3" s="23" t="s">
        <v>71</v>
      </c>
      <c r="B3" s="369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107.7</v>
      </c>
      <c r="W3" s="133">
        <v>42614</v>
      </c>
      <c r="X3" s="10">
        <v>106.14</v>
      </c>
      <c r="Y3" s="10">
        <v>106.8</v>
      </c>
      <c r="Z3" s="10">
        <v>105.62</v>
      </c>
      <c r="AA3" s="10">
        <v>106.73</v>
      </c>
      <c r="AB3" s="95">
        <v>26701500</v>
      </c>
      <c r="AC3" s="10">
        <v>106.73</v>
      </c>
      <c r="AD3" s="2">
        <f t="shared" ref="AD3:AD66" si="0">Y3-Z3</f>
        <v>1.1799999999999926</v>
      </c>
      <c r="AE3" s="138">
        <f t="shared" ref="AE3:AE66" si="1">AC3/AC4-1</f>
        <v>5.9377945334591065E-3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107.7</v>
      </c>
      <c r="T4" s="1"/>
      <c r="W4" s="133">
        <v>42613</v>
      </c>
      <c r="X4" s="10">
        <v>105.66</v>
      </c>
      <c r="Y4" s="10">
        <v>106.57</v>
      </c>
      <c r="Z4" s="10">
        <v>105.64</v>
      </c>
      <c r="AA4" s="10">
        <v>106.1</v>
      </c>
      <c r="AB4" s="95">
        <v>29662400</v>
      </c>
      <c r="AC4" s="10">
        <v>106.1</v>
      </c>
      <c r="AD4" s="2">
        <f t="shared" si="0"/>
        <v>0.92999999999999261</v>
      </c>
      <c r="AE4" s="138">
        <f t="shared" si="1"/>
        <v>9.4339622641514964E-4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42612</v>
      </c>
      <c r="X5" s="10">
        <v>105.8</v>
      </c>
      <c r="Y5" s="10">
        <v>106.5</v>
      </c>
      <c r="Z5" s="10">
        <v>105.5</v>
      </c>
      <c r="AA5" s="10">
        <v>106</v>
      </c>
      <c r="AB5" s="95">
        <v>24863900</v>
      </c>
      <c r="AC5" s="10">
        <v>106</v>
      </c>
      <c r="AD5" s="2">
        <f t="shared" si="0"/>
        <v>1</v>
      </c>
      <c r="AE5" s="138">
        <f t="shared" si="1"/>
        <v>-7.6764650814453717E-3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42611</v>
      </c>
      <c r="X6" s="10">
        <v>106.62</v>
      </c>
      <c r="Y6" s="10">
        <v>107.44</v>
      </c>
      <c r="Z6" s="10">
        <v>106.29</v>
      </c>
      <c r="AA6" s="10">
        <v>106.82</v>
      </c>
      <c r="AB6" s="95">
        <v>24970300</v>
      </c>
      <c r="AC6" s="10">
        <v>106.82</v>
      </c>
      <c r="AD6" s="2">
        <f t="shared" si="0"/>
        <v>1.1499999999999915</v>
      </c>
      <c r="AE6" s="138">
        <f t="shared" si="1"/>
        <v>-1.1221245558257209E-3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187</v>
      </c>
      <c r="Q7" s="2">
        <f>Q10+Q8</f>
        <v>363.09999999999945</v>
      </c>
      <c r="R7">
        <v>0</v>
      </c>
      <c r="W7" s="133">
        <v>42608</v>
      </c>
      <c r="X7" s="10">
        <v>107.41</v>
      </c>
      <c r="Y7" s="10">
        <v>107.95</v>
      </c>
      <c r="Z7" s="10">
        <v>106.31</v>
      </c>
      <c r="AA7" s="10">
        <v>106.94</v>
      </c>
      <c r="AB7" s="95">
        <v>27766300</v>
      </c>
      <c r="AC7" s="10">
        <v>106.94</v>
      </c>
      <c r="AD7" s="2">
        <f t="shared" si="0"/>
        <v>1.6400000000000006</v>
      </c>
      <c r="AE7" s="138">
        <f t="shared" si="1"/>
        <v>-5.8566514827553817E-3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42607</v>
      </c>
      <c r="X8" s="10">
        <v>107.39</v>
      </c>
      <c r="Y8" s="10">
        <v>107.88</v>
      </c>
      <c r="Z8" s="10">
        <v>106.68</v>
      </c>
      <c r="AA8" s="10">
        <v>107.57</v>
      </c>
      <c r="AB8" s="95">
        <v>25086200</v>
      </c>
      <c r="AC8" s="10">
        <v>107.57</v>
      </c>
      <c r="AD8" s="2">
        <f t="shared" si="0"/>
        <v>1.1999999999999886</v>
      </c>
      <c r="AE8" s="138">
        <f t="shared" si="1"/>
        <v>-4.2580764602425658E-3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0</v>
      </c>
      <c r="T9" s="158"/>
      <c r="W9" s="133">
        <v>42606</v>
      </c>
      <c r="X9" s="10">
        <v>108.57</v>
      </c>
      <c r="Y9" s="10">
        <v>108.75</v>
      </c>
      <c r="Z9" s="10">
        <v>107.68</v>
      </c>
      <c r="AA9" s="10">
        <v>108.03</v>
      </c>
      <c r="AB9" s="95">
        <v>23675100</v>
      </c>
      <c r="AC9" s="10">
        <v>108.03</v>
      </c>
      <c r="AD9" s="2">
        <f t="shared" si="0"/>
        <v>1.0699999999999932</v>
      </c>
      <c r="AE9" s="138">
        <f t="shared" si="1"/>
        <v>-7.5333027101515126E-3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223</v>
      </c>
      <c r="P10" s="34"/>
      <c r="Q10" s="2">
        <f>M55</f>
        <v>363.09999999999945</v>
      </c>
      <c r="W10" s="133">
        <v>42605</v>
      </c>
      <c r="X10" s="10">
        <v>108.59</v>
      </c>
      <c r="Y10" s="10">
        <v>109.32</v>
      </c>
      <c r="Z10" s="10">
        <v>108.53</v>
      </c>
      <c r="AA10" s="10">
        <v>108.85</v>
      </c>
      <c r="AB10" s="95">
        <v>21257700</v>
      </c>
      <c r="AC10" s="10">
        <v>108.85</v>
      </c>
      <c r="AD10" s="2">
        <f t="shared" si="0"/>
        <v>0.78999999999999204</v>
      </c>
      <c r="AE10" s="138">
        <f t="shared" si="1"/>
        <v>3.1333517648142184E-3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2.12E-2</v>
      </c>
      <c r="W11" s="133">
        <v>42604</v>
      </c>
      <c r="X11" s="10">
        <v>108.86</v>
      </c>
      <c r="Y11" s="10">
        <v>109.1</v>
      </c>
      <c r="Z11" s="10">
        <v>107.85</v>
      </c>
      <c r="AA11" s="10">
        <v>108.51</v>
      </c>
      <c r="AB11" s="95">
        <v>25820200</v>
      </c>
      <c r="AC11" s="10">
        <v>108.51</v>
      </c>
      <c r="AD11" s="2">
        <f t="shared" si="0"/>
        <v>1.25</v>
      </c>
      <c r="AE11" s="138">
        <f t="shared" si="1"/>
        <v>-7.7724945135332346E-3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42601</v>
      </c>
      <c r="X12" s="10">
        <v>108.77</v>
      </c>
      <c r="Y12" s="10">
        <v>109.69</v>
      </c>
      <c r="Z12" s="10">
        <v>108.36</v>
      </c>
      <c r="AA12" s="10">
        <v>109.36</v>
      </c>
      <c r="AB12" s="95">
        <v>25368100</v>
      </c>
      <c r="AC12" s="10">
        <v>109.36</v>
      </c>
      <c r="AD12" s="2">
        <f t="shared" si="0"/>
        <v>1.3299999999999983</v>
      </c>
      <c r="AE12" s="138">
        <f t="shared" si="1"/>
        <v>2.5669233590026597E-3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42600</v>
      </c>
      <c r="X13" s="10">
        <v>109.23</v>
      </c>
      <c r="Y13" s="10">
        <v>109.6</v>
      </c>
      <c r="Z13" s="10">
        <v>109.02</v>
      </c>
      <c r="AA13" s="10">
        <v>109.08</v>
      </c>
      <c r="AB13" s="95">
        <v>21984700</v>
      </c>
      <c r="AC13" s="10">
        <v>109.08</v>
      </c>
      <c r="AD13" s="2">
        <f t="shared" si="0"/>
        <v>0.57999999999999829</v>
      </c>
      <c r="AE13" s="138">
        <f t="shared" si="1"/>
        <v>-1.281816517121448E-3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42599</v>
      </c>
      <c r="X14" s="10">
        <v>109.1</v>
      </c>
      <c r="Y14" s="10">
        <v>109.37</v>
      </c>
      <c r="Z14" s="10">
        <v>108.34</v>
      </c>
      <c r="AA14" s="10">
        <v>109.22</v>
      </c>
      <c r="AB14" s="95">
        <v>25356000</v>
      </c>
      <c r="AC14" s="10">
        <v>109.22</v>
      </c>
      <c r="AD14" s="2">
        <f t="shared" si="0"/>
        <v>1.0300000000000011</v>
      </c>
      <c r="AE14" s="138">
        <f t="shared" si="1"/>
        <v>-1.4627902724446695E-3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42598</v>
      </c>
      <c r="X15" s="10">
        <v>109.63</v>
      </c>
      <c r="Y15" s="10">
        <v>110.23</v>
      </c>
      <c r="Z15" s="10">
        <v>109.21</v>
      </c>
      <c r="AA15" s="10">
        <v>109.38</v>
      </c>
      <c r="AB15" s="95">
        <v>33794400</v>
      </c>
      <c r="AC15" s="10">
        <v>109.38</v>
      </c>
      <c r="AD15" s="2">
        <f t="shared" si="0"/>
        <v>1.0200000000000102</v>
      </c>
      <c r="AE15" s="138">
        <f t="shared" si="1"/>
        <v>-9.1340884179769155E-4</v>
      </c>
    </row>
    <row r="16" spans="1:40" x14ac:dyDescent="0.25">
      <c r="G16" s="1"/>
      <c r="H16" s="72"/>
      <c r="W16" s="133">
        <v>42597</v>
      </c>
      <c r="X16" s="10">
        <v>108.14</v>
      </c>
      <c r="Y16" s="10">
        <v>109.54</v>
      </c>
      <c r="Z16" s="10">
        <v>108.08</v>
      </c>
      <c r="AA16" s="10">
        <v>109.48</v>
      </c>
      <c r="AB16" s="95">
        <v>25868200</v>
      </c>
      <c r="AC16" s="10">
        <v>109.48</v>
      </c>
      <c r="AD16" s="2">
        <f t="shared" si="0"/>
        <v>1.460000000000008</v>
      </c>
      <c r="AE16" s="138">
        <f t="shared" si="1"/>
        <v>1.2017008689221731E-2</v>
      </c>
    </row>
    <row r="17" spans="1:31" x14ac:dyDescent="0.25">
      <c r="G17" s="1"/>
      <c r="H17" s="72"/>
      <c r="W17" s="133">
        <v>42594</v>
      </c>
      <c r="X17" s="10">
        <v>107.78</v>
      </c>
      <c r="Y17" s="10">
        <v>108.44</v>
      </c>
      <c r="Z17" s="10">
        <v>107.78</v>
      </c>
      <c r="AA17" s="10">
        <v>108.18</v>
      </c>
      <c r="AB17" s="95">
        <v>18660400</v>
      </c>
      <c r="AC17" s="10">
        <v>108.18</v>
      </c>
      <c r="AD17" s="2">
        <f t="shared" si="0"/>
        <v>0.65999999999999659</v>
      </c>
      <c r="AE17" s="138">
        <f t="shared" si="1"/>
        <v>2.316316130825502E-3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42593</v>
      </c>
      <c r="X18" s="10">
        <v>108.52</v>
      </c>
      <c r="Y18" s="10">
        <v>108.93</v>
      </c>
      <c r="Z18" s="10">
        <v>107.85</v>
      </c>
      <c r="AA18" s="10">
        <v>107.93</v>
      </c>
      <c r="AB18" s="95">
        <v>27484500</v>
      </c>
      <c r="AC18" s="10">
        <v>107.93</v>
      </c>
      <c r="AD18" s="2">
        <f t="shared" si="0"/>
        <v>1.0800000000000125</v>
      </c>
      <c r="AE18" s="138">
        <f t="shared" si="1"/>
        <v>-6.4814814814806443E-4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3">SumByColor($A$19,M2:M17)</f>
        <v>0</v>
      </c>
      <c r="N19" s="2"/>
      <c r="W19" s="133">
        <v>42592</v>
      </c>
      <c r="X19" s="10">
        <v>108.71</v>
      </c>
      <c r="Y19" s="10">
        <v>108.9</v>
      </c>
      <c r="Z19" s="10">
        <v>107.76</v>
      </c>
      <c r="AA19" s="10">
        <v>108</v>
      </c>
      <c r="AB19" s="95">
        <v>24008500</v>
      </c>
      <c r="AC19" s="10">
        <v>108</v>
      </c>
      <c r="AD19" s="2">
        <f t="shared" si="0"/>
        <v>1.1400000000000006</v>
      </c>
      <c r="AE19" s="138">
        <f t="shared" si="1"/>
        <v>-7.4441687344913854E-3</v>
      </c>
    </row>
    <row r="20" spans="1:31" x14ac:dyDescent="0.25">
      <c r="W20" s="133">
        <v>42591</v>
      </c>
      <c r="X20" s="10">
        <v>108.23</v>
      </c>
      <c r="Y20" s="10">
        <v>108.94</v>
      </c>
      <c r="Z20" s="10">
        <v>108.01</v>
      </c>
      <c r="AA20" s="10">
        <v>108.81</v>
      </c>
      <c r="AB20" s="95">
        <v>26315200</v>
      </c>
      <c r="AC20" s="10">
        <v>108.81</v>
      </c>
      <c r="AD20" s="2">
        <f t="shared" si="0"/>
        <v>0.92999999999999261</v>
      </c>
      <c r="AE20" s="138">
        <f t="shared" si="1"/>
        <v>4.0601642520992076E-3</v>
      </c>
    </row>
    <row r="21" spans="1:31" x14ac:dyDescent="0.25">
      <c r="W21" s="133">
        <v>42590</v>
      </c>
      <c r="X21" s="10">
        <v>107.52</v>
      </c>
      <c r="Y21" s="10">
        <v>108.37</v>
      </c>
      <c r="Z21" s="10">
        <v>107.16</v>
      </c>
      <c r="AA21" s="10">
        <v>108.37</v>
      </c>
      <c r="AB21" s="95">
        <v>28037200</v>
      </c>
      <c r="AC21" s="10">
        <v>108.37</v>
      </c>
      <c r="AD21" s="2">
        <f t="shared" si="0"/>
        <v>1.210000000000008</v>
      </c>
      <c r="AE21" s="138">
        <f t="shared" si="1"/>
        <v>8.2806103461108282E-3</v>
      </c>
    </row>
    <row r="22" spans="1:31" x14ac:dyDescent="0.25">
      <c r="W22" s="133">
        <v>42587</v>
      </c>
      <c r="X22" s="10">
        <v>106.27</v>
      </c>
      <c r="Y22" s="10">
        <v>107.65</v>
      </c>
      <c r="Z22" s="10">
        <v>106.18</v>
      </c>
      <c r="AA22" s="10">
        <v>107.48</v>
      </c>
      <c r="AB22" s="95">
        <v>40553400</v>
      </c>
      <c r="AC22" s="10">
        <v>107.48</v>
      </c>
      <c r="AD22" s="2">
        <f t="shared" si="0"/>
        <v>1.4699999999999989</v>
      </c>
      <c r="AE22" s="138">
        <f t="shared" si="1"/>
        <v>1.5207329744025611E-2</v>
      </c>
    </row>
    <row r="23" spans="1:31" x14ac:dyDescent="0.25">
      <c r="W23" s="133">
        <v>42586</v>
      </c>
      <c r="X23" s="10">
        <v>105.58</v>
      </c>
      <c r="Y23" s="10">
        <v>106</v>
      </c>
      <c r="Z23" s="10">
        <v>105.28</v>
      </c>
      <c r="AA23" s="10">
        <v>105.87</v>
      </c>
      <c r="AB23" s="95">
        <v>27408700</v>
      </c>
      <c r="AC23" s="10">
        <v>105.87</v>
      </c>
      <c r="AD23" s="2">
        <f t="shared" si="0"/>
        <v>0.71999999999999886</v>
      </c>
      <c r="AE23" s="138" t="e">
        <f t="shared" si="1"/>
        <v>#DIV/0!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5" t="s">
        <v>65</v>
      </c>
      <c r="G24" s="229" t="s">
        <v>155</v>
      </c>
      <c r="H24" s="195" t="s">
        <v>88</v>
      </c>
      <c r="I24" s="195" t="s">
        <v>161</v>
      </c>
      <c r="W24" s="133">
        <v>42586</v>
      </c>
      <c r="X24" s="10" t="s">
        <v>220</v>
      </c>
      <c r="Y24" s="10"/>
      <c r="Z24" s="10"/>
      <c r="AA24" s="10"/>
      <c r="AB24" s="95"/>
      <c r="AC24" s="10"/>
      <c r="AD24" s="2">
        <f t="shared" si="0"/>
        <v>0</v>
      </c>
      <c r="AE24" s="138">
        <f t="shared" si="1"/>
        <v>-1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42585</v>
      </c>
      <c r="X25" s="10">
        <v>104.81</v>
      </c>
      <c r="Y25" s="10">
        <v>105.84</v>
      </c>
      <c r="Z25" s="10">
        <v>104.77</v>
      </c>
      <c r="AA25" s="10">
        <v>105.79</v>
      </c>
      <c r="AB25" s="95">
        <v>30202600</v>
      </c>
      <c r="AC25" s="10">
        <v>105.22</v>
      </c>
      <c r="AD25" s="2">
        <f t="shared" si="0"/>
        <v>1.0700000000000074</v>
      </c>
      <c r="AE25" s="138">
        <f t="shared" si="1"/>
        <v>1.2509622786758934E-2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42584</v>
      </c>
      <c r="X26" s="10">
        <v>106.05</v>
      </c>
      <c r="Y26" s="10">
        <v>106.07</v>
      </c>
      <c r="Z26" s="10">
        <v>104</v>
      </c>
      <c r="AA26" s="10">
        <v>104.48</v>
      </c>
      <c r="AB26" s="95">
        <v>33816600</v>
      </c>
      <c r="AC26" s="10">
        <v>103.92</v>
      </c>
      <c r="AD26" s="2">
        <f t="shared" si="0"/>
        <v>2.0699999999999932</v>
      </c>
      <c r="AE26" s="138">
        <f t="shared" si="1"/>
        <v>-1.4789533560864654E-2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229</v>
      </c>
      <c r="W27" s="133">
        <v>42583</v>
      </c>
      <c r="X27" s="10">
        <v>104.41</v>
      </c>
      <c r="Y27" s="10">
        <v>106.15</v>
      </c>
      <c r="Z27" s="10">
        <v>104.41</v>
      </c>
      <c r="AA27" s="10">
        <v>106.05</v>
      </c>
      <c r="AB27" s="95">
        <v>38167900</v>
      </c>
      <c r="AC27" s="10">
        <v>105.48</v>
      </c>
      <c r="AD27" s="2">
        <f t="shared" si="0"/>
        <v>1.7400000000000091</v>
      </c>
      <c r="AE27" s="138">
        <f t="shared" si="1"/>
        <v>1.7655571635311063E-2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42580</v>
      </c>
      <c r="X28" s="10">
        <v>104.19</v>
      </c>
      <c r="Y28" s="10">
        <v>104.55</v>
      </c>
      <c r="Z28" s="10">
        <v>103.68</v>
      </c>
      <c r="AA28" s="10">
        <v>104.21</v>
      </c>
      <c r="AB28" s="95">
        <v>27733700</v>
      </c>
      <c r="AC28" s="10">
        <v>103.65</v>
      </c>
      <c r="AD28" s="2">
        <f t="shared" si="0"/>
        <v>0.86999999999999034</v>
      </c>
      <c r="AE28" s="138">
        <f t="shared" si="1"/>
        <v>-1.2526498361918881E-3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42579</v>
      </c>
      <c r="X29" s="10">
        <v>102.83</v>
      </c>
      <c r="Y29" s="10">
        <v>104.45</v>
      </c>
      <c r="Z29" s="10">
        <v>102.82</v>
      </c>
      <c r="AA29" s="10">
        <v>104.34</v>
      </c>
      <c r="AB29" s="95">
        <v>39869800</v>
      </c>
      <c r="AC29" s="10">
        <v>103.78</v>
      </c>
      <c r="AD29" s="2">
        <f t="shared" si="0"/>
        <v>1.6300000000000097</v>
      </c>
      <c r="AE29" s="138">
        <f t="shared" si="1"/>
        <v>1.3476562499999956E-2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42578</v>
      </c>
      <c r="X30" s="10">
        <v>104.27</v>
      </c>
      <c r="Y30" s="10">
        <v>104.35</v>
      </c>
      <c r="Z30" s="10">
        <v>102.75</v>
      </c>
      <c r="AA30" s="10">
        <v>102.95</v>
      </c>
      <c r="AB30" s="95">
        <v>92344800</v>
      </c>
      <c r="AC30" s="10">
        <v>102.4</v>
      </c>
      <c r="AD30" s="2">
        <f t="shared" si="0"/>
        <v>1.5999999999999943</v>
      </c>
      <c r="AE30" s="138">
        <f t="shared" si="1"/>
        <v>6.5002600104004049E-2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42577</v>
      </c>
      <c r="X31" s="10">
        <v>96.82</v>
      </c>
      <c r="Y31" s="10">
        <v>97.97</v>
      </c>
      <c r="Z31" s="10">
        <v>96.42</v>
      </c>
      <c r="AA31" s="10">
        <v>96.67</v>
      </c>
      <c r="AB31" s="95">
        <v>56239800</v>
      </c>
      <c r="AC31" s="10">
        <v>96.15</v>
      </c>
      <c r="AD31" s="2">
        <f t="shared" si="0"/>
        <v>1.5499999999999972</v>
      </c>
      <c r="AE31" s="138">
        <f t="shared" si="1"/>
        <v>-6.9200578392892842E-3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42576</v>
      </c>
      <c r="X32" s="10">
        <v>98.25</v>
      </c>
      <c r="Y32" s="10">
        <v>98.84</v>
      </c>
      <c r="Z32" s="10">
        <v>96.92</v>
      </c>
      <c r="AA32" s="10">
        <v>97.34</v>
      </c>
      <c r="AB32" s="95">
        <v>40382900</v>
      </c>
      <c r="AC32" s="10">
        <v>96.82</v>
      </c>
      <c r="AD32" s="2">
        <f t="shared" si="0"/>
        <v>1.9200000000000017</v>
      </c>
      <c r="AE32" s="138">
        <f t="shared" si="1"/>
        <v>-1.3349638234994465E-2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42573</v>
      </c>
      <c r="X33" s="10">
        <v>99.26</v>
      </c>
      <c r="Y33" s="10">
        <v>99.3</v>
      </c>
      <c r="Z33" s="10">
        <v>98.31</v>
      </c>
      <c r="AA33" s="10">
        <v>98.66</v>
      </c>
      <c r="AB33" s="95">
        <v>28313700</v>
      </c>
      <c r="AC33" s="10">
        <v>98.13</v>
      </c>
      <c r="AD33" s="2">
        <f t="shared" si="0"/>
        <v>0.98999999999999488</v>
      </c>
      <c r="AE33" s="138">
        <f t="shared" si="1"/>
        <v>-7.6853069066640245E-3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42572</v>
      </c>
      <c r="X34" s="10">
        <v>99.83</v>
      </c>
      <c r="Y34" s="10">
        <v>101</v>
      </c>
      <c r="Z34" s="10">
        <v>99.13</v>
      </c>
      <c r="AA34" s="10">
        <v>99.43</v>
      </c>
      <c r="AB34" s="95">
        <v>32702000</v>
      </c>
      <c r="AC34" s="10">
        <v>98.89</v>
      </c>
      <c r="AD34" s="2">
        <f t="shared" si="0"/>
        <v>1.8700000000000045</v>
      </c>
      <c r="AE34" s="138">
        <f t="shared" si="1"/>
        <v>-5.3309193321263715E-3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42571</v>
      </c>
      <c r="X35" s="10">
        <v>100</v>
      </c>
      <c r="Y35" s="10">
        <v>100.46</v>
      </c>
      <c r="Z35" s="10">
        <v>99.74</v>
      </c>
      <c r="AA35" s="10">
        <v>99.96</v>
      </c>
      <c r="AB35" s="95">
        <v>26276000</v>
      </c>
      <c r="AC35" s="10">
        <v>99.42</v>
      </c>
      <c r="AD35" s="2">
        <f t="shared" si="0"/>
        <v>0.71999999999999886</v>
      </c>
      <c r="AE35" s="138">
        <f t="shared" si="1"/>
        <v>9.0607067351267112E-4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42570</v>
      </c>
      <c r="X36" s="10">
        <v>99.56</v>
      </c>
      <c r="Y36" s="10">
        <v>100</v>
      </c>
      <c r="Z36" s="10">
        <v>99.34</v>
      </c>
      <c r="AA36" s="10">
        <v>99.87</v>
      </c>
      <c r="AB36" s="95">
        <v>23779900</v>
      </c>
      <c r="AC36" s="10">
        <v>99.33</v>
      </c>
      <c r="AD36" s="2">
        <f t="shared" si="0"/>
        <v>0.65999999999999659</v>
      </c>
      <c r="AE36" s="138">
        <f t="shared" si="1"/>
        <v>4.0286030818803553E-4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42569</v>
      </c>
      <c r="X37" s="10">
        <v>98.7</v>
      </c>
      <c r="Y37" s="10">
        <v>100.13</v>
      </c>
      <c r="Z37" s="10">
        <v>98.6</v>
      </c>
      <c r="AA37" s="10">
        <v>99.83</v>
      </c>
      <c r="AB37" s="95">
        <v>36493900</v>
      </c>
      <c r="AC37" s="10">
        <v>99.29</v>
      </c>
      <c r="AD37" s="2">
        <f t="shared" si="0"/>
        <v>1.5300000000000011</v>
      </c>
      <c r="AE37" s="138">
        <f t="shared" si="1"/>
        <v>1.058524173027986E-2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42566</v>
      </c>
      <c r="X38" s="10">
        <v>98.92</v>
      </c>
      <c r="Y38" s="10">
        <v>99.3</v>
      </c>
      <c r="Z38" s="10">
        <v>98.5</v>
      </c>
      <c r="AA38" s="10">
        <v>98.78</v>
      </c>
      <c r="AB38" s="95">
        <v>30137000</v>
      </c>
      <c r="AC38" s="10">
        <v>98.25</v>
      </c>
      <c r="AD38" s="2">
        <f t="shared" si="0"/>
        <v>0.79999999999999716</v>
      </c>
      <c r="AE38" s="138">
        <f t="shared" si="1"/>
        <v>-1.0177081213114114E-4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42565</v>
      </c>
      <c r="X39" s="10">
        <v>97.39</v>
      </c>
      <c r="Y39" s="10">
        <v>98.99</v>
      </c>
      <c r="Z39" s="10">
        <v>97.32</v>
      </c>
      <c r="AA39" s="10">
        <v>98.79</v>
      </c>
      <c r="AB39" s="95">
        <v>38919000</v>
      </c>
      <c r="AC39" s="10">
        <v>98.26</v>
      </c>
      <c r="AD39" s="2">
        <f t="shared" si="0"/>
        <v>1.6700000000000017</v>
      </c>
      <c r="AE39" s="138">
        <f t="shared" si="1"/>
        <v>1.982355993772722E-2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70">
        <v>106.73</v>
      </c>
      <c r="W40" s="133">
        <v>42564</v>
      </c>
      <c r="X40" s="10">
        <v>97.41</v>
      </c>
      <c r="Y40" s="10">
        <v>97.67</v>
      </c>
      <c r="Z40" s="10">
        <v>96.84</v>
      </c>
      <c r="AA40" s="10">
        <v>96.87</v>
      </c>
      <c r="AB40" s="95">
        <v>25892200</v>
      </c>
      <c r="AC40" s="10">
        <v>96.35</v>
      </c>
      <c r="AD40" s="2">
        <f t="shared" si="0"/>
        <v>0.82999999999999829</v>
      </c>
      <c r="AE40" s="138">
        <f t="shared" si="1"/>
        <v>-5.6759545923633636E-3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310</v>
      </c>
      <c r="T41" s="108" t="s">
        <v>99</v>
      </c>
      <c r="U41" s="371">
        <v>107.67</v>
      </c>
      <c r="W41" s="133">
        <v>42563</v>
      </c>
      <c r="X41" s="10">
        <v>97.17</v>
      </c>
      <c r="Y41" s="10">
        <v>97.7</v>
      </c>
      <c r="Z41" s="10">
        <v>97.12</v>
      </c>
      <c r="AA41" s="10">
        <v>97.42</v>
      </c>
      <c r="AB41" s="95">
        <v>24167500</v>
      </c>
      <c r="AC41" s="10">
        <v>96.9</v>
      </c>
      <c r="AD41" s="2">
        <f t="shared" si="0"/>
        <v>0.57999999999999829</v>
      </c>
      <c r="AE41" s="138">
        <f t="shared" si="1"/>
        <v>4.5614762595895808E-3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545" t="s">
        <v>78</v>
      </c>
      <c r="P42" s="545"/>
      <c r="T42" s="108" t="s">
        <v>100</v>
      </c>
      <c r="U42" s="371" t="s">
        <v>497</v>
      </c>
      <c r="W42" s="133">
        <v>42562</v>
      </c>
      <c r="X42" s="10">
        <v>96.75</v>
      </c>
      <c r="Y42" s="10">
        <v>97.65</v>
      </c>
      <c r="Z42" s="10">
        <v>96.73</v>
      </c>
      <c r="AA42" s="10">
        <v>96.98</v>
      </c>
      <c r="AB42" s="95">
        <v>23794900</v>
      </c>
      <c r="AC42" s="10">
        <v>96.46</v>
      </c>
      <c r="AD42" s="2">
        <f t="shared" si="0"/>
        <v>0.92000000000000171</v>
      </c>
      <c r="AE42" s="138">
        <f t="shared" si="1"/>
        <v>3.1198003327785884E-3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118.47000000000001</v>
      </c>
      <c r="Q43" s="2"/>
      <c r="T43" s="108" t="s">
        <v>101</v>
      </c>
      <c r="U43" s="371" t="s">
        <v>498</v>
      </c>
      <c r="W43" s="133">
        <v>42559</v>
      </c>
      <c r="X43" s="10">
        <v>96.49</v>
      </c>
      <c r="Y43" s="10">
        <v>96.89</v>
      </c>
      <c r="Z43" s="10">
        <v>96.05</v>
      </c>
      <c r="AA43" s="10">
        <v>96.68</v>
      </c>
      <c r="AB43" s="95">
        <v>28912100</v>
      </c>
      <c r="AC43" s="10">
        <v>96.16</v>
      </c>
      <c r="AD43" s="2">
        <f t="shared" si="0"/>
        <v>0.84000000000000341</v>
      </c>
      <c r="AE43" s="138">
        <f t="shared" si="1"/>
        <v>7.755187591699908E-3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117.39300000000001</v>
      </c>
      <c r="Q44" s="2"/>
      <c r="T44" s="108" t="s">
        <v>102</v>
      </c>
      <c r="U44" s="371">
        <v>123.66</v>
      </c>
      <c r="W44" s="133">
        <v>42558</v>
      </c>
      <c r="X44" s="10">
        <v>95.7</v>
      </c>
      <c r="Y44" s="10">
        <v>96.5</v>
      </c>
      <c r="Z44" s="10">
        <v>95.62</v>
      </c>
      <c r="AA44" s="10">
        <v>95.94</v>
      </c>
      <c r="AB44" s="95">
        <v>25139600</v>
      </c>
      <c r="AC44" s="10">
        <v>95.42</v>
      </c>
      <c r="AD44" s="2">
        <f t="shared" si="0"/>
        <v>0.87999999999999545</v>
      </c>
      <c r="AE44" s="138">
        <f t="shared" si="1"/>
        <v>4.2096400757736241E-3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116.31600000000002</v>
      </c>
      <c r="Q45" s="2"/>
      <c r="T45" s="108" t="s">
        <v>103</v>
      </c>
      <c r="U45" s="371">
        <v>1.5174399999999999</v>
      </c>
      <c r="W45" s="133">
        <v>42557</v>
      </c>
      <c r="X45" s="10">
        <v>94.6</v>
      </c>
      <c r="Y45" s="10">
        <v>95.66</v>
      </c>
      <c r="Z45" s="10">
        <v>94.37</v>
      </c>
      <c r="AA45" s="10">
        <v>95.53</v>
      </c>
      <c r="AB45" s="95">
        <v>30949100</v>
      </c>
      <c r="AC45" s="10">
        <v>95.02</v>
      </c>
      <c r="AD45" s="2">
        <f t="shared" si="0"/>
        <v>1.289999999999992</v>
      </c>
      <c r="AE45" s="138">
        <f t="shared" si="1"/>
        <v>5.7154953429296995E-3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115.239</v>
      </c>
      <c r="Q46" s="2"/>
      <c r="T46" s="108" t="s">
        <v>123</v>
      </c>
      <c r="U46" s="371" t="s">
        <v>312</v>
      </c>
      <c r="W46" s="133">
        <v>42556</v>
      </c>
      <c r="X46" s="10">
        <v>95.39</v>
      </c>
      <c r="Y46" s="10">
        <v>95.4</v>
      </c>
      <c r="Z46" s="10">
        <v>94.46</v>
      </c>
      <c r="AA46" s="10">
        <v>94.99</v>
      </c>
      <c r="AB46" s="95">
        <v>27705200</v>
      </c>
      <c r="AC46" s="10">
        <v>94.48</v>
      </c>
      <c r="AD46" s="2">
        <f t="shared" si="0"/>
        <v>0.94000000000001194</v>
      </c>
      <c r="AE46" s="138">
        <f t="shared" si="1"/>
        <v>-9.3320750760197413E-3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114.16200000000001</v>
      </c>
      <c r="Q47" s="2"/>
      <c r="T47" s="108"/>
      <c r="U47" s="371"/>
      <c r="W47" s="133">
        <v>42552</v>
      </c>
      <c r="X47" s="10">
        <v>95.49</v>
      </c>
      <c r="Y47" s="10">
        <v>96.47</v>
      </c>
      <c r="Z47" s="10">
        <v>95.33</v>
      </c>
      <c r="AA47" s="10">
        <v>95.89</v>
      </c>
      <c r="AB47" s="95">
        <v>26026500</v>
      </c>
      <c r="AC47" s="10">
        <v>95.37</v>
      </c>
      <c r="AD47" s="2">
        <f t="shared" si="0"/>
        <v>1.1400000000000006</v>
      </c>
      <c r="AE47" s="138">
        <f t="shared" si="1"/>
        <v>3.050063104753864E-3</v>
      </c>
    </row>
    <row r="48" spans="2:31" x14ac:dyDescent="0.25">
      <c r="O48" s="83">
        <v>1.05</v>
      </c>
      <c r="P48" s="83">
        <f t="shared" si="25"/>
        <v>113.08500000000001</v>
      </c>
      <c r="Q48" s="2"/>
      <c r="T48" s="108" t="s">
        <v>105</v>
      </c>
      <c r="U48" s="371" t="s">
        <v>499</v>
      </c>
      <c r="W48" s="133">
        <v>42551</v>
      </c>
      <c r="X48" s="10">
        <v>94.44</v>
      </c>
      <c r="Y48" s="10">
        <v>95.77</v>
      </c>
      <c r="Z48" s="10">
        <v>94.3</v>
      </c>
      <c r="AA48" s="10">
        <v>95.6</v>
      </c>
      <c r="AB48" s="95">
        <v>35836400</v>
      </c>
      <c r="AC48" s="10">
        <v>95.08</v>
      </c>
      <c r="AD48" s="2">
        <f t="shared" si="0"/>
        <v>1.4699999999999989</v>
      </c>
      <c r="AE48" s="138">
        <f t="shared" si="1"/>
        <v>1.2674406220044787E-2</v>
      </c>
    </row>
    <row r="49" spans="1:31" x14ac:dyDescent="0.25">
      <c r="O49" s="83">
        <v>1.04</v>
      </c>
      <c r="P49" s="83">
        <f t="shared" si="25"/>
        <v>112.00800000000001</v>
      </c>
      <c r="Q49" s="2"/>
      <c r="T49" s="108" t="s">
        <v>106</v>
      </c>
      <c r="U49" s="371" t="s">
        <v>313</v>
      </c>
      <c r="W49" s="133">
        <v>42550</v>
      </c>
      <c r="X49" s="10">
        <v>93.97</v>
      </c>
      <c r="Y49" s="10">
        <v>94.55</v>
      </c>
      <c r="Z49" s="10">
        <v>93.63</v>
      </c>
      <c r="AA49" s="10">
        <v>94.4</v>
      </c>
      <c r="AB49" s="95">
        <v>36531000</v>
      </c>
      <c r="AC49" s="10">
        <v>93.89</v>
      </c>
      <c r="AD49" s="2">
        <f t="shared" si="0"/>
        <v>0.92000000000000171</v>
      </c>
      <c r="AE49" s="138">
        <f t="shared" si="1"/>
        <v>8.5938339241593553E-3</v>
      </c>
    </row>
    <row r="50" spans="1:31" x14ac:dyDescent="0.25">
      <c r="O50" s="83">
        <v>1.03</v>
      </c>
      <c r="P50" s="83">
        <f t="shared" si="25"/>
        <v>110.93100000000001</v>
      </c>
      <c r="Q50" s="2"/>
      <c r="T50" s="108" t="s">
        <v>107</v>
      </c>
      <c r="U50" s="372">
        <v>26802450</v>
      </c>
      <c r="W50" s="133">
        <v>42549</v>
      </c>
      <c r="X50" s="10">
        <v>92.9</v>
      </c>
      <c r="Y50" s="10">
        <v>93.66</v>
      </c>
      <c r="Z50" s="10">
        <v>92.14</v>
      </c>
      <c r="AA50" s="10">
        <v>93.59</v>
      </c>
      <c r="AB50" s="95">
        <v>40444900</v>
      </c>
      <c r="AC50" s="10">
        <v>93.09</v>
      </c>
      <c r="AD50" s="2">
        <f t="shared" si="0"/>
        <v>1.519999999999996</v>
      </c>
      <c r="AE50" s="138">
        <f t="shared" si="1"/>
        <v>1.6932488529604495E-2</v>
      </c>
    </row>
    <row r="51" spans="1:31" x14ac:dyDescent="0.25">
      <c r="O51" s="83">
        <v>1.02</v>
      </c>
      <c r="P51" s="83">
        <f t="shared" si="25"/>
        <v>109.854</v>
      </c>
      <c r="Q51" s="2"/>
      <c r="T51" s="108" t="s">
        <v>110</v>
      </c>
      <c r="U51" s="372">
        <v>31985800</v>
      </c>
      <c r="W51" s="133">
        <v>42548</v>
      </c>
      <c r="X51" s="10">
        <v>93</v>
      </c>
      <c r="Y51" s="10">
        <v>93.05</v>
      </c>
      <c r="Z51" s="10">
        <v>91.5</v>
      </c>
      <c r="AA51" s="10">
        <v>92.04</v>
      </c>
      <c r="AB51" s="95">
        <v>45489600</v>
      </c>
      <c r="AC51" s="10">
        <v>91.54</v>
      </c>
      <c r="AD51" s="2">
        <f t="shared" si="0"/>
        <v>1.5499999999999972</v>
      </c>
      <c r="AE51" s="138">
        <f t="shared" si="1"/>
        <v>-1.4639397201291704E-2</v>
      </c>
    </row>
    <row r="52" spans="1:31" x14ac:dyDescent="0.25">
      <c r="O52" s="83">
        <v>1.01</v>
      </c>
      <c r="P52" s="83">
        <f t="shared" si="25"/>
        <v>108.777</v>
      </c>
      <c r="Q52" s="2"/>
      <c r="T52" s="108" t="s">
        <v>108</v>
      </c>
      <c r="U52" s="371" t="s">
        <v>500</v>
      </c>
      <c r="W52" s="133">
        <v>42545</v>
      </c>
      <c r="X52" s="10">
        <v>92.91</v>
      </c>
      <c r="Y52" s="10">
        <v>94.66</v>
      </c>
      <c r="Z52" s="10">
        <v>92.65</v>
      </c>
      <c r="AA52" s="10">
        <v>93.4</v>
      </c>
      <c r="AB52" s="95">
        <v>75311400</v>
      </c>
      <c r="AC52" s="10">
        <v>92.9</v>
      </c>
      <c r="AD52" s="2">
        <f t="shared" si="0"/>
        <v>2.0099999999999909</v>
      </c>
      <c r="AE52" s="138">
        <f t="shared" si="1"/>
        <v>-2.8039338773801936E-2</v>
      </c>
    </row>
    <row r="53" spans="1:31" x14ac:dyDescent="0.25">
      <c r="O53" s="83">
        <v>1</v>
      </c>
      <c r="P53" s="83">
        <f t="shared" si="25"/>
        <v>107.7</v>
      </c>
      <c r="Q53" s="2"/>
      <c r="T53" s="108" t="s">
        <v>111</v>
      </c>
      <c r="U53" s="371">
        <v>12.56</v>
      </c>
      <c r="W53" s="133">
        <v>42544</v>
      </c>
      <c r="X53" s="10">
        <v>95.94</v>
      </c>
      <c r="Y53" s="10">
        <v>96.29</v>
      </c>
      <c r="Z53" s="10">
        <v>95.25</v>
      </c>
      <c r="AA53" s="10">
        <v>96.1</v>
      </c>
      <c r="AB53" s="95">
        <v>32240200</v>
      </c>
      <c r="AC53" s="10">
        <v>95.58</v>
      </c>
      <c r="AD53" s="2">
        <f t="shared" si="0"/>
        <v>1.0400000000000063</v>
      </c>
      <c r="AE53" s="138">
        <f t="shared" si="1"/>
        <v>5.6818181818181213E-3</v>
      </c>
    </row>
    <row r="54" spans="1:31" x14ac:dyDescent="0.25">
      <c r="O54" s="83">
        <v>0.99</v>
      </c>
      <c r="P54" s="83">
        <f t="shared" si="25"/>
        <v>106.623</v>
      </c>
      <c r="Q54" s="2"/>
      <c r="T54" s="108" t="s">
        <v>112</v>
      </c>
      <c r="U54" s="371">
        <v>8.58</v>
      </c>
      <c r="W54" s="133">
        <v>42543</v>
      </c>
      <c r="X54" s="10">
        <v>96.25</v>
      </c>
      <c r="Y54" s="10">
        <v>96.89</v>
      </c>
      <c r="Z54" s="10">
        <v>95.35</v>
      </c>
      <c r="AA54" s="10">
        <v>95.55</v>
      </c>
      <c r="AB54" s="95">
        <v>29219100</v>
      </c>
      <c r="AC54" s="10">
        <v>95.04</v>
      </c>
      <c r="AD54" s="2">
        <f t="shared" si="0"/>
        <v>1.5400000000000063</v>
      </c>
      <c r="AE54" s="138">
        <f t="shared" si="1"/>
        <v>-3.6691477094034086E-3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105.54600000000001</v>
      </c>
      <c r="Q55" s="2"/>
      <c r="T55" s="108" t="s">
        <v>109</v>
      </c>
      <c r="U55" s="371" t="s">
        <v>584</v>
      </c>
      <c r="W55" s="133">
        <v>42542</v>
      </c>
      <c r="X55" s="10">
        <v>94.94</v>
      </c>
      <c r="Y55" s="10">
        <v>96.35</v>
      </c>
      <c r="Z55" s="10">
        <v>94.68</v>
      </c>
      <c r="AA55" s="10">
        <v>95.91</v>
      </c>
      <c r="AB55" s="95">
        <v>35546400</v>
      </c>
      <c r="AC55" s="10">
        <v>95.39</v>
      </c>
      <c r="AD55" s="2">
        <f t="shared" si="0"/>
        <v>1.6699999999999875</v>
      </c>
      <c r="AE55" s="138">
        <f t="shared" si="1"/>
        <v>8.4575536526059203E-3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104.46899999999999</v>
      </c>
      <c r="W56" s="133">
        <v>42541</v>
      </c>
      <c r="X56" s="10">
        <v>96</v>
      </c>
      <c r="Y56" s="10">
        <v>96.57</v>
      </c>
      <c r="Z56" s="10">
        <v>95.03</v>
      </c>
      <c r="AA56" s="10">
        <v>95.1</v>
      </c>
      <c r="AB56" s="95">
        <v>34411900</v>
      </c>
      <c r="AC56" s="10">
        <v>94.59</v>
      </c>
      <c r="AD56" s="2">
        <f t="shared" si="0"/>
        <v>1.539999999999992</v>
      </c>
      <c r="AE56" s="138">
        <f t="shared" si="1"/>
        <v>-2.4256485973421782E-3</v>
      </c>
    </row>
    <row r="57" spans="1:31" x14ac:dyDescent="0.25">
      <c r="A57" s="265" t="s">
        <v>217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103.392</v>
      </c>
      <c r="W57" s="133">
        <v>42538</v>
      </c>
      <c r="X57" s="10">
        <v>96.62</v>
      </c>
      <c r="Y57" s="10">
        <v>96.65</v>
      </c>
      <c r="Z57" s="10">
        <v>95.3</v>
      </c>
      <c r="AA57" s="10">
        <v>95.33</v>
      </c>
      <c r="AB57" s="95">
        <v>61008200</v>
      </c>
      <c r="AC57" s="10">
        <v>94.82</v>
      </c>
      <c r="AD57" s="2">
        <f t="shared" si="0"/>
        <v>1.3500000000000085</v>
      </c>
      <c r="AE57" s="138">
        <f t="shared" si="1"/>
        <v>-2.2675736961451309E-2</v>
      </c>
    </row>
    <row r="58" spans="1:31" x14ac:dyDescent="0.25">
      <c r="A58" s="268" t="s">
        <v>71</v>
      </c>
      <c r="B58" s="486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102.315</v>
      </c>
      <c r="W58" s="133">
        <v>42537</v>
      </c>
      <c r="X58" s="10">
        <v>96.45</v>
      </c>
      <c r="Y58" s="10">
        <v>97.75</v>
      </c>
      <c r="Z58" s="10">
        <v>96.07</v>
      </c>
      <c r="AA58" s="10">
        <v>97.55</v>
      </c>
      <c r="AB58" s="95">
        <v>31326800</v>
      </c>
      <c r="AC58" s="10">
        <v>97.02</v>
      </c>
      <c r="AD58" s="2">
        <f t="shared" si="0"/>
        <v>1.6800000000000068</v>
      </c>
      <c r="AE58" s="138">
        <f t="shared" si="1"/>
        <v>4.1399296211963588E-3</v>
      </c>
    </row>
    <row r="59" spans="1:31" x14ac:dyDescent="0.25">
      <c r="A59" s="261"/>
      <c r="B59" s="486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101.238</v>
      </c>
      <c r="W59" s="133">
        <v>42536</v>
      </c>
      <c r="X59" s="10">
        <v>97.82</v>
      </c>
      <c r="Y59" s="10">
        <v>98.41</v>
      </c>
      <c r="Z59" s="10">
        <v>97.03</v>
      </c>
      <c r="AA59" s="10">
        <v>97.14</v>
      </c>
      <c r="AB59" s="95">
        <v>29445200</v>
      </c>
      <c r="AC59" s="10">
        <v>96.62</v>
      </c>
      <c r="AD59" s="2">
        <f t="shared" si="0"/>
        <v>1.3799999999999955</v>
      </c>
      <c r="AE59" s="138">
        <f t="shared" si="1"/>
        <v>-3.1981842566800589E-3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100.161</v>
      </c>
      <c r="W60" s="133">
        <v>42535</v>
      </c>
      <c r="X60" s="10">
        <v>97.32</v>
      </c>
      <c r="Y60" s="10">
        <v>98.48</v>
      </c>
      <c r="Z60" s="10">
        <v>96.75</v>
      </c>
      <c r="AA60" s="10">
        <v>97.46</v>
      </c>
      <c r="AB60" s="95">
        <v>31931900</v>
      </c>
      <c r="AC60" s="10">
        <v>96.93</v>
      </c>
      <c r="AD60" s="2">
        <f t="shared" si="0"/>
        <v>1.730000000000004</v>
      </c>
      <c r="AE60" s="138">
        <f t="shared" si="1"/>
        <v>1.1361288989879537E-3</v>
      </c>
    </row>
    <row r="61" spans="1:31" x14ac:dyDescent="0.25">
      <c r="A61" s="261"/>
      <c r="B61" s="487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99.084000000000003</v>
      </c>
      <c r="W61" s="133">
        <v>42534</v>
      </c>
      <c r="X61" s="10">
        <v>98.69</v>
      </c>
      <c r="Y61" s="10">
        <v>99.12</v>
      </c>
      <c r="Z61" s="10">
        <v>97.1</v>
      </c>
      <c r="AA61" s="10">
        <v>97.34</v>
      </c>
      <c r="AB61" s="95">
        <v>38020500</v>
      </c>
      <c r="AC61" s="10">
        <v>96.82</v>
      </c>
      <c r="AD61" s="2">
        <f t="shared" si="0"/>
        <v>2.0200000000000102</v>
      </c>
      <c r="AE61" s="138">
        <f t="shared" si="1"/>
        <v>-1.5055951169888115E-2</v>
      </c>
    </row>
    <row r="62" spans="1:31" x14ac:dyDescent="0.25">
      <c r="A62" s="261"/>
      <c r="B62" s="487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98.007000000000005</v>
      </c>
      <c r="W62" s="133">
        <v>42531</v>
      </c>
      <c r="X62" s="10">
        <v>98.53</v>
      </c>
      <c r="Y62" s="10">
        <v>99.35</v>
      </c>
      <c r="Z62" s="10">
        <v>98.48</v>
      </c>
      <c r="AA62" s="10">
        <v>98.83</v>
      </c>
      <c r="AB62" s="95">
        <v>31712900</v>
      </c>
      <c r="AC62" s="10">
        <v>98.3</v>
      </c>
      <c r="AD62" s="2">
        <f t="shared" si="0"/>
        <v>0.86999999999999034</v>
      </c>
      <c r="AE62" s="138">
        <f t="shared" si="1"/>
        <v>-8.1727373625265498E-3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96.93</v>
      </c>
      <c r="W63" s="133">
        <v>42530</v>
      </c>
      <c r="X63" s="10">
        <v>98.5</v>
      </c>
      <c r="Y63" s="10">
        <v>99.99</v>
      </c>
      <c r="Z63" s="10">
        <v>98.46</v>
      </c>
      <c r="AA63" s="10">
        <v>99.65</v>
      </c>
      <c r="AB63" s="95">
        <v>26601400</v>
      </c>
      <c r="AC63" s="10">
        <v>99.11</v>
      </c>
      <c r="AD63" s="2">
        <f t="shared" si="0"/>
        <v>1.5300000000000011</v>
      </c>
      <c r="AE63" s="138">
        <f t="shared" si="1"/>
        <v>7.1130982623717198E-3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42529</v>
      </c>
      <c r="X64" s="10">
        <v>99.02</v>
      </c>
      <c r="Y64" s="10">
        <v>99.56</v>
      </c>
      <c r="Z64" s="10">
        <v>98.68</v>
      </c>
      <c r="AA64" s="10">
        <v>98.94</v>
      </c>
      <c r="AB64" s="95">
        <v>20848100</v>
      </c>
      <c r="AC64" s="10">
        <v>98.41</v>
      </c>
      <c r="AD64" s="2">
        <f t="shared" si="0"/>
        <v>0.87999999999999545</v>
      </c>
      <c r="AE64" s="138">
        <f t="shared" si="1"/>
        <v>-9.1370558375636346E-4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42528</v>
      </c>
      <c r="X65" s="10">
        <v>99.25</v>
      </c>
      <c r="Y65" s="10">
        <v>99.87</v>
      </c>
      <c r="Z65" s="10">
        <v>98.96</v>
      </c>
      <c r="AA65" s="10">
        <v>99.03</v>
      </c>
      <c r="AB65" s="95">
        <v>22409500</v>
      </c>
      <c r="AC65" s="10">
        <v>98.5</v>
      </c>
      <c r="AD65" s="2">
        <f t="shared" si="0"/>
        <v>0.9100000000000108</v>
      </c>
      <c r="AE65" s="138">
        <f t="shared" si="1"/>
        <v>4.0774719673801751E-3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42527</v>
      </c>
      <c r="X66" s="10">
        <v>97.99</v>
      </c>
      <c r="Y66" s="10">
        <v>101.89</v>
      </c>
      <c r="Z66" s="10">
        <v>97.55</v>
      </c>
      <c r="AA66" s="10">
        <v>98.63</v>
      </c>
      <c r="AB66" s="95">
        <v>23292500</v>
      </c>
      <c r="AC66" s="10">
        <v>98.1</v>
      </c>
      <c r="AD66" s="2">
        <f t="shared" si="0"/>
        <v>4.3400000000000034</v>
      </c>
      <c r="AE66" s="138">
        <f t="shared" si="1"/>
        <v>7.2902762090563122E-3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42524</v>
      </c>
      <c r="X67" s="10">
        <v>97.79</v>
      </c>
      <c r="Y67" s="10">
        <v>98.27</v>
      </c>
      <c r="Z67" s="10">
        <v>97.45</v>
      </c>
      <c r="AA67" s="10">
        <v>97.92</v>
      </c>
      <c r="AB67" s="95">
        <v>28504900</v>
      </c>
      <c r="AC67" s="10">
        <v>97.39</v>
      </c>
      <c r="AD67" s="2">
        <f>Y67-Z67</f>
        <v>0.81999999999999318</v>
      </c>
      <c r="AE67" s="138">
        <f>AC67/AC68-1</f>
        <v>2.0578248791027764E-3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42523</v>
      </c>
      <c r="X68" s="10">
        <v>97.6</v>
      </c>
      <c r="Y68" s="10">
        <v>97.84</v>
      </c>
      <c r="Z68" s="10">
        <v>96.63</v>
      </c>
      <c r="AA68" s="10">
        <v>97.72</v>
      </c>
      <c r="AB68" s="95">
        <v>40191600</v>
      </c>
      <c r="AC68" s="10">
        <v>97.19</v>
      </c>
      <c r="AD68" s="2">
        <f>Y68-Z68</f>
        <v>1.210000000000008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122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88"/>
      <c r="B74" s="489"/>
      <c r="C74" s="490"/>
      <c r="D74" s="490"/>
      <c r="E74" s="490"/>
      <c r="F74" s="491"/>
      <c r="G74" s="490"/>
      <c r="H74" s="490"/>
      <c r="I74" s="490"/>
      <c r="J74" s="490"/>
      <c r="K74" s="491"/>
      <c r="L74" s="490"/>
      <c r="M74" s="491"/>
    </row>
  </sheetData>
  <mergeCells count="1">
    <mergeCell ref="O42:P42"/>
  </mergeCells>
  <conditionalFormatting sqref="N19">
    <cfRule type="expression" dxfId="662" priority="35">
      <formula>N19&gt;0</formula>
    </cfRule>
    <cfRule type="expression" dxfId="661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660" priority="21">
      <formula>F25&gt;0</formula>
    </cfRule>
    <cfRule type="expression" dxfId="659" priority="22">
      <formula>F25&lt;0</formula>
    </cfRule>
  </conditionalFormatting>
  <conditionalFormatting sqref="H25:H47">
    <cfRule type="expression" dxfId="658" priority="19">
      <formula>H25&gt;0</formula>
    </cfRule>
    <cfRule type="expression" dxfId="657" priority="20">
      <formula>H25&lt;0</formula>
    </cfRule>
  </conditionalFormatting>
  <conditionalFormatting sqref="I25:I27">
    <cfRule type="expression" dxfId="656" priority="15">
      <formula>I25&gt;0</formula>
    </cfRule>
    <cfRule type="expression" dxfId="655" priority="16">
      <formula>I25&lt;0</formula>
    </cfRule>
  </conditionalFormatting>
  <conditionalFormatting sqref="Q7">
    <cfRule type="expression" dxfId="654" priority="5">
      <formula>Q7&gt;0</formula>
    </cfRule>
    <cfRule type="expression" dxfId="653" priority="6">
      <formula>Q7&lt;0</formula>
    </cfRule>
  </conditionalFormatting>
  <conditionalFormatting sqref="Q8">
    <cfRule type="expression" dxfId="652" priority="3">
      <formula>Q8&gt;0</formula>
    </cfRule>
    <cfRule type="expression" dxfId="651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301</v>
      </c>
      <c r="W2" s="133">
        <v>42615</v>
      </c>
      <c r="X2" s="10">
        <v>65.06</v>
      </c>
      <c r="Y2" s="10">
        <v>65.67</v>
      </c>
      <c r="Z2" s="10">
        <v>64.86</v>
      </c>
      <c r="AA2" s="10">
        <v>65.19</v>
      </c>
      <c r="AB2" s="95">
        <v>3128000</v>
      </c>
      <c r="AC2" s="10">
        <v>65.19</v>
      </c>
      <c r="AD2" s="2">
        <f>Y2-Z2</f>
        <v>0.81000000000000227</v>
      </c>
      <c r="AE2" s="138">
        <f>AC2/AC3-1</f>
        <v>5.087881591119281E-3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65.760000000000005</v>
      </c>
      <c r="T3" s="1">
        <v>42572</v>
      </c>
      <c r="U3" t="s">
        <v>292</v>
      </c>
      <c r="W3" s="133">
        <v>42614</v>
      </c>
      <c r="X3" s="10">
        <v>65.55</v>
      </c>
      <c r="Y3" s="10">
        <v>65.64</v>
      </c>
      <c r="Z3" s="10">
        <v>64.42</v>
      </c>
      <c r="AA3" s="10">
        <v>64.86</v>
      </c>
      <c r="AB3" s="95">
        <v>3657700</v>
      </c>
      <c r="AC3" s="10">
        <v>64.86</v>
      </c>
      <c r="AD3" s="2">
        <f t="shared" ref="AD3:AD66" si="0">Y3-Z3</f>
        <v>1.2199999999999989</v>
      </c>
      <c r="AE3" s="138">
        <f t="shared" ref="AE3:AE66" si="1">AC3/AC4-1</f>
        <v>-1.0978956999085021E-2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65.760000000000005</v>
      </c>
      <c r="T4" s="163"/>
      <c r="U4" s="1"/>
      <c r="W4" s="133">
        <v>42613</v>
      </c>
      <c r="X4" s="10">
        <v>65.47</v>
      </c>
      <c r="Y4" s="10">
        <v>65.72</v>
      </c>
      <c r="Z4" s="10">
        <v>64.86</v>
      </c>
      <c r="AA4" s="10">
        <v>65.58</v>
      </c>
      <c r="AB4" s="95">
        <v>4783600</v>
      </c>
      <c r="AC4" s="10">
        <v>65.58</v>
      </c>
      <c r="AD4" s="2">
        <f t="shared" si="0"/>
        <v>0.85999999999999943</v>
      </c>
      <c r="AE4" s="138">
        <f t="shared" si="1"/>
        <v>1.9862490450726078E-3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42612</v>
      </c>
      <c r="X5" s="10">
        <v>65.77</v>
      </c>
      <c r="Y5" s="10">
        <v>65.97</v>
      </c>
      <c r="Z5" s="10">
        <v>65.099999999999994</v>
      </c>
      <c r="AA5" s="10">
        <v>65.45</v>
      </c>
      <c r="AB5" s="95">
        <v>3775800</v>
      </c>
      <c r="AC5" s="10">
        <v>65.45</v>
      </c>
      <c r="AD5" s="2">
        <f t="shared" si="0"/>
        <v>0.87000000000000455</v>
      </c>
      <c r="AE5" s="138">
        <f t="shared" si="1"/>
        <v>-1.0683760683759536E-3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42611</v>
      </c>
      <c r="X6" s="10">
        <v>65</v>
      </c>
      <c r="Y6" s="10">
        <v>65.77</v>
      </c>
      <c r="Z6" s="10">
        <v>64.8</v>
      </c>
      <c r="AA6" s="10">
        <v>65.52</v>
      </c>
      <c r="AB6" s="95">
        <v>4173800</v>
      </c>
      <c r="AC6" s="10">
        <v>65.52</v>
      </c>
      <c r="AD6" s="2">
        <f t="shared" si="0"/>
        <v>0.96999999999999886</v>
      </c>
      <c r="AE6" s="138">
        <f t="shared" si="1"/>
        <v>1.1267170859700304E-2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231.53999999999996</v>
      </c>
      <c r="R7">
        <v>0</v>
      </c>
      <c r="W7" s="133">
        <v>42608</v>
      </c>
      <c r="X7" s="10">
        <v>65.27</v>
      </c>
      <c r="Y7" s="10">
        <v>65.489999999999995</v>
      </c>
      <c r="Z7" s="10">
        <v>64.52</v>
      </c>
      <c r="AA7" s="10">
        <v>64.790000000000006</v>
      </c>
      <c r="AB7" s="95">
        <v>3623600</v>
      </c>
      <c r="AC7" s="10">
        <v>64.790000000000006</v>
      </c>
      <c r="AD7" s="2">
        <f t="shared" si="0"/>
        <v>0.96999999999999886</v>
      </c>
      <c r="AE7" s="138">
        <f t="shared" si="1"/>
        <v>-3.2307692307691482E-3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42607</v>
      </c>
      <c r="X8" s="10">
        <v>65</v>
      </c>
      <c r="Y8" s="10">
        <v>65.150000000000006</v>
      </c>
      <c r="Z8" s="10">
        <v>64.760000000000005</v>
      </c>
      <c r="AA8" s="10">
        <v>65</v>
      </c>
      <c r="AB8" s="95">
        <v>4243800</v>
      </c>
      <c r="AC8" s="10">
        <v>65</v>
      </c>
      <c r="AD8" s="2">
        <f t="shared" si="0"/>
        <v>0.39000000000000057</v>
      </c>
      <c r="AE8" s="138">
        <f t="shared" si="1"/>
        <v>-2.4554941682013443E-3</v>
      </c>
    </row>
    <row r="9" spans="1:31" x14ac:dyDescent="0.25">
      <c r="H9" s="72"/>
      <c r="O9" s="11" t="s">
        <v>224</v>
      </c>
      <c r="Q9" s="138">
        <f>IF(Q2=0, 0, Q8/Q6)</f>
        <v>0</v>
      </c>
      <c r="W9" s="133">
        <v>42606</v>
      </c>
      <c r="X9" s="10">
        <v>65.849999999999994</v>
      </c>
      <c r="Y9" s="10">
        <v>66.12</v>
      </c>
      <c r="Z9" s="10">
        <v>65.05</v>
      </c>
      <c r="AA9" s="10">
        <v>65.16</v>
      </c>
      <c r="AB9" s="95">
        <v>4128200</v>
      </c>
      <c r="AC9" s="10">
        <v>65.16</v>
      </c>
      <c r="AD9" s="2">
        <f t="shared" si="0"/>
        <v>1.0700000000000074</v>
      </c>
      <c r="AE9" s="138">
        <f t="shared" si="1"/>
        <v>-7.9171741778321092E-3</v>
      </c>
    </row>
    <row r="10" spans="1:31" x14ac:dyDescent="0.25">
      <c r="H10" s="72"/>
      <c r="O10" s="11" t="s">
        <v>223</v>
      </c>
      <c r="P10" s="34"/>
      <c r="Q10" s="2">
        <f>M48</f>
        <v>231.53999999999996</v>
      </c>
      <c r="W10" s="133">
        <v>42605</v>
      </c>
      <c r="X10" s="10">
        <v>65.73</v>
      </c>
      <c r="Y10" s="10">
        <v>66.28</v>
      </c>
      <c r="Z10" s="10">
        <v>65.680000000000007</v>
      </c>
      <c r="AA10" s="10">
        <v>65.680000000000007</v>
      </c>
      <c r="AB10" s="95">
        <v>3551700</v>
      </c>
      <c r="AC10" s="10">
        <v>65.680000000000007</v>
      </c>
      <c r="AD10" s="2">
        <f t="shared" si="0"/>
        <v>0.59999999999999432</v>
      </c>
      <c r="AE10" s="138">
        <f t="shared" si="1"/>
        <v>4.8959608323133619E-3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1.78E-2</v>
      </c>
      <c r="W11" s="133">
        <v>42604</v>
      </c>
      <c r="X11" s="10">
        <v>65.53</v>
      </c>
      <c r="Y11" s="10">
        <v>65.540000000000006</v>
      </c>
      <c r="Z11" s="10">
        <v>64.959999999999994</v>
      </c>
      <c r="AA11" s="10">
        <v>65.36</v>
      </c>
      <c r="AB11" s="95">
        <v>3230700</v>
      </c>
      <c r="AC11" s="10">
        <v>65.36</v>
      </c>
      <c r="AD11" s="2">
        <f t="shared" si="0"/>
        <v>0.58000000000001251</v>
      </c>
      <c r="AE11" s="138">
        <f t="shared" si="1"/>
        <v>-2.5942316496261331E-3</v>
      </c>
    </row>
    <row r="12" spans="1:31" x14ac:dyDescent="0.25">
      <c r="H12" s="72"/>
      <c r="W12" s="133">
        <v>42601</v>
      </c>
      <c r="X12" s="10">
        <v>65.47</v>
      </c>
      <c r="Y12" s="10">
        <v>65.680000000000007</v>
      </c>
      <c r="Z12" s="10">
        <v>65.069999999999993</v>
      </c>
      <c r="AA12" s="10">
        <v>65.53</v>
      </c>
      <c r="AB12" s="95">
        <v>2783200</v>
      </c>
      <c r="AC12" s="10">
        <v>65.53</v>
      </c>
      <c r="AD12" s="2">
        <f t="shared" si="0"/>
        <v>0.61000000000001364</v>
      </c>
      <c r="AE12" s="138">
        <f t="shared" si="1"/>
        <v>-1.523693432881168E-3</v>
      </c>
    </row>
    <row r="13" spans="1:31" x14ac:dyDescent="0.25">
      <c r="H13" s="72"/>
      <c r="W13" s="133">
        <v>42600</v>
      </c>
      <c r="X13" s="10">
        <v>65.52</v>
      </c>
      <c r="Y13" s="10">
        <v>65.78</v>
      </c>
      <c r="Z13" s="10">
        <v>65.27</v>
      </c>
      <c r="AA13" s="10">
        <v>65.63</v>
      </c>
      <c r="AB13" s="95">
        <v>2807500</v>
      </c>
      <c r="AC13" s="10">
        <v>65.63</v>
      </c>
      <c r="AD13" s="2">
        <f t="shared" si="0"/>
        <v>0.51000000000000512</v>
      </c>
      <c r="AE13" s="138">
        <f t="shared" si="1"/>
        <v>-7.6126674786858306E-4</v>
      </c>
    </row>
    <row r="14" spans="1:31" x14ac:dyDescent="0.25">
      <c r="H14" s="72"/>
      <c r="W14" s="133">
        <v>42599</v>
      </c>
      <c r="X14" s="10">
        <v>65.400000000000006</v>
      </c>
      <c r="Y14" s="10">
        <v>65.849999999999994</v>
      </c>
      <c r="Z14" s="10">
        <v>65.09</v>
      </c>
      <c r="AA14" s="10">
        <v>65.680000000000007</v>
      </c>
      <c r="AB14" s="95">
        <v>3054500</v>
      </c>
      <c r="AC14" s="10">
        <v>65.680000000000007</v>
      </c>
      <c r="AD14" s="2">
        <f t="shared" si="0"/>
        <v>0.75999999999999091</v>
      </c>
      <c r="AE14" s="138">
        <f t="shared" si="1"/>
        <v>5.8192955589588813E-3</v>
      </c>
    </row>
    <row r="15" spans="1:31" x14ac:dyDescent="0.25">
      <c r="H15" s="72"/>
      <c r="W15" s="133">
        <v>42598</v>
      </c>
      <c r="X15" s="10">
        <v>65.61</v>
      </c>
      <c r="Y15" s="10">
        <v>65.67</v>
      </c>
      <c r="Z15" s="10">
        <v>65.28</v>
      </c>
      <c r="AA15" s="10">
        <v>65.3</v>
      </c>
      <c r="AB15" s="95">
        <v>2805600</v>
      </c>
      <c r="AC15" s="10">
        <v>65.3</v>
      </c>
      <c r="AD15" s="2">
        <f t="shared" si="0"/>
        <v>0.39000000000000057</v>
      </c>
      <c r="AE15" s="138">
        <f t="shared" si="1"/>
        <v>-5.0281883285082651E-3</v>
      </c>
    </row>
    <row r="16" spans="1:31" x14ac:dyDescent="0.25">
      <c r="H16" s="72"/>
      <c r="W16" s="133">
        <v>42597</v>
      </c>
      <c r="X16" s="10">
        <v>65.27</v>
      </c>
      <c r="Y16" s="10">
        <v>65.819999999999993</v>
      </c>
      <c r="Z16" s="10">
        <v>65.27</v>
      </c>
      <c r="AA16" s="10">
        <v>65.63</v>
      </c>
      <c r="AB16" s="95">
        <v>3136700</v>
      </c>
      <c r="AC16" s="10">
        <v>65.63</v>
      </c>
      <c r="AD16" s="2">
        <f t="shared" si="0"/>
        <v>0.54999999999999716</v>
      </c>
      <c r="AE16" s="138">
        <f t="shared" si="1"/>
        <v>3.823799327011379E-3</v>
      </c>
    </row>
    <row r="17" spans="1:31" x14ac:dyDescent="0.25">
      <c r="W17" s="133">
        <v>42594</v>
      </c>
      <c r="X17" s="10">
        <v>65.16</v>
      </c>
      <c r="Y17" s="10">
        <v>65.510000000000005</v>
      </c>
      <c r="Z17" s="10">
        <v>65.010000000000005</v>
      </c>
      <c r="AA17" s="10">
        <v>65.38</v>
      </c>
      <c r="AB17" s="95">
        <v>2103800</v>
      </c>
      <c r="AC17" s="10">
        <v>65.38</v>
      </c>
      <c r="AD17" s="2">
        <f t="shared" si="0"/>
        <v>0.5</v>
      </c>
      <c r="AE17" s="138">
        <f t="shared" si="1"/>
        <v>-1.5271838729384868E-3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42593</v>
      </c>
      <c r="X18" s="10">
        <v>65</v>
      </c>
      <c r="Y18" s="10">
        <v>65.66</v>
      </c>
      <c r="Z18" s="10">
        <v>64.89</v>
      </c>
      <c r="AA18" s="10">
        <v>65.48</v>
      </c>
      <c r="AB18" s="95">
        <v>2450100</v>
      </c>
      <c r="AC18" s="10">
        <v>65.48</v>
      </c>
      <c r="AD18" s="2">
        <f t="shared" si="0"/>
        <v>0.76999999999999602</v>
      </c>
      <c r="AE18" s="138">
        <f t="shared" si="1"/>
        <v>1.143033673154159E-2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42592</v>
      </c>
      <c r="X19" s="10">
        <v>65.430000000000007</v>
      </c>
      <c r="Y19" s="10">
        <v>65.5</v>
      </c>
      <c r="Z19" s="10">
        <v>64.58</v>
      </c>
      <c r="AA19" s="10">
        <v>64.739999999999995</v>
      </c>
      <c r="AB19" s="95">
        <v>2883000</v>
      </c>
      <c r="AC19" s="10">
        <v>64.739999999999995</v>
      </c>
      <c r="AD19" s="2">
        <f t="shared" si="0"/>
        <v>0.92000000000000171</v>
      </c>
      <c r="AE19" s="138">
        <f t="shared" si="1"/>
        <v>-9.9403578528828307E-3</v>
      </c>
    </row>
    <row r="20" spans="1:31" x14ac:dyDescent="0.25">
      <c r="W20" s="133">
        <v>42591</v>
      </c>
      <c r="X20" s="10">
        <v>65.83</v>
      </c>
      <c r="Y20" s="10">
        <v>66.010000000000005</v>
      </c>
      <c r="Z20" s="10">
        <v>65.17</v>
      </c>
      <c r="AA20" s="10">
        <v>65.39</v>
      </c>
      <c r="AB20" s="95">
        <v>3701600</v>
      </c>
      <c r="AC20" s="10">
        <v>65.39</v>
      </c>
      <c r="AD20" s="2">
        <f t="shared" si="0"/>
        <v>0.84000000000000341</v>
      </c>
      <c r="AE20" s="138">
        <f t="shared" si="1"/>
        <v>-6.6838827282393876E-3</v>
      </c>
    </row>
    <row r="21" spans="1:31" x14ac:dyDescent="0.25">
      <c r="W21" s="133">
        <v>42590</v>
      </c>
      <c r="X21" s="10">
        <v>65.83</v>
      </c>
      <c r="Y21" s="10">
        <v>66.25</v>
      </c>
      <c r="Z21" s="10">
        <v>65.61</v>
      </c>
      <c r="AA21" s="10">
        <v>65.83</v>
      </c>
      <c r="AB21" s="95">
        <v>3253700</v>
      </c>
      <c r="AC21" s="10">
        <v>65.83</v>
      </c>
      <c r="AD21" s="2">
        <f t="shared" si="0"/>
        <v>0.64000000000000057</v>
      </c>
      <c r="AE21" s="138">
        <f t="shared" si="1"/>
        <v>4.7313797313797146E-3</v>
      </c>
    </row>
    <row r="22" spans="1:31" x14ac:dyDescent="0.25">
      <c r="W22" s="133">
        <v>42587</v>
      </c>
      <c r="X22" s="10">
        <v>64.540000000000006</v>
      </c>
      <c r="Y22" s="10">
        <v>65.709999999999994</v>
      </c>
      <c r="Z22" s="10">
        <v>64.349999999999994</v>
      </c>
      <c r="AA22" s="10">
        <v>65.52</v>
      </c>
      <c r="AB22" s="95">
        <v>4863800</v>
      </c>
      <c r="AC22" s="10">
        <v>65.52</v>
      </c>
      <c r="AD22" s="2">
        <f t="shared" si="0"/>
        <v>1.3599999999999994</v>
      </c>
      <c r="AE22" s="138">
        <f t="shared" si="1"/>
        <v>2.4710666249609048E-2</v>
      </c>
    </row>
    <row r="23" spans="1:31" x14ac:dyDescent="0.25">
      <c r="W23" s="133">
        <v>42586</v>
      </c>
      <c r="X23" s="10">
        <v>63.88</v>
      </c>
      <c r="Y23" s="10">
        <v>64.02</v>
      </c>
      <c r="Z23" s="10">
        <v>63.51</v>
      </c>
      <c r="AA23" s="10">
        <v>63.94</v>
      </c>
      <c r="AB23" s="95">
        <v>3680000</v>
      </c>
      <c r="AC23" s="10">
        <v>63.94</v>
      </c>
      <c r="AD23" s="2">
        <f t="shared" si="0"/>
        <v>0.50999999999999801</v>
      </c>
      <c r="AE23" s="138">
        <f t="shared" si="1"/>
        <v>1.7233275889079192E-3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42585</v>
      </c>
      <c r="X24" s="10">
        <v>63.5</v>
      </c>
      <c r="Y24" s="10">
        <v>64.02</v>
      </c>
      <c r="Z24" s="10">
        <v>63.47</v>
      </c>
      <c r="AA24" s="10">
        <v>63.83</v>
      </c>
      <c r="AB24" s="95">
        <v>3034500</v>
      </c>
      <c r="AC24" s="10">
        <v>63.83</v>
      </c>
      <c r="AD24" s="2">
        <f t="shared" si="0"/>
        <v>0.54999999999999716</v>
      </c>
      <c r="AE24" s="138">
        <f t="shared" si="1"/>
        <v>5.6719710099260023E-3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42584</v>
      </c>
      <c r="X25" s="10">
        <v>63.96</v>
      </c>
      <c r="Y25" s="10">
        <v>64.22</v>
      </c>
      <c r="Z25" s="10">
        <v>63.2</v>
      </c>
      <c r="AA25" s="10">
        <v>63.47</v>
      </c>
      <c r="AB25" s="95">
        <v>2531000</v>
      </c>
      <c r="AC25" s="10">
        <v>63.47</v>
      </c>
      <c r="AD25" s="2">
        <f t="shared" si="0"/>
        <v>1.019999999999996</v>
      </c>
      <c r="AE25" s="138">
        <f t="shared" si="1"/>
        <v>-1.0291595197255532E-2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42583</v>
      </c>
      <c r="X26" s="10">
        <v>64.489999999999995</v>
      </c>
      <c r="Y26" s="10">
        <v>64.739999999999995</v>
      </c>
      <c r="Z26" s="10">
        <v>63.96</v>
      </c>
      <c r="AA26" s="10">
        <v>64.13</v>
      </c>
      <c r="AB26" s="95">
        <v>2913900</v>
      </c>
      <c r="AC26" s="10">
        <v>64.13</v>
      </c>
      <c r="AD26" s="2">
        <f t="shared" si="0"/>
        <v>0.77999999999999403</v>
      </c>
      <c r="AE26" s="138">
        <f t="shared" si="1"/>
        <v>-5.1194539249146409E-3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42580</v>
      </c>
      <c r="X27" s="10">
        <v>64.7</v>
      </c>
      <c r="Y27" s="10">
        <v>64.739999999999995</v>
      </c>
      <c r="Z27" s="10">
        <v>64.17</v>
      </c>
      <c r="AA27" s="10">
        <v>64.459999999999994</v>
      </c>
      <c r="AB27" s="95">
        <v>3732700</v>
      </c>
      <c r="AC27" s="10">
        <v>64.459999999999994</v>
      </c>
      <c r="AD27" s="2">
        <f t="shared" si="0"/>
        <v>0.56999999999999318</v>
      </c>
      <c r="AE27" s="138">
        <f t="shared" si="1"/>
        <v>-5.0933786078100063E-3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42579</v>
      </c>
      <c r="X28" s="10">
        <v>64.36</v>
      </c>
      <c r="Y28" s="10">
        <v>64.97</v>
      </c>
      <c r="Z28" s="10">
        <v>64.06</v>
      </c>
      <c r="AA28" s="10">
        <v>64.790000000000006</v>
      </c>
      <c r="AB28" s="95">
        <v>3044000</v>
      </c>
      <c r="AC28" s="10">
        <v>64.790000000000006</v>
      </c>
      <c r="AD28" s="2">
        <f t="shared" si="0"/>
        <v>0.90999999999999659</v>
      </c>
      <c r="AE28" s="138">
        <f t="shared" si="1"/>
        <v>3.096454559529338E-3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42578</v>
      </c>
      <c r="X29" s="10">
        <v>64.27</v>
      </c>
      <c r="Y29" s="10">
        <v>64.94</v>
      </c>
      <c r="Z29" s="10">
        <v>64.209999999999994</v>
      </c>
      <c r="AA29" s="10">
        <v>64.59</v>
      </c>
      <c r="AB29" s="95">
        <v>3168500</v>
      </c>
      <c r="AC29" s="10">
        <v>64.59</v>
      </c>
      <c r="AD29" s="2">
        <f t="shared" si="0"/>
        <v>0.73000000000000398</v>
      </c>
      <c r="AE29" s="138">
        <f t="shared" si="1"/>
        <v>3.4177411837812421E-3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42577</v>
      </c>
      <c r="X30" s="10">
        <v>64.430000000000007</v>
      </c>
      <c r="Y30" s="10">
        <v>64.55</v>
      </c>
      <c r="Z30" s="10">
        <v>63.98</v>
      </c>
      <c r="AA30" s="10">
        <v>64.37</v>
      </c>
      <c r="AB30" s="95">
        <v>2745900</v>
      </c>
      <c r="AC30" s="10">
        <v>64.37</v>
      </c>
      <c r="AD30" s="2">
        <f t="shared" si="0"/>
        <v>0.57000000000000028</v>
      </c>
      <c r="AE30" s="138">
        <f t="shared" si="1"/>
        <v>6.2179387533034536E-4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42576</v>
      </c>
      <c r="X31" s="10">
        <v>64.2</v>
      </c>
      <c r="Y31" s="10">
        <v>64.42</v>
      </c>
      <c r="Z31" s="10">
        <v>64.040000000000006</v>
      </c>
      <c r="AA31" s="10">
        <v>64.33</v>
      </c>
      <c r="AB31" s="95">
        <v>3060300</v>
      </c>
      <c r="AC31" s="10">
        <v>64.33</v>
      </c>
      <c r="AD31" s="2">
        <f t="shared" si="0"/>
        <v>0.37999999999999545</v>
      </c>
      <c r="AE31" s="138">
        <f t="shared" si="1"/>
        <v>7.7784691972615505E-4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300</v>
      </c>
      <c r="W32" s="133">
        <v>42573</v>
      </c>
      <c r="X32" s="10">
        <v>63.4</v>
      </c>
      <c r="Y32" s="10">
        <v>64.34</v>
      </c>
      <c r="Z32" s="10">
        <v>63.37</v>
      </c>
      <c r="AA32" s="10">
        <v>64.28</v>
      </c>
      <c r="AB32" s="95">
        <v>4063400</v>
      </c>
      <c r="AC32" s="10">
        <v>64.28</v>
      </c>
      <c r="AD32" s="2">
        <f t="shared" si="0"/>
        <v>0.97000000000000597</v>
      </c>
      <c r="AE32" s="138">
        <f t="shared" si="1"/>
        <v>1.3400599085606313E-2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42572</v>
      </c>
      <c r="X33" s="10">
        <v>63.8</v>
      </c>
      <c r="Y33" s="10">
        <v>64.38</v>
      </c>
      <c r="Z33" s="10">
        <v>62.88</v>
      </c>
      <c r="AA33" s="10">
        <v>63.43</v>
      </c>
      <c r="AB33" s="95">
        <v>9498600</v>
      </c>
      <c r="AC33" s="10">
        <v>63.43</v>
      </c>
      <c r="AD33" s="2">
        <f t="shared" si="0"/>
        <v>1.4999999999999929</v>
      </c>
      <c r="AE33" s="138">
        <f t="shared" si="1"/>
        <v>-1.6284119106699801E-2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42571</v>
      </c>
      <c r="X34" s="10">
        <v>64.290000000000006</v>
      </c>
      <c r="Y34" s="10">
        <v>64.8</v>
      </c>
      <c r="Z34" s="10">
        <v>63.5</v>
      </c>
      <c r="AA34" s="10">
        <v>64.48</v>
      </c>
      <c r="AB34" s="95">
        <v>8315800</v>
      </c>
      <c r="AC34" s="10">
        <v>64.48</v>
      </c>
      <c r="AD34" s="2">
        <f t="shared" si="0"/>
        <v>1.2999999999999972</v>
      </c>
      <c r="AE34" s="138">
        <f t="shared" si="1"/>
        <v>4.9875311720699589E-3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42570</v>
      </c>
      <c r="X35" s="10">
        <v>63.69</v>
      </c>
      <c r="Y35" s="10">
        <v>64.17</v>
      </c>
      <c r="Z35" s="10">
        <v>63.5</v>
      </c>
      <c r="AA35" s="10">
        <v>64.16</v>
      </c>
      <c r="AB35" s="95">
        <v>3840500</v>
      </c>
      <c r="AC35" s="10">
        <v>64.16</v>
      </c>
      <c r="AD35" s="2">
        <f t="shared" si="0"/>
        <v>0.67000000000000171</v>
      </c>
      <c r="AE35" s="138">
        <f t="shared" si="1"/>
        <v>2.6566651039223732E-3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42569</v>
      </c>
      <c r="X36" s="10">
        <v>63.96</v>
      </c>
      <c r="Y36" s="10">
        <v>64.12</v>
      </c>
      <c r="Z36" s="10">
        <v>63.54</v>
      </c>
      <c r="AA36" s="10">
        <v>63.99</v>
      </c>
      <c r="AB36" s="95">
        <v>3260000</v>
      </c>
      <c r="AC36" s="10">
        <v>63.99</v>
      </c>
      <c r="AD36" s="2">
        <f t="shared" si="0"/>
        <v>0.5800000000000054</v>
      </c>
      <c r="AE36" s="138">
        <f t="shared" si="1"/>
        <v>3.2925682031985648E-3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42566</v>
      </c>
      <c r="X37" s="10">
        <v>63.95</v>
      </c>
      <c r="Y37" s="10">
        <v>64.11</v>
      </c>
      <c r="Z37" s="10">
        <v>63.31</v>
      </c>
      <c r="AA37" s="10">
        <v>63.78</v>
      </c>
      <c r="AB37" s="95">
        <v>3675600</v>
      </c>
      <c r="AC37" s="10">
        <v>63.78</v>
      </c>
      <c r="AD37" s="2">
        <f t="shared" si="0"/>
        <v>0.79999999999999716</v>
      </c>
      <c r="AE37" s="138">
        <f t="shared" si="1"/>
        <v>2.6725357648169634E-3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42565</v>
      </c>
      <c r="X38" s="10">
        <v>63.66</v>
      </c>
      <c r="Y38" s="10">
        <v>64</v>
      </c>
      <c r="Z38" s="10">
        <v>63.41</v>
      </c>
      <c r="AA38" s="10">
        <v>63.61</v>
      </c>
      <c r="AB38" s="95">
        <v>4417200</v>
      </c>
      <c r="AC38" s="10">
        <v>63.61</v>
      </c>
      <c r="AD38" s="2">
        <f t="shared" si="0"/>
        <v>0.59000000000000341</v>
      </c>
      <c r="AE38" s="138">
        <f t="shared" si="1"/>
        <v>8.0824088748019385E-3</v>
      </c>
    </row>
    <row r="39" spans="2:31" x14ac:dyDescent="0.25">
      <c r="W39" s="133">
        <v>42564</v>
      </c>
      <c r="X39" s="10">
        <v>62.98</v>
      </c>
      <c r="Y39" s="10">
        <v>63.35</v>
      </c>
      <c r="Z39" s="10">
        <v>62.64</v>
      </c>
      <c r="AA39" s="10">
        <v>63.1</v>
      </c>
      <c r="AB39" s="95">
        <v>3887600</v>
      </c>
      <c r="AC39" s="10">
        <v>63.1</v>
      </c>
      <c r="AD39" s="2">
        <f t="shared" si="0"/>
        <v>0.71000000000000085</v>
      </c>
      <c r="AE39" s="138">
        <f t="shared" si="1"/>
        <v>1.5873015873015817E-3</v>
      </c>
    </row>
    <row r="40" spans="2:31" ht="20.25" thickBot="1" x14ac:dyDescent="0.35">
      <c r="O40" s="545" t="s">
        <v>78</v>
      </c>
      <c r="P40" s="545"/>
      <c r="W40" s="133">
        <v>42563</v>
      </c>
      <c r="X40" s="10">
        <v>62.63</v>
      </c>
      <c r="Y40" s="10">
        <v>63.33</v>
      </c>
      <c r="Z40" s="10">
        <v>62.63</v>
      </c>
      <c r="AA40" s="10">
        <v>63</v>
      </c>
      <c r="AB40" s="95">
        <v>4531900</v>
      </c>
      <c r="AC40" s="10">
        <v>63</v>
      </c>
      <c r="AD40" s="2">
        <f t="shared" si="0"/>
        <v>0.69999999999999574</v>
      </c>
      <c r="AE40" s="138">
        <f t="shared" si="1"/>
        <v>1.3513513513513598E-2</v>
      </c>
    </row>
    <row r="41" spans="2:31" ht="15.75" thickTop="1" x14ac:dyDescent="0.25">
      <c r="O41" s="83">
        <v>1.1000000000000001</v>
      </c>
      <c r="P41" s="83">
        <f>O41*$Q$4</f>
        <v>72.336000000000013</v>
      </c>
      <c r="Q41" s="2"/>
      <c r="W41" s="133">
        <v>42562</v>
      </c>
      <c r="X41" s="10">
        <v>61.95</v>
      </c>
      <c r="Y41" s="10">
        <v>62.46</v>
      </c>
      <c r="Z41" s="10">
        <v>61.86</v>
      </c>
      <c r="AA41" s="10">
        <v>62.16</v>
      </c>
      <c r="AB41" s="95">
        <v>3414400</v>
      </c>
      <c r="AC41" s="10">
        <v>62.16</v>
      </c>
      <c r="AD41" s="2">
        <f t="shared" si="0"/>
        <v>0.60000000000000142</v>
      </c>
      <c r="AE41" s="138">
        <f t="shared" si="1"/>
        <v>1.0896080663522545E-2</v>
      </c>
    </row>
    <row r="42" spans="2:31" ht="20.25" thickBot="1" x14ac:dyDescent="0.35">
      <c r="O42" s="83">
        <v>1.0900000000000001</v>
      </c>
      <c r="P42" s="83">
        <f t="shared" ref="P42:P61" si="36">O42*$Q$4</f>
        <v>71.678400000000011</v>
      </c>
      <c r="Q42" s="2"/>
      <c r="T42" s="91" t="s">
        <v>113</v>
      </c>
      <c r="W42" s="133">
        <v>42559</v>
      </c>
      <c r="X42" s="10">
        <v>60.68</v>
      </c>
      <c r="Y42" s="10">
        <v>61.6</v>
      </c>
      <c r="Z42" s="10">
        <v>60.55</v>
      </c>
      <c r="AA42" s="10">
        <v>61.49</v>
      </c>
      <c r="AB42" s="95">
        <v>5768400</v>
      </c>
      <c r="AC42" s="10">
        <v>61.49</v>
      </c>
      <c r="AD42" s="2">
        <f t="shared" si="0"/>
        <v>1.0500000000000043</v>
      </c>
      <c r="AE42" s="138">
        <f t="shared" si="1"/>
        <v>2.8088948336398634E-2</v>
      </c>
    </row>
    <row r="43" spans="2:31" ht="15.75" thickTop="1" x14ac:dyDescent="0.25">
      <c r="O43" s="83">
        <v>1.08</v>
      </c>
      <c r="P43" s="83">
        <f t="shared" si="36"/>
        <v>71.020800000000008</v>
      </c>
      <c r="Q43" s="2"/>
      <c r="T43" s="128" t="s">
        <v>98</v>
      </c>
      <c r="U43" s="129">
        <v>64.86</v>
      </c>
      <c r="W43" s="133">
        <v>42558</v>
      </c>
      <c r="X43" s="10">
        <v>59.48</v>
      </c>
      <c r="Y43" s="10">
        <v>60.33</v>
      </c>
      <c r="Z43" s="10">
        <v>59.38</v>
      </c>
      <c r="AA43" s="10">
        <v>59.81</v>
      </c>
      <c r="AB43" s="95">
        <v>5077400</v>
      </c>
      <c r="AC43" s="10">
        <v>59.81</v>
      </c>
      <c r="AD43" s="2">
        <f t="shared" si="0"/>
        <v>0.94999999999999574</v>
      </c>
      <c r="AE43" s="138">
        <f t="shared" si="1"/>
        <v>5.5480833893746251E-3</v>
      </c>
    </row>
    <row r="44" spans="2:31" x14ac:dyDescent="0.25">
      <c r="O44" s="83">
        <v>1.07</v>
      </c>
      <c r="P44" s="83">
        <f t="shared" si="36"/>
        <v>70.363200000000006</v>
      </c>
      <c r="Q44" s="2"/>
      <c r="T44" s="93" t="s">
        <v>99</v>
      </c>
      <c r="U44" s="130">
        <v>65.06</v>
      </c>
      <c r="W44" s="133">
        <v>42557</v>
      </c>
      <c r="X44" s="10">
        <v>58.75</v>
      </c>
      <c r="Y44" s="10">
        <v>59.73</v>
      </c>
      <c r="Z44" s="10">
        <v>58.25</v>
      </c>
      <c r="AA44" s="10">
        <v>59.48</v>
      </c>
      <c r="AB44" s="95">
        <v>5484400</v>
      </c>
      <c r="AC44" s="10">
        <v>59.48</v>
      </c>
      <c r="AD44" s="2">
        <f t="shared" si="0"/>
        <v>1.4799999999999969</v>
      </c>
      <c r="AE44" s="138">
        <f t="shared" si="1"/>
        <v>5.5790363482670635E-3</v>
      </c>
    </row>
    <row r="45" spans="2:31" x14ac:dyDescent="0.25">
      <c r="O45" s="83">
        <v>1.06</v>
      </c>
      <c r="P45" s="83">
        <f t="shared" si="36"/>
        <v>69.705600000000004</v>
      </c>
      <c r="Q45" s="2"/>
      <c r="T45" s="93" t="s">
        <v>100</v>
      </c>
      <c r="U45" s="130" t="s">
        <v>501</v>
      </c>
      <c r="W45" s="133">
        <v>42556</v>
      </c>
      <c r="X45" s="10">
        <v>60.22</v>
      </c>
      <c r="Y45" s="10">
        <v>60.39</v>
      </c>
      <c r="Z45" s="10">
        <v>58.96</v>
      </c>
      <c r="AA45" s="10">
        <v>59.15</v>
      </c>
      <c r="AB45" s="95">
        <v>4911800</v>
      </c>
      <c r="AC45" s="10">
        <v>59.15</v>
      </c>
      <c r="AD45" s="2">
        <f t="shared" si="0"/>
        <v>1.4299999999999997</v>
      </c>
      <c r="AE45" s="138">
        <f t="shared" si="1"/>
        <v>-2.5374855824682796E-2</v>
      </c>
    </row>
    <row r="46" spans="2:31" x14ac:dyDescent="0.25">
      <c r="O46" s="83">
        <v>1.05</v>
      </c>
      <c r="P46" s="83">
        <f t="shared" si="36"/>
        <v>69.048000000000002</v>
      </c>
      <c r="Q46" s="2"/>
      <c r="T46" s="93" t="s">
        <v>101</v>
      </c>
      <c r="U46" s="130" t="s">
        <v>502</v>
      </c>
      <c r="W46" s="133">
        <v>42552</v>
      </c>
      <c r="X46" s="10">
        <v>60.76</v>
      </c>
      <c r="Y46" s="10">
        <v>61.52</v>
      </c>
      <c r="Z46" s="10">
        <v>60.57</v>
      </c>
      <c r="AA46" s="10">
        <v>60.69</v>
      </c>
      <c r="AB46" s="95">
        <v>4166500</v>
      </c>
      <c r="AC46" s="10">
        <v>60.69</v>
      </c>
      <c r="AD46" s="2">
        <f t="shared" si="0"/>
        <v>0.95000000000000284</v>
      </c>
      <c r="AE46" s="138">
        <f t="shared" si="1"/>
        <v>-1.1520737327188613E-3</v>
      </c>
    </row>
    <row r="47" spans="2:31" x14ac:dyDescent="0.25">
      <c r="O47" s="83">
        <v>1.04</v>
      </c>
      <c r="P47" s="83">
        <f t="shared" si="36"/>
        <v>68.390400000000014</v>
      </c>
      <c r="Q47" s="2"/>
      <c r="T47" s="93" t="s">
        <v>102</v>
      </c>
      <c r="U47" s="130">
        <v>67.81</v>
      </c>
      <c r="W47" s="133">
        <v>42551</v>
      </c>
      <c r="X47" s="10">
        <v>59.87</v>
      </c>
      <c r="Y47" s="10">
        <v>60.76</v>
      </c>
      <c r="Z47" s="10">
        <v>58.82</v>
      </c>
      <c r="AA47" s="10">
        <v>60.76</v>
      </c>
      <c r="AB47" s="95">
        <v>8535400</v>
      </c>
      <c r="AC47" s="10">
        <v>60.76</v>
      </c>
      <c r="AD47" s="2">
        <f t="shared" si="0"/>
        <v>1.9399999999999977</v>
      </c>
      <c r="AE47" s="138">
        <f t="shared" si="1"/>
        <v>1.8950192855945014E-2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67.732800000000012</v>
      </c>
      <c r="Q48" s="2"/>
      <c r="T48" s="93" t="s">
        <v>103</v>
      </c>
      <c r="U48" s="130">
        <v>1.29521</v>
      </c>
      <c r="W48" s="133">
        <v>42550</v>
      </c>
      <c r="X48" s="10">
        <v>57.95</v>
      </c>
      <c r="Y48" s="10">
        <v>59.7</v>
      </c>
      <c r="Z48" s="10">
        <v>57.86</v>
      </c>
      <c r="AA48" s="10">
        <v>59.63</v>
      </c>
      <c r="AB48" s="95">
        <v>6281100</v>
      </c>
      <c r="AC48" s="10">
        <v>59.63</v>
      </c>
      <c r="AD48" s="2">
        <f t="shared" si="0"/>
        <v>1.8400000000000034</v>
      </c>
      <c r="AE48" s="138" t="e">
        <f t="shared" si="1"/>
        <v>#DIV/0!</v>
      </c>
    </row>
    <row r="49" spans="1:31" x14ac:dyDescent="0.25">
      <c r="A49" s="390" t="s">
        <v>1</v>
      </c>
      <c r="B49" s="390" t="s">
        <v>2</v>
      </c>
      <c r="C49" s="390" t="s">
        <v>4</v>
      </c>
      <c r="D49" s="392" t="s">
        <v>5</v>
      </c>
      <c r="E49" s="392" t="s">
        <v>94</v>
      </c>
      <c r="F49" s="392" t="s">
        <v>60</v>
      </c>
      <c r="G49" s="390" t="s">
        <v>3</v>
      </c>
      <c r="H49" s="390" t="s">
        <v>6</v>
      </c>
      <c r="I49" s="392" t="s">
        <v>7</v>
      </c>
      <c r="J49" s="392" t="s">
        <v>95</v>
      </c>
      <c r="K49" s="392" t="s">
        <v>61</v>
      </c>
      <c r="L49" s="390" t="s">
        <v>37</v>
      </c>
      <c r="M49" s="390" t="s">
        <v>38</v>
      </c>
      <c r="O49" s="83">
        <v>1.02</v>
      </c>
      <c r="P49" s="83">
        <f t="shared" si="36"/>
        <v>67.075200000000009</v>
      </c>
      <c r="Q49" s="2"/>
      <c r="T49" s="93" t="s">
        <v>123</v>
      </c>
      <c r="U49" s="130" t="s">
        <v>304</v>
      </c>
      <c r="W49" s="133">
        <v>42550</v>
      </c>
      <c r="X49" s="10" t="s">
        <v>259</v>
      </c>
      <c r="Y49" s="10"/>
      <c r="Z49" s="10"/>
      <c r="AA49" s="10"/>
      <c r="AB49" s="95"/>
      <c r="AC49" s="10"/>
      <c r="AD49" s="2">
        <f t="shared" si="0"/>
        <v>0</v>
      </c>
      <c r="AE49" s="138">
        <f t="shared" si="1"/>
        <v>-1</v>
      </c>
    </row>
    <row r="50" spans="1:31" x14ac:dyDescent="0.25">
      <c r="A50" s="393" t="s">
        <v>257</v>
      </c>
      <c r="B50" s="383">
        <v>42548</v>
      </c>
      <c r="C50" s="384">
        <v>40</v>
      </c>
      <c r="D50" s="385">
        <v>59.08</v>
      </c>
      <c r="E50" s="385">
        <v>0</v>
      </c>
      <c r="F50" s="385">
        <f>D50*C50+E50</f>
        <v>2363.1999999999998</v>
      </c>
      <c r="G50" s="383">
        <v>42580</v>
      </c>
      <c r="H50" s="388">
        <v>40</v>
      </c>
      <c r="I50" s="385">
        <v>64.58</v>
      </c>
      <c r="J50" s="385">
        <v>0.06</v>
      </c>
      <c r="K50" s="385">
        <f>I50*H50-J50</f>
        <v>2583.14</v>
      </c>
      <c r="L50" s="383">
        <v>42592</v>
      </c>
      <c r="M50" s="384">
        <v>11.6</v>
      </c>
      <c r="O50" s="83">
        <v>1.01</v>
      </c>
      <c r="P50" s="83">
        <f t="shared" si="36"/>
        <v>66.417600000000007</v>
      </c>
      <c r="Q50" s="2"/>
      <c r="T50" s="93"/>
      <c r="U50" s="130"/>
      <c r="W50" s="133">
        <v>42549</v>
      </c>
      <c r="X50" s="10">
        <v>58.25</v>
      </c>
      <c r="Y50" s="10">
        <v>58.61</v>
      </c>
      <c r="Z50" s="10">
        <v>57.15</v>
      </c>
      <c r="AA50" s="10">
        <v>57.9</v>
      </c>
      <c r="AB50" s="95">
        <v>8294300</v>
      </c>
      <c r="AC50" s="10">
        <v>57.61</v>
      </c>
      <c r="AD50" s="2">
        <f t="shared" si="0"/>
        <v>1.4600000000000009</v>
      </c>
      <c r="AE50" s="138">
        <f t="shared" si="1"/>
        <v>4.0083652840710027E-3</v>
      </c>
    </row>
    <row r="51" spans="1:31" x14ac:dyDescent="0.25">
      <c r="A51" s="394" t="s">
        <v>71</v>
      </c>
      <c r="B51" s="383"/>
      <c r="C51" s="384"/>
      <c r="D51" s="385"/>
      <c r="E51" s="385"/>
      <c r="F51" s="385"/>
      <c r="G51" s="384"/>
      <c r="H51" s="388"/>
      <c r="I51" s="385"/>
      <c r="J51" s="385"/>
      <c r="K51" s="385"/>
      <c r="L51" s="384"/>
      <c r="M51" s="384"/>
      <c r="O51" s="83">
        <v>1</v>
      </c>
      <c r="P51" s="83">
        <f t="shared" si="36"/>
        <v>65.760000000000005</v>
      </c>
      <c r="Q51" s="2"/>
      <c r="T51" s="93" t="s">
        <v>105</v>
      </c>
      <c r="U51" s="130" t="s">
        <v>503</v>
      </c>
      <c r="W51" s="133">
        <v>42548</v>
      </c>
      <c r="X51" s="10">
        <v>59.34</v>
      </c>
      <c r="Y51" s="10">
        <v>59.34</v>
      </c>
      <c r="Z51" s="10">
        <v>57.33</v>
      </c>
      <c r="AA51" s="10">
        <v>57.67</v>
      </c>
      <c r="AB51" s="95">
        <v>7567600</v>
      </c>
      <c r="AC51" s="10">
        <v>57.38</v>
      </c>
      <c r="AD51" s="2">
        <f t="shared" si="0"/>
        <v>2.0100000000000051</v>
      </c>
      <c r="AE51" s="138">
        <f t="shared" si="1"/>
        <v>-3.9825970548862055E-2</v>
      </c>
    </row>
    <row r="52" spans="1:31" x14ac:dyDescent="0.25">
      <c r="A52" s="384"/>
      <c r="B52" s="383"/>
      <c r="C52" s="384"/>
      <c r="D52" s="385"/>
      <c r="E52" s="385"/>
      <c r="F52" s="385"/>
      <c r="G52" s="384"/>
      <c r="H52" s="388"/>
      <c r="I52" s="385"/>
      <c r="J52" s="385"/>
      <c r="K52" s="385"/>
      <c r="L52" s="384"/>
      <c r="M52" s="384"/>
      <c r="O52" s="83">
        <v>0.99</v>
      </c>
      <c r="P52" s="83">
        <f t="shared" si="36"/>
        <v>65.102400000000003</v>
      </c>
      <c r="Q52" s="2"/>
      <c r="T52" s="93" t="s">
        <v>106</v>
      </c>
      <c r="U52" s="130" t="s">
        <v>355</v>
      </c>
      <c r="W52" s="133">
        <v>42545</v>
      </c>
      <c r="X52" s="10">
        <v>60.48</v>
      </c>
      <c r="Y52" s="10">
        <v>61.7</v>
      </c>
      <c r="Z52" s="10">
        <v>60</v>
      </c>
      <c r="AA52" s="10">
        <v>60.06</v>
      </c>
      <c r="AB52" s="95">
        <v>10798700</v>
      </c>
      <c r="AC52" s="10">
        <v>59.76</v>
      </c>
      <c r="AD52" s="2">
        <f t="shared" si="0"/>
        <v>1.7000000000000028</v>
      </c>
      <c r="AE52" s="138">
        <f t="shared" si="1"/>
        <v>-5.0373430796122665E-2</v>
      </c>
    </row>
    <row r="53" spans="1:31" x14ac:dyDescent="0.25">
      <c r="A53" s="384"/>
      <c r="B53" s="383"/>
      <c r="C53" s="384"/>
      <c r="D53" s="385"/>
      <c r="E53" s="385"/>
      <c r="F53" s="385"/>
      <c r="G53" s="384"/>
      <c r="H53" s="388"/>
      <c r="I53" s="385"/>
      <c r="J53" s="385"/>
      <c r="K53" s="385"/>
      <c r="L53" s="384"/>
      <c r="M53" s="384"/>
      <c r="O53" s="83">
        <v>0.98</v>
      </c>
      <c r="P53" s="83">
        <f t="shared" si="36"/>
        <v>64.444800000000001</v>
      </c>
      <c r="Q53" s="2"/>
      <c r="T53" s="93" t="s">
        <v>107</v>
      </c>
      <c r="U53" s="131">
        <v>3131691</v>
      </c>
      <c r="W53" s="133">
        <v>42544</v>
      </c>
      <c r="X53" s="10">
        <v>62.84</v>
      </c>
      <c r="Y53" s="10">
        <v>63.27</v>
      </c>
      <c r="Z53" s="10">
        <v>62.47</v>
      </c>
      <c r="AA53" s="10">
        <v>63.25</v>
      </c>
      <c r="AB53" s="95">
        <v>3624600</v>
      </c>
      <c r="AC53" s="10">
        <v>62.93</v>
      </c>
      <c r="AD53" s="2">
        <f t="shared" si="0"/>
        <v>0.80000000000000426</v>
      </c>
      <c r="AE53" s="138">
        <f t="shared" si="1"/>
        <v>2.0927968851395251E-2</v>
      </c>
    </row>
    <row r="54" spans="1:31" x14ac:dyDescent="0.25">
      <c r="A54" s="384"/>
      <c r="B54" s="383"/>
      <c r="C54" s="384"/>
      <c r="D54" s="385"/>
      <c r="E54" s="385"/>
      <c r="F54" s="385"/>
      <c r="G54" s="384"/>
      <c r="H54" s="388"/>
      <c r="I54" s="385"/>
      <c r="J54" s="385"/>
      <c r="K54" s="385"/>
      <c r="L54" s="384"/>
      <c r="M54" s="384"/>
      <c r="O54" s="83">
        <v>0.97</v>
      </c>
      <c r="P54" s="83">
        <f t="shared" si="36"/>
        <v>63.787200000000006</v>
      </c>
      <c r="T54" s="93" t="s">
        <v>110</v>
      </c>
      <c r="U54" s="131">
        <v>4450790</v>
      </c>
      <c r="W54" s="133">
        <v>42543</v>
      </c>
      <c r="X54" s="10">
        <v>62.29</v>
      </c>
      <c r="Y54" s="10">
        <v>62.64</v>
      </c>
      <c r="Z54" s="10">
        <v>61.88</v>
      </c>
      <c r="AA54" s="10">
        <v>61.95</v>
      </c>
      <c r="AB54" s="95">
        <v>3462800</v>
      </c>
      <c r="AC54" s="10">
        <v>61.64</v>
      </c>
      <c r="AD54" s="2">
        <f t="shared" si="0"/>
        <v>0.75999999999999801</v>
      </c>
      <c r="AE54" s="138">
        <f t="shared" si="1"/>
        <v>-5.485640529202862E-3</v>
      </c>
    </row>
    <row r="55" spans="1:31" x14ac:dyDescent="0.25">
      <c r="A55" s="384"/>
      <c r="B55" s="384"/>
      <c r="C55" s="384"/>
      <c r="D55" s="385"/>
      <c r="E55" s="385"/>
      <c r="F55" s="385"/>
      <c r="G55" s="384"/>
      <c r="H55" s="388"/>
      <c r="I55" s="385"/>
      <c r="J55" s="385"/>
      <c r="K55" s="385"/>
      <c r="L55" s="384"/>
      <c r="M55" s="384"/>
      <c r="O55" s="83">
        <v>0.96</v>
      </c>
      <c r="P55" s="83">
        <f t="shared" si="36"/>
        <v>63.129600000000003</v>
      </c>
      <c r="T55" s="93" t="s">
        <v>108</v>
      </c>
      <c r="U55" s="130" t="s">
        <v>504</v>
      </c>
      <c r="W55" s="133">
        <v>42542</v>
      </c>
      <c r="X55" s="10">
        <v>62.3</v>
      </c>
      <c r="Y55" s="10">
        <v>62.48</v>
      </c>
      <c r="Z55" s="10">
        <v>61.75</v>
      </c>
      <c r="AA55" s="10">
        <v>62.29</v>
      </c>
      <c r="AB55" s="95">
        <v>3360600</v>
      </c>
      <c r="AC55" s="10">
        <v>61.98</v>
      </c>
      <c r="AD55" s="2">
        <f t="shared" si="0"/>
        <v>0.72999999999999687</v>
      </c>
      <c r="AE55" s="138">
        <f t="shared" si="1"/>
        <v>-1.6131634134541883E-4</v>
      </c>
    </row>
    <row r="56" spans="1:31" x14ac:dyDescent="0.25">
      <c r="A56" s="384"/>
      <c r="B56" s="384"/>
      <c r="C56" s="384"/>
      <c r="D56" s="385"/>
      <c r="E56" s="385"/>
      <c r="F56" s="385"/>
      <c r="G56" s="384"/>
      <c r="H56" s="388"/>
      <c r="I56" s="385"/>
      <c r="J56" s="385"/>
      <c r="K56" s="385"/>
      <c r="L56" s="384"/>
      <c r="M56" s="384"/>
      <c r="O56" s="83">
        <v>0.95</v>
      </c>
      <c r="P56" s="83">
        <f t="shared" si="36"/>
        <v>62.472000000000001</v>
      </c>
      <c r="T56" s="93" t="s">
        <v>111</v>
      </c>
      <c r="U56" s="130">
        <v>11.53</v>
      </c>
      <c r="W56" s="133">
        <v>42541</v>
      </c>
      <c r="X56" s="10">
        <v>62.65</v>
      </c>
      <c r="Y56" s="10">
        <v>63.41</v>
      </c>
      <c r="Z56" s="10">
        <v>62.23</v>
      </c>
      <c r="AA56" s="10">
        <v>62.3</v>
      </c>
      <c r="AB56" s="95">
        <v>4289100</v>
      </c>
      <c r="AC56" s="10">
        <v>61.99</v>
      </c>
      <c r="AD56" s="2">
        <f t="shared" si="0"/>
        <v>1.1799999999999997</v>
      </c>
      <c r="AE56" s="138">
        <f t="shared" si="1"/>
        <v>7.1486596263201641E-3</v>
      </c>
    </row>
    <row r="57" spans="1:31" x14ac:dyDescent="0.25">
      <c r="A57" s="384"/>
      <c r="B57" s="384"/>
      <c r="C57" s="384"/>
      <c r="D57" s="385"/>
      <c r="E57" s="385"/>
      <c r="F57" s="385"/>
      <c r="G57" s="384"/>
      <c r="H57" s="388"/>
      <c r="I57" s="385"/>
      <c r="J57" s="385"/>
      <c r="K57" s="385"/>
      <c r="L57" s="384"/>
      <c r="M57" s="384"/>
      <c r="O57" s="83">
        <v>0.94</v>
      </c>
      <c r="P57" s="83">
        <f t="shared" si="36"/>
        <v>61.814399999999999</v>
      </c>
      <c r="T57" s="93" t="s">
        <v>112</v>
      </c>
      <c r="U57" s="130">
        <v>5.65</v>
      </c>
      <c r="W57" s="133">
        <v>42538</v>
      </c>
      <c r="X57" s="10">
        <v>61.93</v>
      </c>
      <c r="Y57" s="10">
        <v>62.43</v>
      </c>
      <c r="Z57" s="10">
        <v>61.62</v>
      </c>
      <c r="AA57" s="10">
        <v>61.86</v>
      </c>
      <c r="AB57" s="95">
        <v>6521500</v>
      </c>
      <c r="AC57" s="10">
        <v>61.55</v>
      </c>
      <c r="AD57" s="2">
        <f t="shared" si="0"/>
        <v>0.81000000000000227</v>
      </c>
      <c r="AE57" s="138">
        <f t="shared" si="1"/>
        <v>-1.135994806880869E-3</v>
      </c>
    </row>
    <row r="58" spans="1:31" x14ac:dyDescent="0.25">
      <c r="A58" s="384"/>
      <c r="B58" s="384"/>
      <c r="C58" s="384"/>
      <c r="D58" s="385"/>
      <c r="E58" s="385"/>
      <c r="F58" s="385"/>
      <c r="G58" s="384"/>
      <c r="H58" s="388"/>
      <c r="I58" s="385"/>
      <c r="J58" s="385"/>
      <c r="K58" s="385"/>
      <c r="L58" s="384"/>
      <c r="M58" s="384"/>
      <c r="O58" s="83">
        <v>0.93</v>
      </c>
      <c r="P58" s="83">
        <f t="shared" si="36"/>
        <v>61.156800000000011</v>
      </c>
      <c r="T58" s="93" t="s">
        <v>109</v>
      </c>
      <c r="U58" s="130" t="s">
        <v>585</v>
      </c>
      <c r="W58" s="133">
        <v>42537</v>
      </c>
      <c r="X58" s="10">
        <v>60.94</v>
      </c>
      <c r="Y58" s="10">
        <v>62.11</v>
      </c>
      <c r="Z58" s="10">
        <v>60.66</v>
      </c>
      <c r="AA58" s="10">
        <v>61.93</v>
      </c>
      <c r="AB58" s="95">
        <v>5543600</v>
      </c>
      <c r="AC58" s="10">
        <v>61.62</v>
      </c>
      <c r="AD58" s="2">
        <f t="shared" si="0"/>
        <v>1.4500000000000028</v>
      </c>
      <c r="AE58" s="138">
        <f t="shared" si="1"/>
        <v>8.345606283750584E-3</v>
      </c>
    </row>
    <row r="59" spans="1:31" x14ac:dyDescent="0.25">
      <c r="A59" s="384"/>
      <c r="B59" s="384"/>
      <c r="C59" s="384"/>
      <c r="D59" s="385"/>
      <c r="E59" s="385"/>
      <c r="F59" s="385"/>
      <c r="G59" s="384"/>
      <c r="H59" s="388"/>
      <c r="I59" s="385"/>
      <c r="J59" s="385"/>
      <c r="K59" s="385"/>
      <c r="L59" s="384"/>
      <c r="M59" s="384"/>
      <c r="O59" s="83">
        <v>0.92</v>
      </c>
      <c r="P59" s="83">
        <f t="shared" si="36"/>
        <v>60.499200000000009</v>
      </c>
      <c r="W59" s="133">
        <v>42536</v>
      </c>
      <c r="X59" s="10">
        <v>61.47</v>
      </c>
      <c r="Y59" s="10">
        <v>62.16</v>
      </c>
      <c r="Z59" s="10">
        <v>60.86</v>
      </c>
      <c r="AA59" s="10">
        <v>61.42</v>
      </c>
      <c r="AB59" s="95">
        <v>5979900</v>
      </c>
      <c r="AC59" s="10">
        <v>61.11</v>
      </c>
      <c r="AD59" s="2">
        <f t="shared" si="0"/>
        <v>1.2999999999999972</v>
      </c>
      <c r="AE59" s="138">
        <f t="shared" si="1"/>
        <v>5.7603686635945284E-3</v>
      </c>
    </row>
    <row r="60" spans="1:31" x14ac:dyDescent="0.25">
      <c r="A60" s="384"/>
      <c r="B60" s="384"/>
      <c r="C60" s="384"/>
      <c r="D60" s="385"/>
      <c r="E60" s="385"/>
      <c r="F60" s="385"/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36"/>
        <v>59.841600000000007</v>
      </c>
      <c r="W60" s="133">
        <v>42535</v>
      </c>
      <c r="X60" s="10">
        <v>63.59</v>
      </c>
      <c r="Y60" s="10">
        <v>63.66</v>
      </c>
      <c r="Z60" s="10">
        <v>60.38</v>
      </c>
      <c r="AA60" s="10">
        <v>61.07</v>
      </c>
      <c r="AB60" s="95">
        <v>12323200</v>
      </c>
      <c r="AC60" s="10">
        <v>60.76</v>
      </c>
      <c r="AD60" s="2">
        <f t="shared" si="0"/>
        <v>3.279999999999994</v>
      </c>
      <c r="AE60" s="138">
        <f t="shared" si="1"/>
        <v>-4.0883977900552537E-2</v>
      </c>
    </row>
    <row r="61" spans="1:31" x14ac:dyDescent="0.25">
      <c r="A61" s="384"/>
      <c r="B61" s="384"/>
      <c r="C61" s="384"/>
      <c r="D61" s="385"/>
      <c r="E61" s="385"/>
      <c r="F61" s="385"/>
      <c r="G61" s="384"/>
      <c r="H61" s="388"/>
      <c r="I61" s="385"/>
      <c r="J61" s="385"/>
      <c r="K61" s="385"/>
      <c r="L61" s="384"/>
      <c r="M61" s="384"/>
      <c r="O61" s="83">
        <v>0.9</v>
      </c>
      <c r="P61" s="83">
        <f t="shared" si="36"/>
        <v>59.184000000000005</v>
      </c>
      <c r="W61" s="133">
        <v>42534</v>
      </c>
      <c r="X61" s="10">
        <v>64.8</v>
      </c>
      <c r="Y61" s="10">
        <v>64.89</v>
      </c>
      <c r="Z61" s="10">
        <v>63.63</v>
      </c>
      <c r="AA61" s="10">
        <v>63.67</v>
      </c>
      <c r="AB61" s="95">
        <v>5883400</v>
      </c>
      <c r="AC61" s="10">
        <v>63.35</v>
      </c>
      <c r="AD61" s="2">
        <f t="shared" si="0"/>
        <v>1.259999999999998</v>
      </c>
      <c r="AE61" s="138">
        <f t="shared" si="1"/>
        <v>-1.995668316831678E-2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33">
        <v>42531</v>
      </c>
      <c r="X62" s="10">
        <v>65.260000000000005</v>
      </c>
      <c r="Y62" s="10">
        <v>65.48</v>
      </c>
      <c r="Z62" s="10">
        <v>64.709999999999994</v>
      </c>
      <c r="AA62" s="10">
        <v>64.97</v>
      </c>
      <c r="AB62" s="95">
        <v>3939100</v>
      </c>
      <c r="AC62" s="10">
        <v>64.64</v>
      </c>
      <c r="AD62" s="2">
        <f t="shared" si="0"/>
        <v>0.77000000000001023</v>
      </c>
      <c r="AE62" s="138">
        <f t="shared" si="1"/>
        <v>-1.1318446007953398E-2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33">
        <v>42530</v>
      </c>
      <c r="X63" s="10">
        <v>65.72</v>
      </c>
      <c r="Y63" s="10">
        <v>65.78</v>
      </c>
      <c r="Z63" s="10">
        <v>64.900000000000006</v>
      </c>
      <c r="AA63" s="10">
        <v>65.709999999999994</v>
      </c>
      <c r="AB63" s="95">
        <v>3883800</v>
      </c>
      <c r="AC63" s="10">
        <v>65.38</v>
      </c>
      <c r="AD63" s="2">
        <f t="shared" si="0"/>
        <v>0.87999999999999545</v>
      </c>
      <c r="AE63" s="138">
        <f t="shared" si="1"/>
        <v>-8.3421811011680225E-3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33">
        <v>42529</v>
      </c>
      <c r="X64" s="10">
        <v>65.94</v>
      </c>
      <c r="Y64" s="10">
        <v>66.58</v>
      </c>
      <c r="Z64" s="10">
        <v>65.94</v>
      </c>
      <c r="AA64" s="10">
        <v>66.260000000000005</v>
      </c>
      <c r="AB64" s="95">
        <v>2601100</v>
      </c>
      <c r="AC64" s="10">
        <v>65.930000000000007</v>
      </c>
      <c r="AD64" s="2">
        <f t="shared" si="0"/>
        <v>0.64000000000000057</v>
      </c>
      <c r="AE64" s="138">
        <f t="shared" si="1"/>
        <v>5.6436851738865812E-3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5"/>
      <c r="J65" s="385"/>
      <c r="K65" s="385"/>
      <c r="L65" s="384"/>
      <c r="M65" s="384"/>
      <c r="W65" s="133">
        <v>42528</v>
      </c>
      <c r="X65" s="10">
        <v>66.150000000000006</v>
      </c>
      <c r="Y65" s="10">
        <v>66.599999999999994</v>
      </c>
      <c r="Z65" s="10">
        <v>65.88</v>
      </c>
      <c r="AA65" s="10">
        <v>65.89</v>
      </c>
      <c r="AB65" s="95">
        <v>3779500</v>
      </c>
      <c r="AC65" s="10">
        <v>65.56</v>
      </c>
      <c r="AD65" s="2">
        <f t="shared" si="0"/>
        <v>0.71999999999999886</v>
      </c>
      <c r="AE65" s="138">
        <f t="shared" si="1"/>
        <v>-7.6207895137936355E-4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42527</v>
      </c>
      <c r="X66" s="10">
        <v>65.55</v>
      </c>
      <c r="Y66" s="10">
        <v>66.2</v>
      </c>
      <c r="Z66" s="10">
        <v>65.5</v>
      </c>
      <c r="AA66" s="10">
        <v>65.94</v>
      </c>
      <c r="AB66" s="95">
        <v>3915200</v>
      </c>
      <c r="AC66" s="10">
        <v>65.61</v>
      </c>
      <c r="AD66" s="2">
        <f t="shared" si="0"/>
        <v>0.70000000000000284</v>
      </c>
      <c r="AE66" s="138">
        <f t="shared" si="1"/>
        <v>6.906077348066253E-3</v>
      </c>
    </row>
    <row r="67" spans="1:31" ht="15.75" thickBot="1" x14ac:dyDescent="0.3">
      <c r="A67" s="495" t="s">
        <v>204</v>
      </c>
      <c r="B67" s="496"/>
      <c r="C67" s="497">
        <f>SumByColor($A$19,C50:C65)</f>
        <v>0</v>
      </c>
      <c r="D67" s="497"/>
      <c r="E67" s="497"/>
      <c r="F67" s="498">
        <f>SumByColor($A$19,F50:F65)</f>
        <v>0</v>
      </c>
      <c r="G67" s="497"/>
      <c r="H67" s="497">
        <f>SumByColor($A$19,H50:H65)</f>
        <v>0</v>
      </c>
      <c r="I67" s="497"/>
      <c r="J67" s="497"/>
      <c r="K67" s="498">
        <f>SumByColor($A$19,K50:K65)</f>
        <v>0</v>
      </c>
      <c r="L67" s="497"/>
      <c r="M67" s="498">
        <f t="shared" ref="M67" si="37">SumByColor($A$19,M50:M65)</f>
        <v>0</v>
      </c>
      <c r="W67" s="133">
        <v>42524</v>
      </c>
      <c r="X67" s="10">
        <v>65.53</v>
      </c>
      <c r="Y67" s="10">
        <v>65.819999999999993</v>
      </c>
      <c r="Z67" s="10">
        <v>64.77</v>
      </c>
      <c r="AA67" s="10">
        <v>65.489999999999995</v>
      </c>
      <c r="AB67" s="95">
        <v>4352000</v>
      </c>
      <c r="AC67" s="10">
        <v>65.16</v>
      </c>
      <c r="AD67" s="2">
        <f>Y67-Z67</f>
        <v>1.0499999999999972</v>
      </c>
      <c r="AE67" s="138" t="e">
        <f>AC67/#REF!-1</f>
        <v>#REF!</v>
      </c>
    </row>
    <row r="68" spans="1:31" x14ac:dyDescent="0.25">
      <c r="W68" s="133">
        <v>42523</v>
      </c>
      <c r="X68" s="10">
        <v>65.86</v>
      </c>
      <c r="Y68" s="10">
        <v>66.41</v>
      </c>
      <c r="Z68" s="10">
        <v>65.599999999999994</v>
      </c>
      <c r="AA68" s="10">
        <v>66.41</v>
      </c>
      <c r="AB68" s="95">
        <v>3052200</v>
      </c>
      <c r="AC68" s="10">
        <v>66.08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38 H36:H38">
    <cfRule type="expression" dxfId="650" priority="9">
      <formula>F36&gt;0</formula>
    </cfRule>
    <cfRule type="expression" dxfId="649" priority="10">
      <formula>F36&lt;0</formula>
    </cfRule>
  </conditionalFormatting>
  <conditionalFormatting sqref="F25:F35">
    <cfRule type="expression" dxfId="648" priority="7">
      <formula>F25&gt;0</formula>
    </cfRule>
    <cfRule type="expression" dxfId="647" priority="8">
      <formula>F25&lt;0</formula>
    </cfRule>
  </conditionalFormatting>
  <conditionalFormatting sqref="H25:H35">
    <cfRule type="expression" dxfId="646" priority="5">
      <formula>H25&gt;0</formula>
    </cfRule>
    <cfRule type="expression" dxfId="645" priority="6">
      <formula>H25&lt;0</formula>
    </cfRule>
  </conditionalFormatting>
  <conditionalFormatting sqref="Q7">
    <cfRule type="expression" dxfId="644" priority="3">
      <formula>Q7&gt;0</formula>
    </cfRule>
    <cfRule type="expression" dxfId="643" priority="4">
      <formula>Q7&lt;0</formula>
    </cfRule>
  </conditionalFormatting>
  <conditionalFormatting sqref="Q8">
    <cfRule type="expression" dxfId="642" priority="1">
      <formula>Q8&gt;0</formula>
    </cfRule>
    <cfRule type="expression" dxfId="641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591</v>
      </c>
      <c r="B2" s="529">
        <v>42619</v>
      </c>
      <c r="C2" s="4">
        <v>20</v>
      </c>
      <c r="D2" s="3">
        <v>72.08</v>
      </c>
      <c r="E2" s="3">
        <v>0</v>
      </c>
      <c r="F2" s="3">
        <f>C2*D2+E2</f>
        <v>1441.6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20</v>
      </c>
      <c r="T2" s="1"/>
      <c r="W2" s="133">
        <v>42619</v>
      </c>
      <c r="X2" s="10">
        <v>73.02</v>
      </c>
      <c r="Y2" s="10">
        <v>73.5</v>
      </c>
      <c r="Z2" s="10">
        <v>71.930000000000007</v>
      </c>
      <c r="AA2" s="10">
        <v>72</v>
      </c>
      <c r="AB2" s="95">
        <v>7045700</v>
      </c>
      <c r="AC2" s="10">
        <v>72</v>
      </c>
      <c r="AD2" s="2">
        <f>Y2-Z2</f>
        <v>1.5699999999999932</v>
      </c>
      <c r="AE2" s="138">
        <f>AC2/AC3-1</f>
        <v>-1.8003273322422131E-2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72.08</v>
      </c>
      <c r="T3" s="1"/>
      <c r="W3" s="133">
        <v>42615</v>
      </c>
      <c r="X3" s="10">
        <v>73.81</v>
      </c>
      <c r="Y3" s="10">
        <v>74.349999999999994</v>
      </c>
      <c r="Z3" s="10">
        <v>72.87</v>
      </c>
      <c r="AA3" s="10">
        <v>73.319999999999993</v>
      </c>
      <c r="AB3" s="95">
        <v>4285000</v>
      </c>
      <c r="AC3" s="10">
        <v>73.319999999999993</v>
      </c>
      <c r="AD3" s="2">
        <f t="shared" ref="AD3:AD66" si="0">Y3-Z3</f>
        <v>1.4799999999999898</v>
      </c>
      <c r="AE3" s="138">
        <f t="shared" ref="AE3:AE66" si="1">AC3/AC4-1</f>
        <v>-6.2347519653023209E-3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72</v>
      </c>
      <c r="T4" s="163"/>
      <c r="U4" s="1"/>
      <c r="W4" s="133">
        <v>42614</v>
      </c>
      <c r="X4" s="10">
        <v>73.89</v>
      </c>
      <c r="Y4" s="10">
        <v>74.39</v>
      </c>
      <c r="Z4" s="10">
        <v>73.069999999999993</v>
      </c>
      <c r="AA4" s="10">
        <v>73.78</v>
      </c>
      <c r="AB4" s="95">
        <v>5608000</v>
      </c>
      <c r="AC4" s="10">
        <v>73.78</v>
      </c>
      <c r="AD4" s="2">
        <f t="shared" si="0"/>
        <v>1.3200000000000074</v>
      </c>
      <c r="AE4" s="138">
        <f t="shared" si="1"/>
        <v>5.0401852608636943E-3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1440</v>
      </c>
      <c r="W5" s="133">
        <v>42613</v>
      </c>
      <c r="X5" s="10">
        <v>75.17</v>
      </c>
      <c r="Y5" s="10">
        <v>75.25</v>
      </c>
      <c r="Z5" s="10">
        <v>73.19</v>
      </c>
      <c r="AA5" s="10">
        <v>73.41</v>
      </c>
      <c r="AB5" s="95">
        <v>9670000</v>
      </c>
      <c r="AC5" s="10">
        <v>73.41</v>
      </c>
      <c r="AD5" s="2">
        <f t="shared" si="0"/>
        <v>2.0600000000000023</v>
      </c>
      <c r="AE5" s="138">
        <f t="shared" si="1"/>
        <v>-2.9610046265697409E-2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1441.6</v>
      </c>
      <c r="W6" s="133">
        <v>42612</v>
      </c>
      <c r="X6" s="10">
        <v>77.19</v>
      </c>
      <c r="Y6" s="10">
        <v>77.45</v>
      </c>
      <c r="Z6" s="10">
        <v>75.400000000000006</v>
      </c>
      <c r="AA6" s="10">
        <v>75.650000000000006</v>
      </c>
      <c r="AB6" s="95">
        <v>5509000</v>
      </c>
      <c r="AC6" s="10">
        <v>75.650000000000006</v>
      </c>
      <c r="AD6" s="2">
        <f t="shared" si="0"/>
        <v>2.0499999999999972</v>
      </c>
      <c r="AE6" s="138">
        <f t="shared" si="1"/>
        <v>-2.374499935475527E-2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187</v>
      </c>
      <c r="Q7" s="2">
        <f>Q10+Q8</f>
        <v>-1.5999999999999091</v>
      </c>
      <c r="R7" s="30">
        <v>42650</v>
      </c>
      <c r="W7" s="133">
        <v>42611</v>
      </c>
      <c r="X7" s="10">
        <v>75.78</v>
      </c>
      <c r="Y7" s="10">
        <v>77.790000000000006</v>
      </c>
      <c r="Z7" s="10">
        <v>75.48</v>
      </c>
      <c r="AA7" s="10">
        <v>77.489999999999995</v>
      </c>
      <c r="AB7" s="95">
        <v>8034100</v>
      </c>
      <c r="AC7" s="10">
        <v>77.489999999999995</v>
      </c>
      <c r="AD7" s="2">
        <f t="shared" si="0"/>
        <v>2.3100000000000023</v>
      </c>
      <c r="AE7" s="138">
        <f t="shared" si="1"/>
        <v>2.6357615894039732E-2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-1.5999999999999091</v>
      </c>
      <c r="W8" s="133">
        <v>42608</v>
      </c>
      <c r="X8" s="10">
        <v>75.239999999999995</v>
      </c>
      <c r="Y8" s="10">
        <v>77.36</v>
      </c>
      <c r="Z8" s="10">
        <v>75.2</v>
      </c>
      <c r="AA8" s="10">
        <v>75.5</v>
      </c>
      <c r="AB8" s="95">
        <v>11792200</v>
      </c>
      <c r="AC8" s="10">
        <v>75.5</v>
      </c>
      <c r="AD8" s="2">
        <f t="shared" si="0"/>
        <v>2.1599999999999966</v>
      </c>
      <c r="AE8" s="138">
        <f t="shared" si="1"/>
        <v>-1.4548340166644635E-3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-1.1098779134294597E-3</v>
      </c>
      <c r="W9" s="133">
        <v>42607</v>
      </c>
      <c r="X9" s="10">
        <v>81.59</v>
      </c>
      <c r="Y9" s="10">
        <v>82.28</v>
      </c>
      <c r="Z9" s="10">
        <v>75.13</v>
      </c>
      <c r="AA9" s="10">
        <v>75.61</v>
      </c>
      <c r="AB9" s="95">
        <v>29850400</v>
      </c>
      <c r="AC9" s="10">
        <v>75.61</v>
      </c>
      <c r="AD9" s="2">
        <f t="shared" si="0"/>
        <v>7.1500000000000057</v>
      </c>
      <c r="AE9" s="138">
        <f t="shared" si="1"/>
        <v>-0.1762719250463014</v>
      </c>
    </row>
    <row r="10" spans="1:31" x14ac:dyDescent="0.25">
      <c r="H10" s="72"/>
      <c r="O10" s="11" t="s">
        <v>223</v>
      </c>
      <c r="P10" s="34"/>
      <c r="Q10" s="2">
        <v>0</v>
      </c>
      <c r="W10" s="133">
        <v>42606</v>
      </c>
      <c r="X10" s="10">
        <v>91.6</v>
      </c>
      <c r="Y10" s="10">
        <v>92.01</v>
      </c>
      <c r="Z10" s="10">
        <v>91.4</v>
      </c>
      <c r="AA10" s="10">
        <v>91.79</v>
      </c>
      <c r="AB10" s="95">
        <v>3004900</v>
      </c>
      <c r="AC10" s="10">
        <v>91.79</v>
      </c>
      <c r="AD10" s="2">
        <f t="shared" si="0"/>
        <v>0.60999999999999943</v>
      </c>
      <c r="AE10" s="138">
        <f t="shared" si="1"/>
        <v>3.2790468903707293E-3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1.3599999999999999E-2</v>
      </c>
      <c r="W11" s="133">
        <v>42605</v>
      </c>
      <c r="X11" s="10">
        <v>91.13</v>
      </c>
      <c r="Y11" s="10">
        <v>91.68</v>
      </c>
      <c r="Z11" s="10">
        <v>90.9</v>
      </c>
      <c r="AA11" s="10">
        <v>91.49</v>
      </c>
      <c r="AB11" s="95">
        <v>2038300</v>
      </c>
      <c r="AC11" s="10">
        <v>91.49</v>
      </c>
      <c r="AD11" s="2">
        <f t="shared" si="0"/>
        <v>0.78000000000000114</v>
      </c>
      <c r="AE11" s="138">
        <f t="shared" si="1"/>
        <v>7.5991189427313532E-3</v>
      </c>
    </row>
    <row r="12" spans="1:31" x14ac:dyDescent="0.25">
      <c r="H12" s="72"/>
      <c r="W12" s="133">
        <v>42604</v>
      </c>
      <c r="X12" s="10">
        <v>91.12</v>
      </c>
      <c r="Y12" s="10">
        <v>91.38</v>
      </c>
      <c r="Z12" s="10">
        <v>90.24</v>
      </c>
      <c r="AA12" s="10">
        <v>90.8</v>
      </c>
      <c r="AB12" s="95">
        <v>2580800</v>
      </c>
      <c r="AC12" s="10">
        <v>90.8</v>
      </c>
      <c r="AD12" s="2">
        <f t="shared" si="0"/>
        <v>1.1400000000000006</v>
      </c>
      <c r="AE12" s="138">
        <f t="shared" si="1"/>
        <v>-5.5035773252609665E-4</v>
      </c>
    </row>
    <row r="13" spans="1:31" x14ac:dyDescent="0.25">
      <c r="H13" s="72"/>
      <c r="W13" s="133">
        <v>42601</v>
      </c>
      <c r="X13" s="10">
        <v>91.6</v>
      </c>
      <c r="Y13" s="10">
        <v>91.87</v>
      </c>
      <c r="Z13" s="10">
        <v>90.42</v>
      </c>
      <c r="AA13" s="10">
        <v>90.85</v>
      </c>
      <c r="AB13" s="95">
        <v>2073500</v>
      </c>
      <c r="AC13" s="10">
        <v>90.85</v>
      </c>
      <c r="AD13" s="2">
        <f t="shared" si="0"/>
        <v>1.4500000000000028</v>
      </c>
      <c r="AE13" s="138">
        <f t="shared" si="1"/>
        <v>-9.1613043952448736E-3</v>
      </c>
    </row>
    <row r="14" spans="1:31" x14ac:dyDescent="0.25">
      <c r="H14" s="72"/>
      <c r="W14" s="133">
        <v>42600</v>
      </c>
      <c r="X14" s="10">
        <v>91.25</v>
      </c>
      <c r="Y14" s="10">
        <v>92.04</v>
      </c>
      <c r="Z14" s="10">
        <v>90.63</v>
      </c>
      <c r="AA14" s="10">
        <v>91.69</v>
      </c>
      <c r="AB14" s="95">
        <v>2397200</v>
      </c>
      <c r="AC14" s="10">
        <v>91.69</v>
      </c>
      <c r="AD14" s="2">
        <f t="shared" si="0"/>
        <v>1.4100000000000108</v>
      </c>
      <c r="AE14" s="138">
        <f t="shared" si="1"/>
        <v>8.4689837219533715E-3</v>
      </c>
    </row>
    <row r="15" spans="1:31" x14ac:dyDescent="0.25">
      <c r="H15" s="72"/>
      <c r="W15" s="133">
        <v>42599</v>
      </c>
      <c r="X15" s="10">
        <v>88.68</v>
      </c>
      <c r="Y15" s="10">
        <v>91.31</v>
      </c>
      <c r="Z15" s="10">
        <v>88.07</v>
      </c>
      <c r="AA15" s="10">
        <v>90.92</v>
      </c>
      <c r="AB15" s="95">
        <v>4556800</v>
      </c>
      <c r="AC15" s="10">
        <v>90.92</v>
      </c>
      <c r="AD15" s="2">
        <f t="shared" si="0"/>
        <v>3.2400000000000091</v>
      </c>
      <c r="AE15" s="138">
        <f t="shared" si="1"/>
        <v>1.5979439043468657E-2</v>
      </c>
    </row>
    <row r="16" spans="1:31" x14ac:dyDescent="0.25">
      <c r="H16" s="72"/>
      <c r="W16" s="133">
        <v>42598</v>
      </c>
      <c r="X16" s="10">
        <v>91.76</v>
      </c>
      <c r="Y16" s="10">
        <v>92.1</v>
      </c>
      <c r="Z16" s="10">
        <v>89.06</v>
      </c>
      <c r="AA16" s="10">
        <v>89.49</v>
      </c>
      <c r="AB16" s="95">
        <v>4371500</v>
      </c>
      <c r="AC16" s="10">
        <v>89.49</v>
      </c>
      <c r="AD16" s="2">
        <f t="shared" si="0"/>
        <v>3.039999999999992</v>
      </c>
      <c r="AE16" s="138">
        <f t="shared" si="1"/>
        <v>-2.8655161185281663E-2</v>
      </c>
    </row>
    <row r="17" spans="1:31" x14ac:dyDescent="0.25">
      <c r="W17" s="133">
        <v>42597</v>
      </c>
      <c r="X17" s="10">
        <v>92.2</v>
      </c>
      <c r="Y17" s="10">
        <v>92.65</v>
      </c>
      <c r="Z17" s="10">
        <v>91.75</v>
      </c>
      <c r="AA17" s="10">
        <v>92.13</v>
      </c>
      <c r="AB17" s="95">
        <v>2455200</v>
      </c>
      <c r="AC17" s="10">
        <v>92.13</v>
      </c>
      <c r="AD17" s="2">
        <f t="shared" si="0"/>
        <v>0.90000000000000568</v>
      </c>
      <c r="AE17" s="138">
        <f t="shared" si="1"/>
        <v>-8.3952211817888145E-3</v>
      </c>
    </row>
    <row r="18" spans="1:31" x14ac:dyDescent="0.25">
      <c r="A18" s="32" t="s">
        <v>81</v>
      </c>
      <c r="B18" s="14"/>
      <c r="C18" s="14">
        <f>SUM(C2:C6)</f>
        <v>20</v>
      </c>
      <c r="D18" s="18"/>
      <c r="E18" s="18"/>
      <c r="F18" s="18">
        <f>SUM(F2:F6)</f>
        <v>1441.6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42594</v>
      </c>
      <c r="X18" s="10">
        <v>92.69</v>
      </c>
      <c r="Y18" s="10">
        <v>93.11</v>
      </c>
      <c r="Z18" s="10">
        <v>92.31</v>
      </c>
      <c r="AA18" s="10">
        <v>92.91</v>
      </c>
      <c r="AB18" s="95">
        <v>1629000</v>
      </c>
      <c r="AC18" s="10">
        <v>92.91</v>
      </c>
      <c r="AD18" s="2">
        <f t="shared" si="0"/>
        <v>0.79999999999999716</v>
      </c>
      <c r="AE18" s="138">
        <f t="shared" si="1"/>
        <v>2.049180327868827E-3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42593</v>
      </c>
      <c r="X19" s="10">
        <v>94.08</v>
      </c>
      <c r="Y19" s="10">
        <v>94.75</v>
      </c>
      <c r="Z19" s="10">
        <v>92.26</v>
      </c>
      <c r="AA19" s="10">
        <v>92.72</v>
      </c>
      <c r="AB19" s="95">
        <v>2463200</v>
      </c>
      <c r="AC19" s="10">
        <v>92.72</v>
      </c>
      <c r="AD19" s="2">
        <f t="shared" si="0"/>
        <v>2.4899999999999949</v>
      </c>
      <c r="AE19" s="138">
        <f t="shared" si="1"/>
        <v>-3.2251128789507755E-3</v>
      </c>
    </row>
    <row r="20" spans="1:31" x14ac:dyDescent="0.25">
      <c r="W20" s="133">
        <v>42592</v>
      </c>
      <c r="X20" s="10">
        <v>92.44</v>
      </c>
      <c r="Y20" s="10">
        <v>93.49</v>
      </c>
      <c r="Z20" s="10">
        <v>92.28</v>
      </c>
      <c r="AA20" s="10">
        <v>93.02</v>
      </c>
      <c r="AB20" s="95">
        <v>2533800</v>
      </c>
      <c r="AC20" s="10">
        <v>93.02</v>
      </c>
      <c r="AD20" s="2">
        <f t="shared" si="0"/>
        <v>1.2099999999999937</v>
      </c>
      <c r="AE20" s="138">
        <f t="shared" si="1"/>
        <v>1.0647544545849597E-2</v>
      </c>
    </row>
    <row r="21" spans="1:31" x14ac:dyDescent="0.25">
      <c r="W21" s="133">
        <v>42591</v>
      </c>
      <c r="X21" s="10">
        <v>92.76</v>
      </c>
      <c r="Y21" s="10">
        <v>92.76</v>
      </c>
      <c r="Z21" s="10">
        <v>91.83</v>
      </c>
      <c r="AA21" s="10">
        <v>92.04</v>
      </c>
      <c r="AB21" s="95">
        <v>2296800</v>
      </c>
      <c r="AC21" s="10">
        <v>92.04</v>
      </c>
      <c r="AD21" s="2">
        <f t="shared" si="0"/>
        <v>0.93000000000000682</v>
      </c>
      <c r="AE21" s="138">
        <f t="shared" si="1"/>
        <v>-1.0216152274437951E-2</v>
      </c>
    </row>
    <row r="22" spans="1:31" x14ac:dyDescent="0.25">
      <c r="W22" s="133">
        <v>42590</v>
      </c>
      <c r="X22" s="10">
        <v>94.32</v>
      </c>
      <c r="Y22" s="10">
        <v>94.32</v>
      </c>
      <c r="Z22" s="10">
        <v>92.78</v>
      </c>
      <c r="AA22" s="10">
        <v>92.99</v>
      </c>
      <c r="AB22" s="95">
        <v>1311100</v>
      </c>
      <c r="AC22" s="10">
        <v>92.99</v>
      </c>
      <c r="AD22" s="2">
        <f t="shared" si="0"/>
        <v>1.539999999999992</v>
      </c>
      <c r="AE22" s="138">
        <f t="shared" si="1"/>
        <v>-1.4623291300201458E-2</v>
      </c>
    </row>
    <row r="23" spans="1:31" x14ac:dyDescent="0.25">
      <c r="W23" s="133">
        <v>42587</v>
      </c>
      <c r="X23" s="10">
        <v>93.41</v>
      </c>
      <c r="Y23" s="10">
        <v>94.62</v>
      </c>
      <c r="Z23" s="10">
        <v>93.28</v>
      </c>
      <c r="AA23" s="10">
        <v>94.37</v>
      </c>
      <c r="AB23" s="95">
        <v>1551100</v>
      </c>
      <c r="AC23" s="10">
        <v>94.37</v>
      </c>
      <c r="AD23" s="2">
        <f t="shared" si="0"/>
        <v>1.3400000000000034</v>
      </c>
      <c r="AE23" s="138">
        <f t="shared" si="1"/>
        <v>1.3423539518900407E-2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42586</v>
      </c>
      <c r="X24" s="10">
        <v>93.85</v>
      </c>
      <c r="Y24" s="10">
        <v>94.23</v>
      </c>
      <c r="Z24" s="10">
        <v>92.9</v>
      </c>
      <c r="AA24" s="10">
        <v>93.12</v>
      </c>
      <c r="AB24" s="95">
        <v>1409300</v>
      </c>
      <c r="AC24" s="10">
        <v>93.12</v>
      </c>
      <c r="AD24" s="2">
        <f t="shared" si="0"/>
        <v>1.3299999999999983</v>
      </c>
      <c r="AE24" s="138">
        <f t="shared" si="1"/>
        <v>-6.9318545376985119E-3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:F58" si="3">C25*(E25-D25)</f>
        <v>-1.5999999999999659</v>
      </c>
      <c r="G25" s="40">
        <f t="shared" ref="G25:G58" si="4">D25*C25</f>
        <v>1441.6</v>
      </c>
      <c r="H25" s="231">
        <f t="shared" ref="H25:H58" si="5">(E25-D25)/D25</f>
        <v>-1.1098779134294991E-3</v>
      </c>
      <c r="I25" s="40"/>
      <c r="W25" s="133">
        <v>42585</v>
      </c>
      <c r="X25" s="10">
        <v>92.58</v>
      </c>
      <c r="Y25" s="10">
        <v>93.95</v>
      </c>
      <c r="Z25" s="10">
        <v>92.13</v>
      </c>
      <c r="AA25" s="10">
        <v>93.77</v>
      </c>
      <c r="AB25" s="95">
        <v>1570700</v>
      </c>
      <c r="AC25" s="10">
        <v>93.77</v>
      </c>
      <c r="AD25" s="2">
        <f t="shared" si="0"/>
        <v>1.8200000000000074</v>
      </c>
      <c r="AE25" s="138">
        <f t="shared" si="1"/>
        <v>6.5478746243021746E-3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42584</v>
      </c>
      <c r="X26" s="10">
        <v>93.98</v>
      </c>
      <c r="Y26" s="10">
        <v>94.24</v>
      </c>
      <c r="Z26" s="10">
        <v>92.82</v>
      </c>
      <c r="AA26" s="10">
        <v>93.16</v>
      </c>
      <c r="AB26" s="95">
        <v>2008500</v>
      </c>
      <c r="AC26" s="10">
        <v>93.16</v>
      </c>
      <c r="AD26" s="2">
        <f t="shared" si="0"/>
        <v>1.4200000000000017</v>
      </c>
      <c r="AE26" s="138">
        <f t="shared" si="1"/>
        <v>-9.5683606208804006E-3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33">
        <v>42583</v>
      </c>
      <c r="X27" s="10">
        <v>93.85</v>
      </c>
      <c r="Y27" s="10">
        <v>94.55</v>
      </c>
      <c r="Z27" s="10">
        <v>93.44</v>
      </c>
      <c r="AA27" s="10">
        <v>94.06</v>
      </c>
      <c r="AB27" s="95">
        <v>2083000</v>
      </c>
      <c r="AC27" s="10">
        <v>94.06</v>
      </c>
      <c r="AD27" s="2">
        <f t="shared" si="0"/>
        <v>1.1099999999999994</v>
      </c>
      <c r="AE27" s="138">
        <f t="shared" si="1"/>
        <v>-7.1775385264934988E-3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42580</v>
      </c>
      <c r="X28" s="10">
        <v>95.11</v>
      </c>
      <c r="Y28" s="10">
        <v>95.34</v>
      </c>
      <c r="Z28" s="10">
        <v>94.46</v>
      </c>
      <c r="AA28" s="10">
        <v>94.74</v>
      </c>
      <c r="AB28" s="95">
        <v>1684500</v>
      </c>
      <c r="AC28" s="10">
        <v>94.74</v>
      </c>
      <c r="AD28" s="2">
        <f t="shared" si="0"/>
        <v>0.88000000000000966</v>
      </c>
      <c r="AE28" s="138">
        <f t="shared" si="1"/>
        <v>-3.4711265383401413E-3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42579</v>
      </c>
      <c r="X29" s="10">
        <v>94.82</v>
      </c>
      <c r="Y29" s="10">
        <v>95.32</v>
      </c>
      <c r="Z29" s="10">
        <v>94.02</v>
      </c>
      <c r="AA29" s="10">
        <v>95.07</v>
      </c>
      <c r="AB29" s="95">
        <v>1869000</v>
      </c>
      <c r="AC29" s="10">
        <v>95.07</v>
      </c>
      <c r="AD29" s="2">
        <f t="shared" si="0"/>
        <v>1.2999999999999972</v>
      </c>
      <c r="AE29" s="138">
        <f t="shared" si="1"/>
        <v>0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42578</v>
      </c>
      <c r="X30" s="10">
        <v>96.72</v>
      </c>
      <c r="Y30" s="10">
        <v>96.88</v>
      </c>
      <c r="Z30" s="10">
        <v>95.02</v>
      </c>
      <c r="AA30" s="10">
        <v>95.07</v>
      </c>
      <c r="AB30" s="95">
        <v>3577900</v>
      </c>
      <c r="AC30" s="10">
        <v>95.07</v>
      </c>
      <c r="AD30" s="2">
        <f t="shared" si="0"/>
        <v>1.8599999999999994</v>
      </c>
      <c r="AE30" s="138">
        <f t="shared" si="1"/>
        <v>-1.6957915417226799E-2</v>
      </c>
    </row>
    <row r="31" spans="1:31" x14ac:dyDescent="0.25">
      <c r="B31" s="74"/>
      <c r="C31" s="4"/>
      <c r="D31" s="3"/>
      <c r="E31" s="3"/>
      <c r="F31" s="3"/>
      <c r="G31" s="3"/>
      <c r="H31" s="280"/>
      <c r="I31" s="3"/>
      <c r="W31" s="133">
        <v>42577</v>
      </c>
      <c r="X31" s="10">
        <v>96.14</v>
      </c>
      <c r="Y31" s="10">
        <v>96.75</v>
      </c>
      <c r="Z31" s="10">
        <v>96.04</v>
      </c>
      <c r="AA31" s="10">
        <v>96.71</v>
      </c>
      <c r="AB31" s="95">
        <v>3263000</v>
      </c>
      <c r="AC31" s="10">
        <v>96.71</v>
      </c>
      <c r="AD31" s="2">
        <f t="shared" si="0"/>
        <v>0.70999999999999375</v>
      </c>
      <c r="AE31" s="138">
        <f t="shared" si="1"/>
        <v>7.6057511981661996E-3</v>
      </c>
    </row>
    <row r="32" spans="1:31" x14ac:dyDescent="0.25">
      <c r="B32" s="74"/>
      <c r="C32" s="4"/>
      <c r="D32" s="3"/>
      <c r="E32" s="3"/>
      <c r="F32" s="3"/>
      <c r="G32" s="3"/>
      <c r="H32" s="280"/>
      <c r="I32" s="3"/>
      <c r="W32" s="133">
        <v>42576</v>
      </c>
      <c r="X32" s="10">
        <v>95.32</v>
      </c>
      <c r="Y32" s="10">
        <v>96.25</v>
      </c>
      <c r="Z32" s="10">
        <v>95</v>
      </c>
      <c r="AA32" s="10">
        <v>95.98</v>
      </c>
      <c r="AB32" s="95">
        <v>2505000</v>
      </c>
      <c r="AC32" s="10">
        <v>95.98</v>
      </c>
      <c r="AD32" s="2">
        <f t="shared" si="0"/>
        <v>1.25</v>
      </c>
      <c r="AE32" s="138">
        <f t="shared" si="1"/>
        <v>8.7230688386756849E-3</v>
      </c>
    </row>
    <row r="33" spans="2:31" x14ac:dyDescent="0.25">
      <c r="B33" s="74"/>
      <c r="C33" s="4"/>
      <c r="D33" s="3"/>
      <c r="E33" s="3"/>
      <c r="F33" s="3"/>
      <c r="G33" s="3"/>
      <c r="H33" s="280"/>
      <c r="I33" s="278"/>
      <c r="W33" s="133">
        <v>42573</v>
      </c>
      <c r="X33" s="10">
        <v>93.99</v>
      </c>
      <c r="Y33" s="10">
        <v>95.25</v>
      </c>
      <c r="Z33" s="10">
        <v>93.99</v>
      </c>
      <c r="AA33" s="10">
        <v>95.15</v>
      </c>
      <c r="AB33" s="95">
        <v>1498500</v>
      </c>
      <c r="AC33" s="10">
        <v>95.15</v>
      </c>
      <c r="AD33" s="2">
        <f t="shared" si="0"/>
        <v>1.2600000000000051</v>
      </c>
      <c r="AE33" s="138">
        <f t="shared" si="1"/>
        <v>1.1803487877498853E-2</v>
      </c>
    </row>
    <row r="34" spans="2:31" x14ac:dyDescent="0.25">
      <c r="B34" s="74"/>
      <c r="C34" s="4"/>
      <c r="D34" s="3"/>
      <c r="E34" s="3"/>
      <c r="F34" s="3"/>
      <c r="G34" s="3"/>
      <c r="H34" s="280"/>
      <c r="I34" s="3"/>
      <c r="W34" s="133">
        <v>42572</v>
      </c>
      <c r="X34" s="10">
        <v>93.68</v>
      </c>
      <c r="Y34" s="10">
        <v>94.14</v>
      </c>
      <c r="Z34" s="10">
        <v>93.29</v>
      </c>
      <c r="AA34" s="10">
        <v>94.04</v>
      </c>
      <c r="AB34" s="95">
        <v>2317400</v>
      </c>
      <c r="AC34" s="10">
        <v>94.04</v>
      </c>
      <c r="AD34" s="2">
        <f t="shared" si="0"/>
        <v>0.84999999999999432</v>
      </c>
      <c r="AE34" s="138">
        <f t="shared" si="1"/>
        <v>2.3449157962056599E-3</v>
      </c>
    </row>
    <row r="35" spans="2:31" x14ac:dyDescent="0.25">
      <c r="B35" s="74"/>
      <c r="C35" s="4"/>
      <c r="D35" s="3"/>
      <c r="E35" s="3"/>
      <c r="F35" s="3"/>
      <c r="G35" s="3"/>
      <c r="H35" s="280"/>
      <c r="I35" s="3"/>
      <c r="W35" s="133">
        <v>42571</v>
      </c>
      <c r="X35" s="10">
        <v>93.5</v>
      </c>
      <c r="Y35" s="10">
        <v>93.99</v>
      </c>
      <c r="Z35" s="10">
        <v>93.22</v>
      </c>
      <c r="AA35" s="10">
        <v>93.82</v>
      </c>
      <c r="AB35" s="95">
        <v>1684700</v>
      </c>
      <c r="AC35" s="10">
        <v>93.82</v>
      </c>
      <c r="AD35" s="2">
        <f t="shared" si="0"/>
        <v>0.76999999999999602</v>
      </c>
      <c r="AE35" s="138">
        <f t="shared" si="1"/>
        <v>7.192699946322989E-3</v>
      </c>
    </row>
    <row r="36" spans="2:31" x14ac:dyDescent="0.25">
      <c r="B36" s="74"/>
      <c r="C36" s="4"/>
      <c r="D36" s="3"/>
      <c r="E36" s="3"/>
      <c r="F36" s="3"/>
      <c r="G36" s="3"/>
      <c r="H36" s="280"/>
      <c r="I36" s="3"/>
      <c r="W36" s="133">
        <v>42570</v>
      </c>
      <c r="X36" s="10">
        <v>93.03</v>
      </c>
      <c r="Y36" s="10">
        <v>93.83</v>
      </c>
      <c r="Z36" s="10">
        <v>93</v>
      </c>
      <c r="AA36" s="10">
        <v>93.15</v>
      </c>
      <c r="AB36" s="95">
        <v>2097200</v>
      </c>
      <c r="AC36" s="10">
        <v>93.15</v>
      </c>
      <c r="AD36" s="2">
        <f t="shared" si="0"/>
        <v>0.82999999999999829</v>
      </c>
      <c r="AE36" s="138">
        <f t="shared" si="1"/>
        <v>3.5552682611508235E-3</v>
      </c>
    </row>
    <row r="37" spans="2:31" x14ac:dyDescent="0.25">
      <c r="B37" s="74"/>
      <c r="C37" s="4"/>
      <c r="D37" s="3"/>
      <c r="E37" s="3"/>
      <c r="F37" s="3"/>
      <c r="G37" s="3"/>
      <c r="H37" s="280"/>
      <c r="I37" s="3"/>
      <c r="W37" s="133">
        <v>42569</v>
      </c>
      <c r="X37" s="10">
        <v>92.19</v>
      </c>
      <c r="Y37" s="10">
        <v>93.57</v>
      </c>
      <c r="Z37" s="10">
        <v>92.1</v>
      </c>
      <c r="AA37" s="10">
        <v>92.82</v>
      </c>
      <c r="AB37" s="95">
        <v>2370100</v>
      </c>
      <c r="AC37" s="10">
        <v>92.82</v>
      </c>
      <c r="AD37" s="2">
        <f t="shared" si="0"/>
        <v>1.4699999999999989</v>
      </c>
      <c r="AE37" s="138">
        <f t="shared" si="1"/>
        <v>1.2103369316323276E-2</v>
      </c>
    </row>
    <row r="38" spans="2:31" x14ac:dyDescent="0.25">
      <c r="B38" s="74"/>
      <c r="C38" s="4"/>
      <c r="D38" s="3"/>
      <c r="E38" s="3"/>
      <c r="F38" s="3"/>
      <c r="G38" s="3"/>
      <c r="H38" s="280"/>
      <c r="I38" s="3"/>
      <c r="W38" s="133">
        <v>42566</v>
      </c>
      <c r="X38" s="10">
        <v>92.9</v>
      </c>
      <c r="Y38" s="10">
        <v>92.9</v>
      </c>
      <c r="Z38" s="10">
        <v>91.65</v>
      </c>
      <c r="AA38" s="10">
        <v>91.71</v>
      </c>
      <c r="AB38" s="95">
        <v>1909700</v>
      </c>
      <c r="AC38" s="10">
        <v>91.71</v>
      </c>
      <c r="AD38" s="2">
        <f t="shared" si="0"/>
        <v>1.25</v>
      </c>
      <c r="AE38" s="138">
        <f t="shared" si="1"/>
        <v>-9.9319874770592564E-3</v>
      </c>
    </row>
    <row r="39" spans="2:31" x14ac:dyDescent="0.25">
      <c r="B39" s="74"/>
      <c r="C39" s="4"/>
      <c r="D39" s="3"/>
      <c r="E39" s="3"/>
      <c r="F39" s="3"/>
      <c r="G39" s="3"/>
      <c r="H39" s="280"/>
      <c r="I39" s="3"/>
      <c r="W39" s="133">
        <v>42565</v>
      </c>
      <c r="X39" s="10">
        <v>93.35</v>
      </c>
      <c r="Y39" s="10">
        <v>93.35</v>
      </c>
      <c r="Z39" s="10">
        <v>92.41</v>
      </c>
      <c r="AA39" s="10">
        <v>92.63</v>
      </c>
      <c r="AB39" s="95">
        <v>1570900</v>
      </c>
      <c r="AC39" s="10">
        <v>92.63</v>
      </c>
      <c r="AD39" s="2">
        <f t="shared" si="0"/>
        <v>0.93999999999999773</v>
      </c>
      <c r="AE39" s="138">
        <f t="shared" si="1"/>
        <v>2.1637996321539621E-3</v>
      </c>
    </row>
    <row r="40" spans="2:31" ht="20.25" thickBot="1" x14ac:dyDescent="0.35">
      <c r="B40" s="74"/>
      <c r="C40" s="4"/>
      <c r="D40" s="3"/>
      <c r="E40" s="3"/>
      <c r="F40" s="3"/>
      <c r="G40" s="3"/>
      <c r="H40" s="280"/>
      <c r="I40" s="3"/>
      <c r="O40" s="545" t="s">
        <v>78</v>
      </c>
      <c r="P40" s="545"/>
      <c r="W40" s="133">
        <v>42564</v>
      </c>
      <c r="X40" s="10">
        <v>93.05</v>
      </c>
      <c r="Y40" s="10">
        <v>93.45</v>
      </c>
      <c r="Z40" s="10">
        <v>92.21</v>
      </c>
      <c r="AA40" s="10">
        <v>92.43</v>
      </c>
      <c r="AB40" s="95">
        <v>2174900</v>
      </c>
      <c r="AC40" s="10">
        <v>92.43</v>
      </c>
      <c r="AD40" s="2">
        <f t="shared" si="0"/>
        <v>1.2400000000000091</v>
      </c>
      <c r="AE40" s="138">
        <f t="shared" si="1"/>
        <v>-6.5563198624247754E-3</v>
      </c>
    </row>
    <row r="41" spans="2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79.2</v>
      </c>
      <c r="Q41" s="2"/>
      <c r="W41" s="133">
        <v>42563</v>
      </c>
      <c r="X41" s="10">
        <v>94.21</v>
      </c>
      <c r="Y41" s="10">
        <v>94.71</v>
      </c>
      <c r="Z41" s="10">
        <v>92.57</v>
      </c>
      <c r="AA41" s="10">
        <v>93.04</v>
      </c>
      <c r="AB41" s="95">
        <v>3137500</v>
      </c>
      <c r="AC41" s="10">
        <v>93.04</v>
      </c>
      <c r="AD41" s="2">
        <f t="shared" si="0"/>
        <v>2.1400000000000006</v>
      </c>
      <c r="AE41" s="138">
        <f t="shared" si="1"/>
        <v>-1.2733446519524461E-2</v>
      </c>
    </row>
    <row r="42" spans="2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6">O42*$Q$4</f>
        <v>78.48</v>
      </c>
      <c r="Q42" s="2"/>
      <c r="T42" s="91" t="s">
        <v>113</v>
      </c>
      <c r="W42" s="133">
        <v>42562</v>
      </c>
      <c r="X42" s="10">
        <v>94.73</v>
      </c>
      <c r="Y42" s="10">
        <v>94.85</v>
      </c>
      <c r="Z42" s="10">
        <v>94.23</v>
      </c>
      <c r="AA42" s="10">
        <v>94.24</v>
      </c>
      <c r="AB42" s="95">
        <v>2104200</v>
      </c>
      <c r="AC42" s="10">
        <v>94.24</v>
      </c>
      <c r="AD42" s="2">
        <f t="shared" si="0"/>
        <v>0.61999999999999034</v>
      </c>
      <c r="AE42" s="138">
        <f t="shared" si="1"/>
        <v>-8.4817642069545673E-4</v>
      </c>
    </row>
    <row r="43" spans="2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6"/>
        <v>77.760000000000005</v>
      </c>
      <c r="Q43" s="2"/>
      <c r="T43" s="128" t="s">
        <v>98</v>
      </c>
      <c r="U43" s="129">
        <v>73.319999999999993</v>
      </c>
      <c r="W43" s="133">
        <v>42559</v>
      </c>
      <c r="X43" s="10">
        <v>94.14</v>
      </c>
      <c r="Y43" s="10">
        <v>94.48</v>
      </c>
      <c r="Z43" s="10">
        <v>93.67</v>
      </c>
      <c r="AA43" s="10">
        <v>94.32</v>
      </c>
      <c r="AB43" s="95">
        <v>1660500</v>
      </c>
      <c r="AC43" s="10">
        <v>94.32</v>
      </c>
      <c r="AD43" s="2">
        <f t="shared" si="0"/>
        <v>0.81000000000000227</v>
      </c>
      <c r="AE43" s="138">
        <f t="shared" si="1"/>
        <v>5.7581573896352545E-3</v>
      </c>
    </row>
    <row r="44" spans="2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6"/>
        <v>77.040000000000006</v>
      </c>
      <c r="Q44" s="2"/>
      <c r="T44" s="93" t="s">
        <v>99</v>
      </c>
      <c r="U44" s="130">
        <v>73.02</v>
      </c>
      <c r="W44" s="133">
        <v>42558</v>
      </c>
      <c r="X44" s="10">
        <v>94.1</v>
      </c>
      <c r="Y44" s="10">
        <v>94.45</v>
      </c>
      <c r="Z44" s="10">
        <v>93.45</v>
      </c>
      <c r="AA44" s="10">
        <v>93.78</v>
      </c>
      <c r="AB44" s="95">
        <v>1494800</v>
      </c>
      <c r="AC44" s="10">
        <v>93.78</v>
      </c>
      <c r="AD44" s="2">
        <f t="shared" si="0"/>
        <v>1</v>
      </c>
      <c r="AE44" s="138">
        <f t="shared" si="1"/>
        <v>-7.7240503650407577E-3</v>
      </c>
    </row>
    <row r="45" spans="2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6"/>
        <v>76.320000000000007</v>
      </c>
      <c r="Q45" s="2"/>
      <c r="T45" s="93" t="s">
        <v>100</v>
      </c>
      <c r="U45" s="130" t="s">
        <v>593</v>
      </c>
      <c r="W45" s="133">
        <v>42557</v>
      </c>
      <c r="X45" s="10">
        <v>93.67</v>
      </c>
      <c r="Y45" s="10">
        <v>94.68</v>
      </c>
      <c r="Z45" s="10">
        <v>93.67</v>
      </c>
      <c r="AA45" s="10">
        <v>94.51</v>
      </c>
      <c r="AB45" s="95">
        <v>1940800</v>
      </c>
      <c r="AC45" s="10">
        <v>94.51</v>
      </c>
      <c r="AD45" s="2">
        <f t="shared" si="0"/>
        <v>1.0100000000000051</v>
      </c>
      <c r="AE45" s="138">
        <f t="shared" si="1"/>
        <v>9.7222222222224097E-3</v>
      </c>
    </row>
    <row r="46" spans="2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6"/>
        <v>75.600000000000009</v>
      </c>
      <c r="Q46" s="2"/>
      <c r="T46" s="93" t="s">
        <v>101</v>
      </c>
      <c r="U46" s="130" t="s">
        <v>594</v>
      </c>
      <c r="W46" s="133">
        <v>42556</v>
      </c>
      <c r="X46" s="10">
        <v>93.45</v>
      </c>
      <c r="Y46" s="10">
        <v>93.99</v>
      </c>
      <c r="Z46" s="10">
        <v>93.01</v>
      </c>
      <c r="AA46" s="10">
        <v>93.6</v>
      </c>
      <c r="AB46" s="95">
        <v>1801500</v>
      </c>
      <c r="AC46" s="10">
        <v>93.6</v>
      </c>
      <c r="AD46" s="2">
        <f t="shared" si="0"/>
        <v>0.97999999999998977</v>
      </c>
      <c r="AE46" s="138">
        <f t="shared" si="1"/>
        <v>1.2836970474967568E-3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6"/>
        <v>74.88</v>
      </c>
      <c r="Q47" s="2"/>
      <c r="T47" s="93" t="s">
        <v>102</v>
      </c>
      <c r="U47" s="130">
        <v>87.05</v>
      </c>
      <c r="W47" s="133">
        <v>42552</v>
      </c>
      <c r="X47" s="10">
        <v>94.11</v>
      </c>
      <c r="Y47" s="10">
        <v>94.24</v>
      </c>
      <c r="Z47" s="10">
        <v>93.05</v>
      </c>
      <c r="AA47" s="10">
        <v>93.48</v>
      </c>
      <c r="AB47" s="95">
        <v>2192800</v>
      </c>
      <c r="AC47" s="10">
        <v>93.48</v>
      </c>
      <c r="AD47" s="2">
        <f t="shared" si="0"/>
        <v>1.1899999999999977</v>
      </c>
      <c r="AE47" s="138">
        <f t="shared" si="1"/>
        <v>-5.5319148936169293E-3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6"/>
        <v>74.16</v>
      </c>
      <c r="Q48" s="2"/>
      <c r="T48" s="93" t="s">
        <v>103</v>
      </c>
      <c r="U48" s="130">
        <v>0.77093</v>
      </c>
      <c r="W48" s="133">
        <v>42551</v>
      </c>
      <c r="X48" s="10">
        <v>94.08</v>
      </c>
      <c r="Y48" s="10">
        <v>94.16</v>
      </c>
      <c r="Z48" s="10">
        <v>93.25</v>
      </c>
      <c r="AA48" s="10">
        <v>94</v>
      </c>
      <c r="AB48" s="95">
        <v>3181700</v>
      </c>
      <c r="AC48" s="10">
        <v>94</v>
      </c>
      <c r="AD48" s="2">
        <f t="shared" si="0"/>
        <v>0.90999999999999659</v>
      </c>
      <c r="AE48" s="138">
        <f t="shared" si="1"/>
        <v>2.132196162046851E-3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6"/>
        <v>73.44</v>
      </c>
      <c r="Q49" s="2"/>
      <c r="T49" s="93" t="s">
        <v>123</v>
      </c>
      <c r="U49" s="130" t="s">
        <v>595</v>
      </c>
      <c r="W49" s="133">
        <v>42550</v>
      </c>
      <c r="X49" s="10">
        <v>93.33</v>
      </c>
      <c r="Y49" s="10">
        <v>94.05</v>
      </c>
      <c r="Z49" s="10">
        <v>93.05</v>
      </c>
      <c r="AA49" s="10">
        <v>93.8</v>
      </c>
      <c r="AB49" s="95">
        <v>1897300</v>
      </c>
      <c r="AC49" s="10">
        <v>93.8</v>
      </c>
      <c r="AD49" s="2">
        <f t="shared" si="0"/>
        <v>1</v>
      </c>
      <c r="AE49" s="138">
        <f t="shared" si="1"/>
        <v>9.687836383207582E-3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6"/>
        <v>72.72</v>
      </c>
      <c r="Q50" s="2"/>
      <c r="T50" s="93"/>
      <c r="U50" s="130"/>
      <c r="W50" s="133">
        <v>42549</v>
      </c>
      <c r="X50" s="10">
        <v>94</v>
      </c>
      <c r="Y50" s="10">
        <v>94.27</v>
      </c>
      <c r="Z50" s="10">
        <v>91.92</v>
      </c>
      <c r="AA50" s="10">
        <v>92.9</v>
      </c>
      <c r="AB50" s="95">
        <v>2655600</v>
      </c>
      <c r="AC50" s="10">
        <v>92.9</v>
      </c>
      <c r="AD50" s="2">
        <f t="shared" si="0"/>
        <v>2.3499999999999943</v>
      </c>
      <c r="AE50" s="138">
        <f t="shared" si="1"/>
        <v>-6.523366484867954E-3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6"/>
        <v>72</v>
      </c>
      <c r="Q51" s="2"/>
      <c r="T51" s="93" t="s">
        <v>105</v>
      </c>
      <c r="U51" s="130" t="s">
        <v>596</v>
      </c>
      <c r="W51" s="133">
        <v>42548</v>
      </c>
      <c r="X51" s="10">
        <v>91.72</v>
      </c>
      <c r="Y51" s="10">
        <v>93.78</v>
      </c>
      <c r="Z51" s="10">
        <v>91.42</v>
      </c>
      <c r="AA51" s="10">
        <v>93.51</v>
      </c>
      <c r="AB51" s="95">
        <v>4076900</v>
      </c>
      <c r="AC51" s="10">
        <v>93.51</v>
      </c>
      <c r="AD51" s="2">
        <f t="shared" si="0"/>
        <v>2.3599999999999994</v>
      </c>
      <c r="AE51" s="138">
        <f t="shared" si="1"/>
        <v>1.4978834255942708E-2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6"/>
        <v>71.28</v>
      </c>
      <c r="Q52" s="2"/>
      <c r="T52" s="93" t="s">
        <v>106</v>
      </c>
      <c r="U52" s="130" t="s">
        <v>597</v>
      </c>
      <c r="W52" s="133">
        <v>42545</v>
      </c>
      <c r="X52" s="10">
        <v>90.32</v>
      </c>
      <c r="Y52" s="10">
        <v>93.21</v>
      </c>
      <c r="Z52" s="10">
        <v>90.27</v>
      </c>
      <c r="AA52" s="10">
        <v>92.13</v>
      </c>
      <c r="AB52" s="95">
        <v>3011600</v>
      </c>
      <c r="AC52" s="10">
        <v>92.13</v>
      </c>
      <c r="AD52" s="2">
        <f t="shared" si="0"/>
        <v>2.9399999999999977</v>
      </c>
      <c r="AE52" s="138">
        <f t="shared" si="1"/>
        <v>4.9083769633506691E-3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6"/>
        <v>70.56</v>
      </c>
      <c r="Q53" s="2"/>
      <c r="T53" s="93" t="s">
        <v>107</v>
      </c>
      <c r="U53" s="131">
        <v>7066033</v>
      </c>
      <c r="W53" s="133">
        <v>42544</v>
      </c>
      <c r="X53" s="10">
        <v>92.32</v>
      </c>
      <c r="Y53" s="10">
        <v>92.39</v>
      </c>
      <c r="Z53" s="10">
        <v>91.44</v>
      </c>
      <c r="AA53" s="10">
        <v>91.68</v>
      </c>
      <c r="AB53" s="95">
        <v>1789200</v>
      </c>
      <c r="AC53" s="10">
        <v>91.68</v>
      </c>
      <c r="AD53" s="2">
        <f t="shared" si="0"/>
        <v>0.95000000000000284</v>
      </c>
      <c r="AE53" s="138">
        <f t="shared" si="1"/>
        <v>-2.8279312595169692E-3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6"/>
        <v>69.84</v>
      </c>
      <c r="T54" s="93" t="s">
        <v>110</v>
      </c>
      <c r="U54" s="131">
        <v>3283990</v>
      </c>
      <c r="W54" s="133">
        <v>42543</v>
      </c>
      <c r="X54" s="10">
        <v>91.82</v>
      </c>
      <c r="Y54" s="10">
        <v>92.33</v>
      </c>
      <c r="Z54" s="10">
        <v>91.51</v>
      </c>
      <c r="AA54" s="10">
        <v>91.94</v>
      </c>
      <c r="AB54" s="95">
        <v>1620300</v>
      </c>
      <c r="AC54" s="10">
        <v>91.94</v>
      </c>
      <c r="AD54" s="2">
        <f t="shared" si="0"/>
        <v>0.81999999999999318</v>
      </c>
      <c r="AE54" s="138">
        <f t="shared" si="1"/>
        <v>5.2481959326482475E-3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6"/>
        <v>69.12</v>
      </c>
      <c r="T55" s="93" t="s">
        <v>108</v>
      </c>
      <c r="U55" s="130" t="s">
        <v>598</v>
      </c>
      <c r="W55" s="133">
        <v>42542</v>
      </c>
      <c r="X55" s="10">
        <v>91.17</v>
      </c>
      <c r="Y55" s="10">
        <v>92.21</v>
      </c>
      <c r="Z55" s="10">
        <v>91.03</v>
      </c>
      <c r="AA55" s="10">
        <v>91.46</v>
      </c>
      <c r="AB55" s="95">
        <v>2510500</v>
      </c>
      <c r="AC55" s="10">
        <v>91.46</v>
      </c>
      <c r="AD55" s="2">
        <f t="shared" si="0"/>
        <v>1.1799999999999926</v>
      </c>
      <c r="AE55" s="138">
        <f t="shared" si="1"/>
        <v>5.275884809848197E-3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6"/>
        <v>68.399999999999991</v>
      </c>
      <c r="T56" s="93" t="s">
        <v>111</v>
      </c>
      <c r="U56" s="130">
        <v>16.84</v>
      </c>
      <c r="W56" s="133">
        <v>42541</v>
      </c>
      <c r="X56" s="10">
        <v>90.82</v>
      </c>
      <c r="Y56" s="10">
        <v>91.52</v>
      </c>
      <c r="Z56" s="10">
        <v>90.63</v>
      </c>
      <c r="AA56" s="10">
        <v>90.98</v>
      </c>
      <c r="AB56" s="95">
        <v>1902500</v>
      </c>
      <c r="AC56" s="10">
        <v>90.98</v>
      </c>
      <c r="AD56" s="2">
        <f t="shared" si="0"/>
        <v>0.89000000000000057</v>
      </c>
      <c r="AE56" s="138">
        <f t="shared" si="1"/>
        <v>1.0327595780122323E-2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6"/>
        <v>67.679999999999993</v>
      </c>
      <c r="T57" s="93" t="s">
        <v>112</v>
      </c>
      <c r="U57" s="130">
        <v>4.28</v>
      </c>
      <c r="W57" s="133">
        <v>42538</v>
      </c>
      <c r="X57" s="10">
        <v>90.86</v>
      </c>
      <c r="Y57" s="10">
        <v>90.97</v>
      </c>
      <c r="Z57" s="10">
        <v>89.28</v>
      </c>
      <c r="AA57" s="10">
        <v>90.05</v>
      </c>
      <c r="AB57" s="95">
        <v>7068500</v>
      </c>
      <c r="AC57" s="10">
        <v>90.05</v>
      </c>
      <c r="AD57" s="2">
        <f t="shared" si="0"/>
        <v>1.6899999999999977</v>
      </c>
      <c r="AE57" s="138">
        <f t="shared" si="1"/>
        <v>-8.3691223433542961E-3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6"/>
        <v>66.960000000000008</v>
      </c>
      <c r="T58" s="93" t="s">
        <v>109</v>
      </c>
      <c r="U58" s="130" t="s">
        <v>599</v>
      </c>
      <c r="W58" s="133">
        <v>42537</v>
      </c>
      <c r="X58" s="10">
        <v>90.34</v>
      </c>
      <c r="Y58" s="10">
        <v>91</v>
      </c>
      <c r="Z58" s="10">
        <v>90.24</v>
      </c>
      <c r="AA58" s="10">
        <v>90.81</v>
      </c>
      <c r="AB58" s="95">
        <v>2245500</v>
      </c>
      <c r="AC58" s="10">
        <v>90.81</v>
      </c>
      <c r="AD58" s="2">
        <f t="shared" si="0"/>
        <v>0.76000000000000512</v>
      </c>
      <c r="AE58" s="138">
        <f t="shared" si="1"/>
        <v>3.6472148541113469E-3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6"/>
        <v>66.240000000000009</v>
      </c>
      <c r="W59" s="133">
        <v>42536</v>
      </c>
      <c r="X59" s="10">
        <v>90.25</v>
      </c>
      <c r="Y59" s="10">
        <v>91.26</v>
      </c>
      <c r="Z59" s="10">
        <v>90.15</v>
      </c>
      <c r="AA59" s="10">
        <v>90.48</v>
      </c>
      <c r="AB59" s="95">
        <v>2760200</v>
      </c>
      <c r="AC59" s="10">
        <v>90.48</v>
      </c>
      <c r="AD59" s="2">
        <f t="shared" si="0"/>
        <v>1.1099999999999994</v>
      </c>
      <c r="AE59" s="138">
        <f t="shared" si="1"/>
        <v>-1.1039964672112657E-3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6"/>
        <v>65.52</v>
      </c>
      <c r="W60" s="133">
        <v>42535</v>
      </c>
      <c r="X60" s="10">
        <v>90.38</v>
      </c>
      <c r="Y60" s="10">
        <v>90.92</v>
      </c>
      <c r="Z60" s="10">
        <v>90.08</v>
      </c>
      <c r="AA60" s="10">
        <v>90.58</v>
      </c>
      <c r="AB60" s="95">
        <v>1912700</v>
      </c>
      <c r="AC60" s="10">
        <v>90.58</v>
      </c>
      <c r="AD60" s="2">
        <f t="shared" si="0"/>
        <v>0.84000000000000341</v>
      </c>
      <c r="AE60" s="138">
        <f t="shared" si="1"/>
        <v>-1.7632797002423706E-3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6"/>
        <v>64.8</v>
      </c>
      <c r="W61" s="133">
        <v>42534</v>
      </c>
      <c r="X61" s="10">
        <v>91.14</v>
      </c>
      <c r="Y61" s="10">
        <v>91.95</v>
      </c>
      <c r="Z61" s="10">
        <v>90.61</v>
      </c>
      <c r="AA61" s="10">
        <v>90.74</v>
      </c>
      <c r="AB61" s="95">
        <v>2077900</v>
      </c>
      <c r="AC61" s="10">
        <v>90.74</v>
      </c>
      <c r="AD61" s="2">
        <f t="shared" si="0"/>
        <v>1.3400000000000034</v>
      </c>
      <c r="AE61" s="138" t="e">
        <f t="shared" si="1"/>
        <v>#DIV/0!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42534</v>
      </c>
      <c r="X62" s="10" t="s">
        <v>126</v>
      </c>
      <c r="Y62" s="10"/>
      <c r="Z62" s="10"/>
      <c r="AA62" s="10"/>
      <c r="AB62" s="95"/>
      <c r="AC62" s="10"/>
      <c r="AD62" s="2">
        <f t="shared" si="0"/>
        <v>0</v>
      </c>
      <c r="AE62" s="138">
        <f t="shared" si="1"/>
        <v>-1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42531</v>
      </c>
      <c r="X63" s="10">
        <v>91.53</v>
      </c>
      <c r="Y63" s="10">
        <v>91.61</v>
      </c>
      <c r="Z63" s="10">
        <v>90.97</v>
      </c>
      <c r="AA63" s="10">
        <v>91.44</v>
      </c>
      <c r="AB63" s="95">
        <v>2172800</v>
      </c>
      <c r="AC63" s="10">
        <v>91.19</v>
      </c>
      <c r="AD63" s="2">
        <f t="shared" si="0"/>
        <v>0.64000000000000057</v>
      </c>
      <c r="AE63" s="138">
        <f t="shared" si="1"/>
        <v>-2.734033245844314E-3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42530</v>
      </c>
      <c r="X64" s="10">
        <v>90.87</v>
      </c>
      <c r="Y64" s="10">
        <v>91.94</v>
      </c>
      <c r="Z64" s="10">
        <v>90.6</v>
      </c>
      <c r="AA64" s="10">
        <v>91.69</v>
      </c>
      <c r="AB64" s="95">
        <v>2023700</v>
      </c>
      <c r="AC64" s="10">
        <v>91.44</v>
      </c>
      <c r="AD64" s="2">
        <f t="shared" si="0"/>
        <v>1.3400000000000034</v>
      </c>
      <c r="AE64" s="138">
        <f t="shared" si="1"/>
        <v>8.9374379344588917E-3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42529</v>
      </c>
      <c r="X65" s="10">
        <v>90.56</v>
      </c>
      <c r="Y65" s="10">
        <v>91</v>
      </c>
      <c r="Z65" s="10">
        <v>90.08</v>
      </c>
      <c r="AA65" s="10">
        <v>90.88</v>
      </c>
      <c r="AB65" s="95">
        <v>2325400</v>
      </c>
      <c r="AC65" s="10">
        <v>90.63</v>
      </c>
      <c r="AD65" s="2">
        <f t="shared" si="0"/>
        <v>0.92000000000000171</v>
      </c>
      <c r="AE65" s="138">
        <f t="shared" si="1"/>
        <v>3.5433506809876558E-3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42528</v>
      </c>
      <c r="X66" s="10">
        <v>90.85</v>
      </c>
      <c r="Y66" s="10">
        <v>91.31</v>
      </c>
      <c r="Z66" s="10">
        <v>90.37</v>
      </c>
      <c r="AA66" s="10">
        <v>90.56</v>
      </c>
      <c r="AB66" s="95">
        <v>2365300</v>
      </c>
      <c r="AC66" s="10">
        <v>90.31</v>
      </c>
      <c r="AD66" s="2">
        <f t="shared" si="0"/>
        <v>0.93999999999999773</v>
      </c>
      <c r="AE66" s="138">
        <f t="shared" si="1"/>
        <v>-3.4208783932906384E-3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42527</v>
      </c>
      <c r="X67" s="10">
        <v>91.75</v>
      </c>
      <c r="Y67" s="10">
        <v>91.93</v>
      </c>
      <c r="Z67" s="10">
        <v>90.25</v>
      </c>
      <c r="AA67" s="10">
        <v>90.87</v>
      </c>
      <c r="AB67" s="95">
        <v>2639600</v>
      </c>
      <c r="AC67" s="10">
        <v>90.62</v>
      </c>
      <c r="AD67" s="2">
        <f>Y67-Z67</f>
        <v>1.6800000000000068</v>
      </c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42524</v>
      </c>
      <c r="X68" s="10">
        <v>90.45</v>
      </c>
      <c r="Y68" s="10">
        <v>92</v>
      </c>
      <c r="Z68" s="10">
        <v>90.33</v>
      </c>
      <c r="AA68" s="10">
        <v>91.8</v>
      </c>
      <c r="AB68" s="95">
        <v>2032000</v>
      </c>
      <c r="AC68" s="10">
        <v>91.55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3 H33:H63">
    <cfRule type="expression" dxfId="44" priority="9">
      <formula>F33&gt;0</formula>
    </cfRule>
    <cfRule type="expression" dxfId="43" priority="10">
      <formula>F33&lt;0</formula>
    </cfRule>
  </conditionalFormatting>
  <conditionalFormatting sqref="Q7">
    <cfRule type="expression" dxfId="42" priority="7">
      <formula>Q7&gt;0</formula>
    </cfRule>
    <cfRule type="expression" dxfId="41" priority="8">
      <formula>Q7&lt;0</formula>
    </cfRule>
  </conditionalFormatting>
  <conditionalFormatting sqref="Q8">
    <cfRule type="expression" dxfId="40" priority="5">
      <formula>Q8&gt;0</formula>
    </cfRule>
    <cfRule type="expression" dxfId="39" priority="6">
      <formula>Q8&lt;0</formula>
    </cfRule>
  </conditionalFormatting>
  <conditionalFormatting sqref="F25:F32">
    <cfRule type="expression" dxfId="38" priority="3">
      <formula>F25&gt;0</formula>
    </cfRule>
    <cfRule type="expression" dxfId="37" priority="4">
      <formula>F25&lt;0</formula>
    </cfRule>
  </conditionalFormatting>
  <conditionalFormatting sqref="H25:H32">
    <cfRule type="expression" dxfId="36" priority="1">
      <formula>H25&gt;0</formula>
    </cfRule>
    <cfRule type="expression" dxfId="3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23</v>
      </c>
      <c r="B2" s="529">
        <v>42619</v>
      </c>
      <c r="C2" s="4">
        <v>50</v>
      </c>
      <c r="D2" s="3">
        <v>31.18</v>
      </c>
      <c r="E2" s="3">
        <v>0</v>
      </c>
      <c r="F2" s="3">
        <f>D2*C2+E2</f>
        <v>1559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42614</v>
      </c>
      <c r="X2" s="368">
        <v>217.37</v>
      </c>
      <c r="Y2" s="40">
        <v>217.73</v>
      </c>
      <c r="Z2" s="40">
        <v>216.03</v>
      </c>
      <c r="AA2" s="368">
        <v>217.39</v>
      </c>
      <c r="AB2" s="95">
        <v>93859000</v>
      </c>
      <c r="AC2" s="243">
        <v>217.39</v>
      </c>
      <c r="AD2" s="2">
        <f>Y2-Z2</f>
        <v>1.6999999999999886</v>
      </c>
      <c r="AE2" s="138">
        <f>AC2/AC3-1</f>
        <v>4.6002392124266933E-5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31.18</v>
      </c>
      <c r="T3" s="121"/>
      <c r="W3" s="94">
        <v>42613</v>
      </c>
      <c r="X3" s="368">
        <v>217.61</v>
      </c>
      <c r="Y3" s="40">
        <v>217.75</v>
      </c>
      <c r="Z3" s="40">
        <v>216.47</v>
      </c>
      <c r="AA3" s="368">
        <v>217.38</v>
      </c>
      <c r="AB3" s="95">
        <v>85269500</v>
      </c>
      <c r="AC3" s="243">
        <v>217.38</v>
      </c>
      <c r="AD3" s="2">
        <f>Y3-Z3</f>
        <v>1.2800000000000011</v>
      </c>
      <c r="AE3" s="138">
        <f>AC3/AC4-1</f>
        <v>-2.8440366972477538E-3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31.29</v>
      </c>
      <c r="T4" s="121"/>
      <c r="W4" s="94">
        <v>42612</v>
      </c>
      <c r="X4" s="368">
        <v>218.26</v>
      </c>
      <c r="Y4" s="40">
        <v>218.59</v>
      </c>
      <c r="Z4" s="40">
        <v>217.35</v>
      </c>
      <c r="AA4" s="368">
        <v>218</v>
      </c>
      <c r="AB4" s="95">
        <v>58114500</v>
      </c>
      <c r="AC4" s="243">
        <v>218</v>
      </c>
      <c r="AD4" s="2">
        <f t="shared" ref="AD4:AD67" si="0">Y4-Z4</f>
        <v>1.2400000000000091</v>
      </c>
      <c r="AE4" s="138">
        <f t="shared" ref="AE4:AE67" si="1">AC4/AC5-1</f>
        <v>-1.6486535995604568E-3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1564.5</v>
      </c>
      <c r="W5" s="94">
        <v>42611</v>
      </c>
      <c r="X5" s="368">
        <v>217.44</v>
      </c>
      <c r="Y5" s="40">
        <v>218.67</v>
      </c>
      <c r="Z5" s="40">
        <v>217.4</v>
      </c>
      <c r="AA5" s="368">
        <v>218.36</v>
      </c>
      <c r="AB5" s="95">
        <v>70502200</v>
      </c>
      <c r="AC5" s="243">
        <v>218.36</v>
      </c>
      <c r="AD5" s="2">
        <f t="shared" si="0"/>
        <v>1.2699999999999818</v>
      </c>
      <c r="AE5" s="138">
        <f t="shared" si="1"/>
        <v>4.92429472134015E-3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1559</v>
      </c>
      <c r="W6" s="94">
        <v>42608</v>
      </c>
      <c r="X6" s="368">
        <v>217.92</v>
      </c>
      <c r="Y6" s="40">
        <v>219.12</v>
      </c>
      <c r="Z6" s="40">
        <v>216.25</v>
      </c>
      <c r="AA6" s="368">
        <v>217.29</v>
      </c>
      <c r="AB6" s="95">
        <v>122506300</v>
      </c>
      <c r="AC6" s="243">
        <v>217.29</v>
      </c>
      <c r="AD6" s="2">
        <f t="shared" si="0"/>
        <v>2.8700000000000045</v>
      </c>
      <c r="AE6" s="138">
        <f t="shared" si="1"/>
        <v>-1.8833256775379059E-3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187</v>
      </c>
      <c r="P7"/>
      <c r="Q7" s="2">
        <f>Q10+Q8</f>
        <v>5.5</v>
      </c>
      <c r="R7" s="30">
        <v>42650</v>
      </c>
      <c r="T7" s="85"/>
      <c r="W7" s="94">
        <v>42607</v>
      </c>
      <c r="X7" s="368">
        <v>217.4</v>
      </c>
      <c r="Y7" s="40">
        <v>218.19</v>
      </c>
      <c r="Z7" s="40">
        <v>217.22</v>
      </c>
      <c r="AA7" s="368">
        <v>217.7</v>
      </c>
      <c r="AB7" s="95">
        <v>69224800</v>
      </c>
      <c r="AC7" s="243">
        <v>217.7</v>
      </c>
      <c r="AD7" s="2">
        <f t="shared" si="0"/>
        <v>0.96999999999999886</v>
      </c>
      <c r="AE7" s="138">
        <f t="shared" si="1"/>
        <v>-6.8854716548083506E-4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190</v>
      </c>
      <c r="Q8" s="2">
        <f>K18+M18-F18+Q2*Q4</f>
        <v>5.5</v>
      </c>
      <c r="W8" s="94">
        <v>42606</v>
      </c>
      <c r="X8" s="368">
        <v>218.8</v>
      </c>
      <c r="Y8" s="40">
        <v>218.91</v>
      </c>
      <c r="Z8" s="40">
        <v>217.36</v>
      </c>
      <c r="AA8" s="368">
        <v>217.85</v>
      </c>
      <c r="AB8" s="95">
        <v>71728900</v>
      </c>
      <c r="AC8" s="243">
        <v>217.85</v>
      </c>
      <c r="AD8" s="2">
        <f t="shared" si="0"/>
        <v>1.5499999999999829</v>
      </c>
      <c r="AE8" s="138">
        <f t="shared" si="1"/>
        <v>-5.1148559163355367E-3</v>
      </c>
    </row>
    <row r="9" spans="1:40" x14ac:dyDescent="0.25">
      <c r="O9" s="11" t="s">
        <v>224</v>
      </c>
      <c r="P9"/>
      <c r="Q9" s="138">
        <f>IF(Q2=0, 0, Q8/Q6)</f>
        <v>3.5279025016035919E-3</v>
      </c>
      <c r="W9" s="94">
        <v>42605</v>
      </c>
      <c r="X9" s="368">
        <v>219.25</v>
      </c>
      <c r="Y9" s="40">
        <v>219.6</v>
      </c>
      <c r="Z9" s="40">
        <v>218.9</v>
      </c>
      <c r="AA9" s="368">
        <v>218.97</v>
      </c>
      <c r="AB9" s="95">
        <v>53399200</v>
      </c>
      <c r="AC9" s="243">
        <v>218.97</v>
      </c>
      <c r="AD9" s="2">
        <f t="shared" si="0"/>
        <v>0.69999999999998863</v>
      </c>
      <c r="AE9" s="138">
        <f t="shared" si="1"/>
        <v>2.0134535304077161E-3</v>
      </c>
      <c r="AK9" s="234"/>
      <c r="AN9" s="234"/>
    </row>
    <row r="10" spans="1:40" ht="12.75" customHeight="1" x14ac:dyDescent="0.25">
      <c r="O10" s="11" t="s">
        <v>223</v>
      </c>
      <c r="Q10" s="2">
        <f>M37</f>
        <v>0</v>
      </c>
      <c r="W10" s="94">
        <v>42604</v>
      </c>
      <c r="X10" s="368">
        <v>218.26</v>
      </c>
      <c r="Y10" s="40">
        <v>218.8</v>
      </c>
      <c r="Z10" s="40">
        <v>217.83</v>
      </c>
      <c r="AA10" s="368">
        <v>218.53</v>
      </c>
      <c r="AB10" s="95">
        <v>61368800</v>
      </c>
      <c r="AC10" s="243">
        <v>218.53</v>
      </c>
      <c r="AD10" s="2">
        <f t="shared" si="0"/>
        <v>0.96999999999999886</v>
      </c>
      <c r="AE10" s="138">
        <f t="shared" si="1"/>
        <v>-4.5758213599311759E-5</v>
      </c>
    </row>
    <row r="11" spans="1:40" x14ac:dyDescent="0.25">
      <c r="O11" s="11" t="s">
        <v>184</v>
      </c>
      <c r="Q11" s="138">
        <v>0</v>
      </c>
      <c r="W11" s="94">
        <v>42601</v>
      </c>
      <c r="X11" s="368">
        <v>218.31</v>
      </c>
      <c r="Y11" s="40">
        <v>218.75</v>
      </c>
      <c r="Z11" s="40">
        <v>217.74</v>
      </c>
      <c r="AA11" s="368">
        <v>218.54</v>
      </c>
      <c r="AB11" s="95">
        <v>75443000</v>
      </c>
      <c r="AC11" s="243">
        <v>218.54</v>
      </c>
      <c r="AD11" s="2">
        <f t="shared" si="0"/>
        <v>1.0099999999999909</v>
      </c>
      <c r="AE11" s="138">
        <f t="shared" si="1"/>
        <v>-1.46212190441386E-3</v>
      </c>
      <c r="AK11" s="234"/>
      <c r="AN11" s="234"/>
    </row>
    <row r="12" spans="1:40" x14ac:dyDescent="0.25">
      <c r="W12" s="94">
        <v>42600</v>
      </c>
      <c r="X12" s="368">
        <v>218.34</v>
      </c>
      <c r="Y12" s="40">
        <v>218.9</v>
      </c>
      <c r="Z12" s="40">
        <v>218.21</v>
      </c>
      <c r="AA12" s="368">
        <v>218.86</v>
      </c>
      <c r="AB12" s="95">
        <v>52989300</v>
      </c>
      <c r="AC12" s="243">
        <v>218.86</v>
      </c>
      <c r="AD12" s="2">
        <f t="shared" si="0"/>
        <v>0.68999999999999773</v>
      </c>
      <c r="AE12" s="138">
        <f t="shared" si="1"/>
        <v>2.2438979713330642E-3</v>
      </c>
    </row>
    <row r="13" spans="1:40" x14ac:dyDescent="0.25">
      <c r="W13" s="94">
        <v>42599</v>
      </c>
      <c r="X13" s="368">
        <v>218</v>
      </c>
      <c r="Y13" s="40">
        <v>218.53</v>
      </c>
      <c r="Z13" s="40">
        <v>217.02</v>
      </c>
      <c r="AA13" s="368">
        <v>218.37</v>
      </c>
      <c r="AB13" s="95">
        <v>75134300</v>
      </c>
      <c r="AC13" s="243">
        <v>218.37</v>
      </c>
      <c r="AD13" s="2">
        <f t="shared" si="0"/>
        <v>1.5099999999999909</v>
      </c>
      <c r="AE13" s="138">
        <f t="shared" si="1"/>
        <v>1.8810790970820168E-3</v>
      </c>
      <c r="AK13" s="234"/>
      <c r="AN13" s="234"/>
    </row>
    <row r="14" spans="1:40" x14ac:dyDescent="0.25">
      <c r="T14" s="84"/>
      <c r="U14" s="11"/>
      <c r="W14" s="94">
        <v>42598</v>
      </c>
      <c r="X14" s="368">
        <v>218.6</v>
      </c>
      <c r="Y14" s="40">
        <v>218.68</v>
      </c>
      <c r="Z14" s="40">
        <v>217.96</v>
      </c>
      <c r="AA14" s="368">
        <v>217.96</v>
      </c>
      <c r="AB14" s="95">
        <v>53213600</v>
      </c>
      <c r="AC14" s="243">
        <v>217.96</v>
      </c>
      <c r="AD14" s="2">
        <f t="shared" si="0"/>
        <v>0.71999999999999886</v>
      </c>
      <c r="AE14" s="138">
        <f t="shared" si="1"/>
        <v>-5.1576977497831411E-3</v>
      </c>
    </row>
    <row r="15" spans="1:40" x14ac:dyDescent="0.25">
      <c r="W15" s="94">
        <v>42597</v>
      </c>
      <c r="X15" s="368">
        <v>218.89</v>
      </c>
      <c r="Y15" s="40">
        <v>219.5</v>
      </c>
      <c r="Z15" s="40">
        <v>218.88</v>
      </c>
      <c r="AA15" s="368">
        <v>219.09</v>
      </c>
      <c r="AB15" s="95">
        <v>49813500</v>
      </c>
      <c r="AC15" s="243">
        <v>219.09</v>
      </c>
      <c r="AD15" s="2">
        <f t="shared" si="0"/>
        <v>0.62000000000000455</v>
      </c>
      <c r="AE15" s="138">
        <f t="shared" si="1"/>
        <v>2.8838231255150504E-3</v>
      </c>
      <c r="AK15" s="234"/>
      <c r="AN15" s="234"/>
    </row>
    <row r="16" spans="1:40" x14ac:dyDescent="0.25">
      <c r="W16" s="94">
        <v>42594</v>
      </c>
      <c r="X16" s="368">
        <v>218.29</v>
      </c>
      <c r="Y16" s="40">
        <v>218.71</v>
      </c>
      <c r="Z16" s="40">
        <v>217.99</v>
      </c>
      <c r="AA16" s="368">
        <v>218.46</v>
      </c>
      <c r="AB16" s="95">
        <v>61313500</v>
      </c>
      <c r="AC16" s="243">
        <v>218.46</v>
      </c>
      <c r="AD16" s="2">
        <f t="shared" si="0"/>
        <v>0.71999999999999886</v>
      </c>
      <c r="AE16" s="138">
        <f t="shared" si="1"/>
        <v>-8.6896867139263367E-4</v>
      </c>
    </row>
    <row r="17" spans="1:40" x14ac:dyDescent="0.25">
      <c r="W17" s="94">
        <v>42593</v>
      </c>
      <c r="X17" s="368">
        <v>218.26</v>
      </c>
      <c r="Y17" s="40">
        <v>218.94</v>
      </c>
      <c r="Z17" s="40">
        <v>217.95</v>
      </c>
      <c r="AA17" s="368">
        <v>218.65</v>
      </c>
      <c r="AB17" s="95">
        <v>72504300</v>
      </c>
      <c r="AC17" s="243">
        <v>218.65</v>
      </c>
      <c r="AD17" s="2">
        <f t="shared" si="0"/>
        <v>0.99000000000000909</v>
      </c>
      <c r="AE17" s="138">
        <f t="shared" si="1"/>
        <v>4.6406910494394271E-3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1559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42592</v>
      </c>
      <c r="X18" s="368">
        <v>218.31</v>
      </c>
      <c r="Y18" s="40">
        <v>218.4</v>
      </c>
      <c r="Z18" s="40">
        <v>217.23</v>
      </c>
      <c r="AA18" s="368">
        <v>217.64</v>
      </c>
      <c r="AB18" s="95">
        <v>57941100</v>
      </c>
      <c r="AC18" s="243">
        <v>217.64</v>
      </c>
      <c r="AD18" s="2">
        <f t="shared" si="0"/>
        <v>1.1700000000000159</v>
      </c>
      <c r="AE18" s="138">
        <f t="shared" si="1"/>
        <v>-2.4750206251720197E-3</v>
      </c>
    </row>
    <row r="19" spans="1:40" x14ac:dyDescent="0.25">
      <c r="W19" s="94">
        <v>42591</v>
      </c>
      <c r="X19" s="368">
        <v>218.13</v>
      </c>
      <c r="Y19" s="40">
        <v>218.76</v>
      </c>
      <c r="Z19" s="40">
        <v>217.8</v>
      </c>
      <c r="AA19" s="368">
        <v>218.18</v>
      </c>
      <c r="AB19" s="95">
        <v>51251700</v>
      </c>
      <c r="AC19" s="243">
        <v>218.18</v>
      </c>
      <c r="AD19" s="2">
        <f t="shared" si="0"/>
        <v>0.95999999999997954</v>
      </c>
      <c r="AE19" s="138">
        <f t="shared" si="1"/>
        <v>5.9619353359319227E-4</v>
      </c>
      <c r="AK19" s="234"/>
      <c r="AN19" s="234"/>
    </row>
    <row r="20" spans="1:40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161</v>
      </c>
      <c r="W20" s="94">
        <v>42590</v>
      </c>
      <c r="X20" s="368">
        <v>218.4</v>
      </c>
      <c r="Y20" s="40">
        <v>218.52</v>
      </c>
      <c r="Z20" s="40">
        <v>217.74</v>
      </c>
      <c r="AA20" s="368">
        <v>218.05</v>
      </c>
      <c r="AB20" s="95">
        <v>39906500</v>
      </c>
      <c r="AC20" s="243">
        <v>218.05</v>
      </c>
      <c r="AD20" s="2">
        <f t="shared" si="0"/>
        <v>0.78000000000000114</v>
      </c>
      <c r="AE20" s="138">
        <f t="shared" si="1"/>
        <v>-5.9583829865250681E-4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42587</v>
      </c>
      <c r="X21" s="368">
        <v>216.41</v>
      </c>
      <c r="Y21" s="40">
        <v>218.23</v>
      </c>
      <c r="Z21" s="40">
        <v>216.41</v>
      </c>
      <c r="AA21" s="368">
        <v>218.18</v>
      </c>
      <c r="AB21" s="95">
        <v>71892200</v>
      </c>
      <c r="AC21" s="243">
        <v>218.18</v>
      </c>
      <c r="AD21" s="2">
        <f t="shared" si="0"/>
        <v>1.8199999999999932</v>
      </c>
      <c r="AE21" s="138">
        <f t="shared" si="1"/>
        <v>8.1789196432697775E-3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42586</v>
      </c>
      <c r="X22" s="368">
        <v>216.31</v>
      </c>
      <c r="Y22" s="40">
        <v>216.78</v>
      </c>
      <c r="Z22" s="40">
        <v>214.25</v>
      </c>
      <c r="AA22" s="368">
        <v>216.41</v>
      </c>
      <c r="AB22" s="95">
        <v>46585500</v>
      </c>
      <c r="AC22" s="243">
        <v>216.41</v>
      </c>
      <c r="AD22" s="2">
        <f t="shared" si="0"/>
        <v>2.5300000000000011</v>
      </c>
      <c r="AE22" s="138">
        <f t="shared" si="1"/>
        <v>1.0639282079747403E-3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42585</v>
      </c>
      <c r="X23" s="368">
        <v>215.48</v>
      </c>
      <c r="Y23" s="40">
        <v>216.25</v>
      </c>
      <c r="Z23" s="40">
        <v>215.13</v>
      </c>
      <c r="AA23" s="368">
        <v>216.18</v>
      </c>
      <c r="AB23" s="95">
        <v>53993600</v>
      </c>
      <c r="AC23" s="243">
        <v>216.18</v>
      </c>
      <c r="AD23" s="2">
        <f t="shared" si="0"/>
        <v>1.1200000000000045</v>
      </c>
      <c r="AE23" s="138">
        <f t="shared" si="1"/>
        <v>2.9227557411273253E-3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42584</v>
      </c>
      <c r="X24" s="368">
        <v>216.65</v>
      </c>
      <c r="Y24" s="40">
        <v>216.83</v>
      </c>
      <c r="Z24" s="40">
        <v>214.57</v>
      </c>
      <c r="AA24" s="368">
        <v>215.55</v>
      </c>
      <c r="AB24" s="95">
        <v>92295500</v>
      </c>
      <c r="AC24" s="243">
        <v>215.55</v>
      </c>
      <c r="AD24" s="2">
        <f t="shared" si="0"/>
        <v>2.2600000000000193</v>
      </c>
      <c r="AE24" s="138">
        <f t="shared" si="1"/>
        <v>-6.4073015580343728E-3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42583</v>
      </c>
      <c r="X25" s="368">
        <v>217.19</v>
      </c>
      <c r="Y25" s="40">
        <v>217.65</v>
      </c>
      <c r="Z25" s="40">
        <v>216.41</v>
      </c>
      <c r="AA25" s="368">
        <v>216.94</v>
      </c>
      <c r="AB25" s="95">
        <v>73311400</v>
      </c>
      <c r="AC25" s="243">
        <v>216.94</v>
      </c>
      <c r="AD25" s="2">
        <f t="shared" si="0"/>
        <v>1.2400000000000091</v>
      </c>
      <c r="AE25" s="138">
        <f t="shared" si="1"/>
        <v>-8.2903463522476795E-4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42580</v>
      </c>
      <c r="X26" s="368">
        <v>216.46</v>
      </c>
      <c r="Y26" s="40">
        <v>217.54</v>
      </c>
      <c r="Z26" s="40">
        <v>216.13</v>
      </c>
      <c r="AA26" s="368">
        <v>217.12</v>
      </c>
      <c r="AB26" s="95">
        <v>79519400</v>
      </c>
      <c r="AC26" s="243">
        <v>217.12</v>
      </c>
      <c r="AD26" s="2">
        <f t="shared" si="0"/>
        <v>1.4099999999999966</v>
      </c>
      <c r="AE26" s="138">
        <f t="shared" si="1"/>
        <v>1.6146145684365898E-3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42579</v>
      </c>
      <c r="X27" s="368">
        <v>216.29</v>
      </c>
      <c r="Y27" s="40">
        <v>217.11</v>
      </c>
      <c r="Z27" s="40">
        <v>215.75</v>
      </c>
      <c r="AA27" s="368">
        <v>216.77</v>
      </c>
      <c r="AB27" s="95">
        <v>65035700</v>
      </c>
      <c r="AC27" s="243">
        <v>216.77</v>
      </c>
      <c r="AD27" s="2">
        <f t="shared" si="0"/>
        <v>1.3600000000000136</v>
      </c>
      <c r="AE27" s="138">
        <f t="shared" si="1"/>
        <v>1.1546277480141143E-3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42578</v>
      </c>
      <c r="X28" s="368">
        <v>217.19</v>
      </c>
      <c r="Y28" s="40">
        <v>217.27</v>
      </c>
      <c r="Z28" s="40">
        <v>215.62</v>
      </c>
      <c r="AA28" s="368">
        <v>216.52</v>
      </c>
      <c r="AB28" s="95">
        <v>84083900</v>
      </c>
      <c r="AC28" s="243">
        <v>216.52</v>
      </c>
      <c r="AD28" s="2">
        <f t="shared" si="0"/>
        <v>1.6500000000000057</v>
      </c>
      <c r="AE28" s="138">
        <f t="shared" si="1"/>
        <v>-1.0611303344867373E-3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42577</v>
      </c>
      <c r="X29" s="368">
        <v>216.53</v>
      </c>
      <c r="Y29" s="40">
        <v>217.17</v>
      </c>
      <c r="Z29" s="40">
        <v>215.76</v>
      </c>
      <c r="AA29" s="368">
        <v>216.75</v>
      </c>
      <c r="AB29" s="95">
        <v>70080500</v>
      </c>
      <c r="AC29" s="243">
        <v>216.75</v>
      </c>
      <c r="AD29" s="2">
        <f t="shared" si="0"/>
        <v>1.4099999999999966</v>
      </c>
      <c r="AE29" s="138">
        <f t="shared" si="1"/>
        <v>4.6157396722823485E-4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42576</v>
      </c>
      <c r="X30" s="368">
        <v>217</v>
      </c>
      <c r="Y30" s="40">
        <v>217.06</v>
      </c>
      <c r="Z30" s="40">
        <v>215.97</v>
      </c>
      <c r="AA30" s="368">
        <v>216.65</v>
      </c>
      <c r="AB30" s="95">
        <v>55873100</v>
      </c>
      <c r="AC30" s="243">
        <v>216.65</v>
      </c>
      <c r="AD30" s="2">
        <f t="shared" si="0"/>
        <v>1.0900000000000034</v>
      </c>
      <c r="AE30" s="138">
        <f t="shared" si="1"/>
        <v>-2.7158902596207124E-3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42573</v>
      </c>
      <c r="X31" s="368">
        <v>216.41</v>
      </c>
      <c r="Y31" s="40">
        <v>217.3</v>
      </c>
      <c r="Z31" s="40">
        <v>216.1</v>
      </c>
      <c r="AA31" s="368">
        <v>217.24</v>
      </c>
      <c r="AB31" s="95">
        <v>62787500</v>
      </c>
      <c r="AC31" s="243">
        <v>217.24</v>
      </c>
      <c r="AD31" s="2">
        <f t="shared" si="0"/>
        <v>1.2000000000000171</v>
      </c>
      <c r="AE31" s="138">
        <f t="shared" si="1"/>
        <v>4.4851343228371476E-3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42572</v>
      </c>
      <c r="X32" s="368">
        <v>216.96</v>
      </c>
      <c r="Y32" s="40">
        <v>217.22</v>
      </c>
      <c r="Z32" s="40">
        <v>215.75</v>
      </c>
      <c r="AA32" s="368">
        <v>216.27</v>
      </c>
      <c r="AB32" s="95">
        <v>67777300</v>
      </c>
      <c r="AC32" s="243">
        <v>216.27</v>
      </c>
      <c r="AD32" s="2">
        <f t="shared" si="0"/>
        <v>1.4699999999999989</v>
      </c>
      <c r="AE32" s="138">
        <f t="shared" si="1"/>
        <v>-3.7772352480537341E-3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42571</v>
      </c>
      <c r="X33" s="368">
        <v>216.19</v>
      </c>
      <c r="Y33" s="40">
        <v>217.37</v>
      </c>
      <c r="Z33" s="40">
        <v>216.19</v>
      </c>
      <c r="AA33" s="368">
        <v>217.09</v>
      </c>
      <c r="AB33" s="95">
        <v>58159500</v>
      </c>
      <c r="AC33" s="243">
        <v>217.09</v>
      </c>
      <c r="AD33" s="2">
        <f t="shared" si="0"/>
        <v>1.1800000000000068</v>
      </c>
      <c r="AE33" s="138">
        <f t="shared" si="1"/>
        <v>4.1630047643277379E-3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42570</v>
      </c>
      <c r="X34" s="368">
        <v>215.92</v>
      </c>
      <c r="Y34" s="40">
        <v>216.23</v>
      </c>
      <c r="Z34" s="40">
        <v>215.63</v>
      </c>
      <c r="AA34" s="368">
        <v>216.19</v>
      </c>
      <c r="AB34" s="95">
        <v>54345700</v>
      </c>
      <c r="AC34" s="243">
        <v>216.19</v>
      </c>
      <c r="AD34" s="2">
        <f t="shared" si="0"/>
        <v>0.59999999999999432</v>
      </c>
      <c r="AE34" s="138">
        <f t="shared" si="1"/>
        <v>-1.0165888822143421E-3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42569</v>
      </c>
      <c r="X35" s="368">
        <v>215.97</v>
      </c>
      <c r="Y35" s="40">
        <v>216.6</v>
      </c>
      <c r="Z35" s="40">
        <v>215.67</v>
      </c>
      <c r="AA35" s="368">
        <v>216.41</v>
      </c>
      <c r="AB35" s="95">
        <v>58725900</v>
      </c>
      <c r="AC35" s="243">
        <v>216.41</v>
      </c>
      <c r="AD35" s="2">
        <f t="shared" si="0"/>
        <v>0.93000000000000682</v>
      </c>
      <c r="AE35" s="138">
        <f t="shared" si="1"/>
        <v>2.6873001899643256E-3</v>
      </c>
    </row>
    <row r="36" spans="1:31" x14ac:dyDescent="0.25">
      <c r="W36" s="94">
        <v>42566</v>
      </c>
      <c r="X36" s="368">
        <v>216.78</v>
      </c>
      <c r="Y36" s="40">
        <v>217.01</v>
      </c>
      <c r="Z36" s="40">
        <v>215.31</v>
      </c>
      <c r="AA36" s="368">
        <v>215.83</v>
      </c>
      <c r="AB36" s="95">
        <v>107155400</v>
      </c>
      <c r="AC36" s="243">
        <v>215.83</v>
      </c>
      <c r="AD36" s="2">
        <f t="shared" si="0"/>
        <v>1.6999999999999886</v>
      </c>
      <c r="AE36" s="138">
        <f t="shared" si="1"/>
        <v>-1.3418471219692751E-3</v>
      </c>
    </row>
    <row r="37" spans="1:31" x14ac:dyDescent="0.25">
      <c r="L37" t="s">
        <v>223</v>
      </c>
      <c r="M37" s="2">
        <f>M55+K55-F55</f>
        <v>0</v>
      </c>
      <c r="W37" s="94">
        <v>42565</v>
      </c>
      <c r="X37" s="368">
        <v>216.4</v>
      </c>
      <c r="Y37" s="40">
        <v>216.67</v>
      </c>
      <c r="Z37" s="40">
        <v>215.66</v>
      </c>
      <c r="AA37" s="368">
        <v>216.12</v>
      </c>
      <c r="AB37" s="95">
        <v>91230900</v>
      </c>
      <c r="AC37" s="243">
        <v>216.12</v>
      </c>
      <c r="AD37" s="2">
        <f t="shared" si="0"/>
        <v>1.0099999999999909</v>
      </c>
      <c r="AE37" s="138">
        <f t="shared" si="1"/>
        <v>5.5834729201564848E-3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42564</v>
      </c>
      <c r="X38" s="368">
        <v>215.44</v>
      </c>
      <c r="Y38" s="40">
        <v>215.45</v>
      </c>
      <c r="Z38" s="40">
        <v>214.35</v>
      </c>
      <c r="AA38" s="368">
        <v>214.92</v>
      </c>
      <c r="AB38" s="95">
        <v>87324100</v>
      </c>
      <c r="AC38" s="243">
        <v>214.92</v>
      </c>
      <c r="AD38" s="2">
        <f t="shared" si="0"/>
        <v>1.0999999999999943</v>
      </c>
      <c r="AE38" s="138">
        <f t="shared" si="1"/>
        <v>-1.3956734124220826E-4</v>
      </c>
    </row>
    <row r="39" spans="1:31" ht="20.25" thickBot="1" x14ac:dyDescent="0.35">
      <c r="A39" s="265" t="s">
        <v>23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545" t="s">
        <v>78</v>
      </c>
      <c r="Q39" s="545"/>
      <c r="R39" s="34"/>
      <c r="T39" s="91" t="s">
        <v>113</v>
      </c>
      <c r="W39" s="94">
        <v>42563</v>
      </c>
      <c r="X39" s="368">
        <v>214.53</v>
      </c>
      <c r="Y39" s="40">
        <v>215.3</v>
      </c>
      <c r="Z39" s="40">
        <v>213.43</v>
      </c>
      <c r="AA39" s="368">
        <v>214.95</v>
      </c>
      <c r="AB39" s="95">
        <v>101275600</v>
      </c>
      <c r="AC39" s="243">
        <v>214.95</v>
      </c>
      <c r="AD39" s="2">
        <f t="shared" si="0"/>
        <v>1.8700000000000045</v>
      </c>
      <c r="AE39" s="138">
        <f t="shared" si="1"/>
        <v>7.2633552014993441E-3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34.419000000000004</v>
      </c>
      <c r="R40" s="34"/>
      <c r="T40" s="97" t="s">
        <v>98</v>
      </c>
      <c r="U40" s="129">
        <v>217.39</v>
      </c>
      <c r="W40" s="94">
        <v>42562</v>
      </c>
      <c r="X40" s="368">
        <v>213.19</v>
      </c>
      <c r="Y40" s="40">
        <v>214.07</v>
      </c>
      <c r="Z40" s="40">
        <v>212.95</v>
      </c>
      <c r="AA40" s="368">
        <v>213.4</v>
      </c>
      <c r="AB40" s="95">
        <v>73633900</v>
      </c>
      <c r="AC40" s="243">
        <v>213.4</v>
      </c>
      <c r="AD40" s="2">
        <f t="shared" si="0"/>
        <v>1.1200000000000045</v>
      </c>
      <c r="AE40" s="138">
        <f t="shared" si="1"/>
        <v>3.5269221725839905E-3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">P41*$Q$4</f>
        <v>34.106100000000005</v>
      </c>
      <c r="R41" s="34"/>
      <c r="T41" s="87" t="s">
        <v>99</v>
      </c>
      <c r="U41" s="130">
        <v>218.39</v>
      </c>
      <c r="W41" s="94">
        <v>42559</v>
      </c>
      <c r="X41" s="368">
        <v>211.05</v>
      </c>
      <c r="Y41" s="40">
        <v>212.94</v>
      </c>
      <c r="Z41" s="40">
        <v>210.78</v>
      </c>
      <c r="AA41" s="368">
        <v>212.65</v>
      </c>
      <c r="AB41" s="95">
        <v>133971000</v>
      </c>
      <c r="AC41" s="243">
        <v>212.65</v>
      </c>
      <c r="AD41" s="2">
        <f t="shared" si="0"/>
        <v>2.1599999999999966</v>
      </c>
      <c r="AE41" s="138">
        <f t="shared" si="1"/>
        <v>1.4890469145229845E-2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"/>
        <v>33.793199999999999</v>
      </c>
      <c r="R42" s="34"/>
      <c r="T42" s="87" t="s">
        <v>100</v>
      </c>
      <c r="U42" s="130" t="s">
        <v>542</v>
      </c>
      <c r="W42" s="94">
        <v>42558</v>
      </c>
      <c r="X42" s="368">
        <v>209.87</v>
      </c>
      <c r="Y42" s="40">
        <v>210.65</v>
      </c>
      <c r="Z42" s="40">
        <v>208.63</v>
      </c>
      <c r="AA42" s="368">
        <v>209.53</v>
      </c>
      <c r="AB42" s="95">
        <v>85593800</v>
      </c>
      <c r="AC42" s="243">
        <v>209.53</v>
      </c>
      <c r="AD42" s="2">
        <f t="shared" si="0"/>
        <v>2.0200000000000102</v>
      </c>
      <c r="AE42" s="138">
        <f t="shared" si="1"/>
        <v>-6.2005151197175312E-4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"/>
        <v>33.4803</v>
      </c>
      <c r="R43" s="83"/>
      <c r="T43" s="87" t="s">
        <v>101</v>
      </c>
      <c r="U43" s="130" t="s">
        <v>543</v>
      </c>
      <c r="W43" s="94">
        <v>42557</v>
      </c>
      <c r="X43" s="368">
        <v>207.83</v>
      </c>
      <c r="Y43" s="40">
        <v>209.8</v>
      </c>
      <c r="Z43" s="40">
        <v>207.06</v>
      </c>
      <c r="AA43" s="368">
        <v>209.66</v>
      </c>
      <c r="AB43" s="95">
        <v>96021500</v>
      </c>
      <c r="AC43" s="243">
        <v>209.66</v>
      </c>
      <c r="AD43" s="2">
        <f t="shared" si="0"/>
        <v>2.7400000000000091</v>
      </c>
      <c r="AE43" s="138">
        <f t="shared" si="1"/>
        <v>5.9977928122449953E-3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"/>
        <v>33.167400000000001</v>
      </c>
      <c r="R44" s="83"/>
      <c r="T44" s="87" t="s">
        <v>238</v>
      </c>
      <c r="U44" s="130">
        <v>218.37</v>
      </c>
      <c r="W44" s="94">
        <v>42556</v>
      </c>
      <c r="X44" s="368">
        <v>208.95</v>
      </c>
      <c r="Y44" s="40">
        <v>209.08</v>
      </c>
      <c r="Z44" s="40">
        <v>207.71</v>
      </c>
      <c r="AA44" s="368">
        <v>208.41</v>
      </c>
      <c r="AB44" s="95">
        <v>109803700</v>
      </c>
      <c r="AC44" s="243">
        <v>208.41</v>
      </c>
      <c r="AD44" s="2">
        <f t="shared" si="0"/>
        <v>1.3700000000000045</v>
      </c>
      <c r="AE44" s="138">
        <f t="shared" si="1"/>
        <v>-7.1932164634146423E-3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"/>
        <v>32.854500000000002</v>
      </c>
      <c r="R45" s="83"/>
      <c r="T45" s="87" t="s">
        <v>239</v>
      </c>
      <c r="U45" s="130" t="s">
        <v>338</v>
      </c>
      <c r="W45" s="94">
        <v>42552</v>
      </c>
      <c r="X45" s="368">
        <v>209.48</v>
      </c>
      <c r="Y45" s="40">
        <v>210.49</v>
      </c>
      <c r="Z45" s="40">
        <v>209.29</v>
      </c>
      <c r="AA45" s="368">
        <v>209.92</v>
      </c>
      <c r="AB45" s="95">
        <v>106055300</v>
      </c>
      <c r="AC45" s="243">
        <v>209.92</v>
      </c>
      <c r="AD45" s="2">
        <f t="shared" si="0"/>
        <v>1.2000000000000171</v>
      </c>
      <c r="AE45" s="138">
        <f t="shared" si="1"/>
        <v>2.1004391827381674E-3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"/>
        <v>32.541600000000003</v>
      </c>
      <c r="R46" s="83"/>
      <c r="T46" s="87" t="s">
        <v>240</v>
      </c>
      <c r="U46" s="232">
        <v>7.6100000000000001E-2</v>
      </c>
      <c r="W46" s="94">
        <v>42551</v>
      </c>
      <c r="X46" s="368">
        <v>207.21</v>
      </c>
      <c r="Y46" s="40">
        <v>209.54</v>
      </c>
      <c r="Z46" s="40">
        <v>206.56</v>
      </c>
      <c r="AA46" s="368">
        <v>209.48</v>
      </c>
      <c r="AB46" s="95">
        <v>165021900</v>
      </c>
      <c r="AC46" s="243">
        <v>209.48</v>
      </c>
      <c r="AD46" s="2">
        <f t="shared" si="0"/>
        <v>2.9799999999999898</v>
      </c>
      <c r="AE46" s="138">
        <f t="shared" si="1"/>
        <v>1.3645601471015123E-2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"/>
        <v>32.228700000000003</v>
      </c>
      <c r="R47" s="83"/>
      <c r="T47" s="87"/>
      <c r="U47" s="130"/>
      <c r="W47" s="94">
        <v>42550</v>
      </c>
      <c r="X47" s="368">
        <v>204.84</v>
      </c>
      <c r="Y47" s="40">
        <v>206.93</v>
      </c>
      <c r="Z47" s="40">
        <v>204.72</v>
      </c>
      <c r="AA47" s="368">
        <v>206.66</v>
      </c>
      <c r="AB47" s="95">
        <v>137328600</v>
      </c>
      <c r="AC47" s="243">
        <v>206.66</v>
      </c>
      <c r="AD47" s="2">
        <f t="shared" si="0"/>
        <v>2.210000000000008</v>
      </c>
      <c r="AE47" s="138">
        <f t="shared" si="1"/>
        <v>1.7027559055118102E-2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"/>
        <v>31.915800000000001</v>
      </c>
      <c r="R48" s="83"/>
      <c r="T48" s="87" t="s">
        <v>105</v>
      </c>
      <c r="U48" s="130" t="s">
        <v>544</v>
      </c>
      <c r="W48" s="94">
        <v>42549</v>
      </c>
      <c r="X48" s="368">
        <v>201.48</v>
      </c>
      <c r="Y48" s="40">
        <v>203.23</v>
      </c>
      <c r="Z48" s="40">
        <v>201.12</v>
      </c>
      <c r="AA48" s="368">
        <v>203.2</v>
      </c>
      <c r="AB48" s="95">
        <v>159382400</v>
      </c>
      <c r="AC48" s="243">
        <v>203.2</v>
      </c>
      <c r="AD48" s="2">
        <f t="shared" si="0"/>
        <v>2.1099999999999852</v>
      </c>
      <c r="AE48" s="138">
        <f t="shared" si="1"/>
        <v>1.8036072144288484E-2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"/>
        <v>31.602899999999998</v>
      </c>
      <c r="R49" s="83"/>
      <c r="T49" s="87" t="s">
        <v>106</v>
      </c>
      <c r="U49" s="130" t="s">
        <v>367</v>
      </c>
      <c r="W49" s="94">
        <v>42548</v>
      </c>
      <c r="X49" s="368">
        <v>201.59</v>
      </c>
      <c r="Y49" s="40">
        <v>201.6</v>
      </c>
      <c r="Z49" s="40">
        <v>198.65</v>
      </c>
      <c r="AA49" s="368">
        <v>199.6</v>
      </c>
      <c r="AB49" s="95">
        <v>230775800</v>
      </c>
      <c r="AC49" s="243">
        <v>199.6</v>
      </c>
      <c r="AD49" s="2">
        <f t="shared" si="0"/>
        <v>2.9499999999999886</v>
      </c>
      <c r="AE49" s="138">
        <f t="shared" si="1"/>
        <v>-1.790986026372765E-2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"/>
        <v>31.29</v>
      </c>
      <c r="R50" s="83"/>
      <c r="T50" s="87" t="s">
        <v>107</v>
      </c>
      <c r="U50" s="131">
        <v>79293856</v>
      </c>
      <c r="W50" s="94">
        <v>42545</v>
      </c>
      <c r="X50" s="368">
        <v>203.63</v>
      </c>
      <c r="Y50" s="40">
        <v>210.85</v>
      </c>
      <c r="Z50" s="40">
        <v>202.72</v>
      </c>
      <c r="AA50" s="368">
        <v>203.24</v>
      </c>
      <c r="AB50" s="95">
        <v>333444400</v>
      </c>
      <c r="AC50" s="243">
        <v>203.24</v>
      </c>
      <c r="AD50" s="2">
        <f t="shared" si="0"/>
        <v>8.1299999999999955</v>
      </c>
      <c r="AE50" s="138">
        <f t="shared" si="1"/>
        <v>-3.5909112470945415E-2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"/>
        <v>30.9771</v>
      </c>
      <c r="R51" s="83"/>
      <c r="T51" s="87" t="s">
        <v>110</v>
      </c>
      <c r="U51" s="131">
        <v>89518800</v>
      </c>
      <c r="W51" s="94">
        <v>42544</v>
      </c>
      <c r="X51" s="368">
        <v>209.81</v>
      </c>
      <c r="Y51" s="40">
        <v>210.87</v>
      </c>
      <c r="Z51" s="40">
        <v>209.27</v>
      </c>
      <c r="AA51" s="368">
        <v>210.81</v>
      </c>
      <c r="AB51" s="95">
        <v>102731400</v>
      </c>
      <c r="AC51" s="243">
        <v>210.81</v>
      </c>
      <c r="AD51" s="2">
        <f t="shared" si="0"/>
        <v>1.5999999999999943</v>
      </c>
      <c r="AE51" s="138">
        <f t="shared" si="1"/>
        <v>1.302258529553102E-2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"/>
        <v>30.664199999999997</v>
      </c>
      <c r="R52" s="83"/>
      <c r="T52" s="87" t="s">
        <v>241</v>
      </c>
      <c r="U52" s="130">
        <v>19</v>
      </c>
      <c r="W52" s="94">
        <v>42543</v>
      </c>
      <c r="X52" s="368">
        <v>208.65</v>
      </c>
      <c r="Y52" s="40">
        <v>209.5</v>
      </c>
      <c r="Z52" s="40">
        <v>207.93</v>
      </c>
      <c r="AA52" s="368">
        <v>208.1</v>
      </c>
      <c r="AB52" s="95">
        <v>95560500</v>
      </c>
      <c r="AC52" s="243">
        <v>208.1</v>
      </c>
      <c r="AD52" s="2">
        <f t="shared" si="0"/>
        <v>1.5699999999999932</v>
      </c>
      <c r="AE52" s="138">
        <f t="shared" si="1"/>
        <v>-1.6311648436000414E-3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"/>
        <v>30.351299999999998</v>
      </c>
      <c r="R53" s="83"/>
      <c r="T53" s="87" t="s">
        <v>242</v>
      </c>
      <c r="U53" s="130">
        <v>2.0099999999999998</v>
      </c>
      <c r="W53" s="94">
        <v>42542</v>
      </c>
      <c r="X53" s="368">
        <v>208.3</v>
      </c>
      <c r="Y53" s="40">
        <v>208.92</v>
      </c>
      <c r="Z53" s="40">
        <v>207.78</v>
      </c>
      <c r="AA53" s="368">
        <v>208.44</v>
      </c>
      <c r="AB53" s="95">
        <v>72461700</v>
      </c>
      <c r="AC53" s="243">
        <v>208.44</v>
      </c>
      <c r="AD53" s="2">
        <f t="shared" si="0"/>
        <v>1.1399999999999864</v>
      </c>
      <c r="AE53" s="138">
        <f t="shared" si="1"/>
        <v>2.8385855184027697E-3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"/>
        <v>30.038399999999999</v>
      </c>
      <c r="R54" s="83"/>
      <c r="T54" s="87"/>
      <c r="U54" s="130"/>
      <c r="W54" s="94">
        <v>42541</v>
      </c>
      <c r="X54" s="368">
        <v>208.82</v>
      </c>
      <c r="Y54" s="40">
        <v>209.61</v>
      </c>
      <c r="Z54" s="40">
        <v>207.75</v>
      </c>
      <c r="AA54" s="368">
        <v>207.85</v>
      </c>
      <c r="AB54" s="95">
        <v>82789600</v>
      </c>
      <c r="AC54" s="243">
        <v>207.85</v>
      </c>
      <c r="AD54" s="2">
        <f t="shared" si="0"/>
        <v>1.8600000000000136</v>
      </c>
      <c r="AE54" s="138">
        <f t="shared" si="1"/>
        <v>6.4400542320355303E-3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2"/>
        <v>29.725499999999997</v>
      </c>
      <c r="R55" s="83"/>
      <c r="T55" s="87"/>
      <c r="U55" s="130"/>
      <c r="W55" s="94">
        <v>42538</v>
      </c>
      <c r="X55" s="368">
        <v>207.17</v>
      </c>
      <c r="Y55" s="40">
        <v>207.2</v>
      </c>
      <c r="Z55" s="40">
        <v>205.75</v>
      </c>
      <c r="AA55" s="368">
        <v>206.52</v>
      </c>
      <c r="AB55" s="95">
        <v>117055700</v>
      </c>
      <c r="AC55" s="243">
        <v>206.52</v>
      </c>
      <c r="AD55" s="2">
        <f t="shared" si="0"/>
        <v>1.4499999999999886</v>
      </c>
      <c r="AE55" s="138" t="e">
        <f t="shared" si="1"/>
        <v>#DIV/0!</v>
      </c>
    </row>
    <row r="56" spans="1:31" x14ac:dyDescent="0.25">
      <c r="O56" s="2"/>
      <c r="P56" s="83">
        <v>0.94</v>
      </c>
      <c r="Q56" s="83">
        <f t="shared" si="2"/>
        <v>29.412599999999998</v>
      </c>
      <c r="R56" s="83"/>
      <c r="W56" s="94">
        <v>42538</v>
      </c>
      <c r="X56" s="368" t="s">
        <v>249</v>
      </c>
      <c r="Y56" s="40"/>
      <c r="Z56" s="40"/>
      <c r="AA56" s="368"/>
      <c r="AB56" s="95"/>
      <c r="AC56" s="243"/>
      <c r="AD56" s="2">
        <f t="shared" si="0"/>
        <v>0</v>
      </c>
      <c r="AE56" s="138">
        <f t="shared" si="1"/>
        <v>-1</v>
      </c>
    </row>
    <row r="57" spans="1:31" x14ac:dyDescent="0.25">
      <c r="O57" s="2"/>
      <c r="P57" s="83">
        <v>0.93</v>
      </c>
      <c r="Q57" s="83">
        <f t="shared" si="2"/>
        <v>29.099700000000002</v>
      </c>
      <c r="R57" s="83"/>
      <c r="W57" s="94">
        <v>42537</v>
      </c>
      <c r="X57" s="368">
        <v>207.75</v>
      </c>
      <c r="Y57" s="40">
        <v>208.57</v>
      </c>
      <c r="Z57" s="40">
        <v>205.59</v>
      </c>
      <c r="AA57" s="368">
        <v>208.37</v>
      </c>
      <c r="AB57" s="95">
        <v>149533100</v>
      </c>
      <c r="AC57" s="243">
        <v>207.29</v>
      </c>
      <c r="AD57" s="2">
        <f t="shared" si="0"/>
        <v>2.9799999999999898</v>
      </c>
      <c r="AE57" s="138">
        <f t="shared" si="1"/>
        <v>2.9514224888715912E-3</v>
      </c>
    </row>
    <row r="58" spans="1:31" x14ac:dyDescent="0.25">
      <c r="O58" s="2"/>
      <c r="P58" s="83">
        <v>0.92</v>
      </c>
      <c r="Q58" s="83">
        <f t="shared" si="2"/>
        <v>28.786799999999999</v>
      </c>
      <c r="R58" s="83"/>
      <c r="W58" s="94">
        <v>42536</v>
      </c>
      <c r="X58" s="368">
        <v>208.04</v>
      </c>
      <c r="Y58" s="40">
        <v>209.36</v>
      </c>
      <c r="Z58" s="40">
        <v>207.53</v>
      </c>
      <c r="AA58" s="368">
        <v>207.75</v>
      </c>
      <c r="AB58" s="95">
        <v>109124500</v>
      </c>
      <c r="AC58" s="243">
        <v>206.68</v>
      </c>
      <c r="AD58" s="2">
        <f t="shared" si="0"/>
        <v>1.8300000000000125</v>
      </c>
      <c r="AE58" s="138">
        <f t="shared" si="1"/>
        <v>-1.3529184383456183E-3</v>
      </c>
    </row>
    <row r="59" spans="1:31" x14ac:dyDescent="0.25">
      <c r="O59" s="2"/>
      <c r="P59" s="83">
        <v>0.91</v>
      </c>
      <c r="Q59" s="83">
        <f t="shared" si="2"/>
        <v>28.4739</v>
      </c>
      <c r="R59" s="83"/>
      <c r="W59" s="94">
        <v>42535</v>
      </c>
      <c r="X59" s="368">
        <v>208</v>
      </c>
      <c r="Y59" s="40">
        <v>208.74</v>
      </c>
      <c r="Z59" s="40">
        <v>206.92</v>
      </c>
      <c r="AA59" s="368">
        <v>208.04</v>
      </c>
      <c r="AB59" s="95">
        <v>125059300</v>
      </c>
      <c r="AC59" s="243">
        <v>206.96</v>
      </c>
      <c r="AD59" s="2">
        <f t="shared" si="0"/>
        <v>1.8200000000000216</v>
      </c>
      <c r="AE59" s="138">
        <f t="shared" si="1"/>
        <v>-1.9771423060230831E-3</v>
      </c>
    </row>
    <row r="60" spans="1:31" x14ac:dyDescent="0.25">
      <c r="O60" s="2"/>
      <c r="P60" s="83">
        <v>0.9</v>
      </c>
      <c r="Q60" s="83">
        <f t="shared" si="2"/>
        <v>28.161000000000001</v>
      </c>
      <c r="R60" s="83"/>
      <c r="W60" s="94">
        <v>42534</v>
      </c>
      <c r="X60" s="368">
        <v>209.36</v>
      </c>
      <c r="Y60" s="40">
        <v>210.37</v>
      </c>
      <c r="Z60" s="40">
        <v>208.35</v>
      </c>
      <c r="AA60" s="368">
        <v>208.45</v>
      </c>
      <c r="AB60" s="95">
        <v>117751200</v>
      </c>
      <c r="AC60" s="243">
        <v>207.37</v>
      </c>
      <c r="AD60" s="2">
        <f t="shared" si="0"/>
        <v>2.0200000000000102</v>
      </c>
      <c r="AE60" s="138">
        <f t="shared" si="1"/>
        <v>-7.7040865154559546E-3</v>
      </c>
    </row>
    <row r="61" spans="1:31" x14ac:dyDescent="0.25">
      <c r="W61" s="94">
        <v>42531</v>
      </c>
      <c r="X61" s="368">
        <v>210.46</v>
      </c>
      <c r="Y61" s="40">
        <v>210.86</v>
      </c>
      <c r="Z61" s="40">
        <v>209.43</v>
      </c>
      <c r="AA61" s="368">
        <v>210.07</v>
      </c>
      <c r="AB61" s="95">
        <v>113829200</v>
      </c>
      <c r="AC61" s="243">
        <v>208.98</v>
      </c>
      <c r="AD61" s="2">
        <f t="shared" si="0"/>
        <v>1.4300000000000068</v>
      </c>
      <c r="AE61" s="138">
        <f t="shared" si="1"/>
        <v>-9.4795715233670919E-3</v>
      </c>
    </row>
    <row r="62" spans="1:31" x14ac:dyDescent="0.25">
      <c r="W62" s="94">
        <v>42530</v>
      </c>
      <c r="X62" s="368">
        <v>211.51</v>
      </c>
      <c r="Y62" s="40">
        <v>212.22</v>
      </c>
      <c r="Z62" s="40">
        <v>211.19</v>
      </c>
      <c r="AA62" s="368">
        <v>212.08</v>
      </c>
      <c r="AB62" s="95">
        <v>73786900</v>
      </c>
      <c r="AC62" s="243">
        <v>210.98</v>
      </c>
      <c r="AD62" s="2">
        <f t="shared" si="0"/>
        <v>1.0300000000000011</v>
      </c>
      <c r="AE62" s="138">
        <f t="shared" si="1"/>
        <v>-1.3726511099542149E-3</v>
      </c>
    </row>
    <row r="63" spans="1:31" x14ac:dyDescent="0.25">
      <c r="W63" s="94">
        <v>42529</v>
      </c>
      <c r="X63" s="368">
        <v>211.84</v>
      </c>
      <c r="Y63" s="40">
        <v>212.52</v>
      </c>
      <c r="Z63" s="40">
        <v>211.69</v>
      </c>
      <c r="AA63" s="368">
        <v>212.37</v>
      </c>
      <c r="AB63" s="95">
        <v>66170900</v>
      </c>
      <c r="AC63" s="243">
        <v>211.27</v>
      </c>
      <c r="AD63" s="2">
        <f t="shared" si="0"/>
        <v>0.83000000000001251</v>
      </c>
      <c r="AE63" s="138">
        <f t="shared" si="1"/>
        <v>3.2766644505650699E-3</v>
      </c>
    </row>
    <row r="64" spans="1:31" x14ac:dyDescent="0.25">
      <c r="W64" s="94">
        <v>42528</v>
      </c>
      <c r="X64" s="368">
        <v>211.53</v>
      </c>
      <c r="Y64" s="40">
        <v>212.34</v>
      </c>
      <c r="Z64" s="40">
        <v>211.5</v>
      </c>
      <c r="AA64" s="368">
        <v>211.68</v>
      </c>
      <c r="AB64" s="95">
        <v>60974800</v>
      </c>
      <c r="AC64" s="243">
        <v>210.58</v>
      </c>
      <c r="AD64" s="2">
        <f t="shared" si="0"/>
        <v>0.84000000000000341</v>
      </c>
      <c r="AE64" s="138">
        <f t="shared" si="1"/>
        <v>1.5219252354228274E-3</v>
      </c>
    </row>
    <row r="65" spans="23:31" x14ac:dyDescent="0.25">
      <c r="W65" s="94">
        <v>42527</v>
      </c>
      <c r="X65" s="368">
        <v>210.7</v>
      </c>
      <c r="Y65" s="40">
        <v>211.77</v>
      </c>
      <c r="Z65" s="40">
        <v>210.51</v>
      </c>
      <c r="AA65" s="368">
        <v>211.35</v>
      </c>
      <c r="AB65" s="95">
        <v>64887000</v>
      </c>
      <c r="AC65" s="243">
        <v>210.26</v>
      </c>
      <c r="AD65" s="2">
        <f t="shared" si="0"/>
        <v>1.2600000000000193</v>
      </c>
      <c r="AE65" s="138">
        <f t="shared" si="1"/>
        <v>5.1149672546488834E-3</v>
      </c>
    </row>
    <row r="66" spans="23:31" x14ac:dyDescent="0.25">
      <c r="W66" s="94">
        <v>42524</v>
      </c>
      <c r="X66" s="368">
        <v>210.25</v>
      </c>
      <c r="Y66" s="40">
        <v>210.69</v>
      </c>
      <c r="Z66" s="40">
        <v>208.86</v>
      </c>
      <c r="AA66" s="368">
        <v>210.28</v>
      </c>
      <c r="AB66" s="95">
        <v>101757100</v>
      </c>
      <c r="AC66" s="243">
        <v>209.19</v>
      </c>
      <c r="AD66" s="2">
        <f t="shared" si="0"/>
        <v>1.8299999999999841</v>
      </c>
      <c r="AE66" s="138">
        <f t="shared" si="1"/>
        <v>-3.0025736345439258E-3</v>
      </c>
    </row>
    <row r="67" spans="23:31" x14ac:dyDescent="0.25">
      <c r="W67" s="94">
        <v>42523</v>
      </c>
      <c r="X67" s="368">
        <v>209.8</v>
      </c>
      <c r="Y67" s="40">
        <v>210.93</v>
      </c>
      <c r="Z67" s="40">
        <v>209.24</v>
      </c>
      <c r="AA67" s="368">
        <v>210.91</v>
      </c>
      <c r="AB67" s="95">
        <v>63044700</v>
      </c>
      <c r="AC67" s="243">
        <v>209.82</v>
      </c>
      <c r="AD67" s="2">
        <f t="shared" si="0"/>
        <v>1.6899999999999977</v>
      </c>
      <c r="AE67" s="138">
        <f t="shared" si="1"/>
        <v>3.0595659240844064E-3</v>
      </c>
    </row>
    <row r="68" spans="23:31" x14ac:dyDescent="0.25">
      <c r="W68" s="94">
        <v>42522</v>
      </c>
      <c r="X68" s="10">
        <v>209.12</v>
      </c>
      <c r="Y68" s="40">
        <v>210.48</v>
      </c>
      <c r="Z68" s="40">
        <v>208.89</v>
      </c>
      <c r="AA68" s="10">
        <v>210.27</v>
      </c>
      <c r="AB68" s="95">
        <v>69936200</v>
      </c>
      <c r="AC68" s="243">
        <v>209.18</v>
      </c>
      <c r="AD68" s="2">
        <f>Y68-Z68</f>
        <v>1.5900000000000034</v>
      </c>
      <c r="AE68" s="138" t="e">
        <f>AC68/AC69-1</f>
        <v>#DIV/0!</v>
      </c>
    </row>
    <row r="69" spans="23:31" x14ac:dyDescent="0.25">
      <c r="W69" s="215" t="s">
        <v>122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34" priority="19">
      <formula>F25&gt;0</formula>
    </cfRule>
    <cfRule type="expression" dxfId="33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2" priority="11">
      <formula>F28&gt;0</formula>
    </cfRule>
    <cfRule type="expression" dxfId="31" priority="12">
      <formula>F28&lt;0</formula>
    </cfRule>
  </conditionalFormatting>
  <conditionalFormatting sqref="F28:F35">
    <cfRule type="expression" dxfId="30" priority="13">
      <formula>F28&gt;0</formula>
    </cfRule>
    <cfRule type="expression" dxfId="29" priority="14">
      <formula>F28&lt;0</formula>
    </cfRule>
  </conditionalFormatting>
  <conditionalFormatting sqref="H25:H35">
    <cfRule type="expression" dxfId="28" priority="9">
      <formula>H25&gt;0</formula>
    </cfRule>
    <cfRule type="expression" dxfId="27" priority="10">
      <formula>H25&lt;0</formula>
    </cfRule>
  </conditionalFormatting>
  <conditionalFormatting sqref="F21:F24">
    <cfRule type="expression" dxfId="26" priority="7">
      <formula>F21&gt;0</formula>
    </cfRule>
    <cfRule type="expression" dxfId="25" priority="8">
      <formula>F21&lt;0</formula>
    </cfRule>
  </conditionalFormatting>
  <conditionalFormatting sqref="H21:H24">
    <cfRule type="expression" dxfId="24" priority="5">
      <formula>H21&gt;0</formula>
    </cfRule>
    <cfRule type="expression" dxfId="23" priority="6">
      <formula>H21&lt;0</formula>
    </cfRule>
  </conditionalFormatting>
  <conditionalFormatting sqref="Q8">
    <cfRule type="expression" dxfId="22" priority="1">
      <formula>Q8&gt;0</formula>
    </cfRule>
    <cfRule type="expression" dxfId="21" priority="2">
      <formula>Q8&lt;0</formula>
    </cfRule>
  </conditionalFormatting>
  <conditionalFormatting sqref="Q7">
    <cfRule type="expression" dxfId="20" priority="3">
      <formula>Q7&gt;0</formula>
    </cfRule>
    <cfRule type="expression" dxfId="19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8554687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592</v>
      </c>
      <c r="B2" s="529">
        <v>42619</v>
      </c>
      <c r="C2" s="4">
        <v>100</v>
      </c>
      <c r="D2" s="3">
        <v>24.28</v>
      </c>
      <c r="E2" s="3">
        <v>0</v>
      </c>
      <c r="F2" s="3">
        <f>D2*C2+E2</f>
        <v>2428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100</v>
      </c>
      <c r="T2" s="1"/>
      <c r="W2" s="133">
        <v>42619</v>
      </c>
      <c r="X2" s="10">
        <v>24.53</v>
      </c>
      <c r="Y2" s="10">
        <v>24.55</v>
      </c>
      <c r="Z2" s="10">
        <v>24.09</v>
      </c>
      <c r="AA2" s="10">
        <v>24.42</v>
      </c>
      <c r="AB2" s="95">
        <v>8111900</v>
      </c>
      <c r="AC2" s="10">
        <v>24.42</v>
      </c>
      <c r="AD2" s="2">
        <f>Y2-Z2</f>
        <v>0.46000000000000085</v>
      </c>
      <c r="AE2" s="138">
        <f>AC2/AC3-1</f>
        <v>-5.2953156822810321E-3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24.28</v>
      </c>
      <c r="T3" s="1"/>
      <c r="W3" s="133">
        <v>42615</v>
      </c>
      <c r="X3" s="10">
        <v>24.7</v>
      </c>
      <c r="Y3" s="10">
        <v>24.82</v>
      </c>
      <c r="Z3" s="10">
        <v>24.51</v>
      </c>
      <c r="AA3" s="10">
        <v>24.55</v>
      </c>
      <c r="AB3" s="95">
        <v>4933100</v>
      </c>
      <c r="AC3" s="10">
        <v>24.55</v>
      </c>
      <c r="AD3" s="2">
        <f t="shared" ref="AD3:AD66" si="0">Y3-Z3</f>
        <v>0.30999999999999872</v>
      </c>
      <c r="AE3" s="138">
        <f t="shared" ref="AE3:AE66" si="1">AC3/AC4-1</f>
        <v>4.0749796251016157E-4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24.42</v>
      </c>
      <c r="T4" s="163"/>
      <c r="U4" s="1"/>
      <c r="W4" s="133">
        <v>42614</v>
      </c>
      <c r="X4" s="10">
        <v>24.61</v>
      </c>
      <c r="Y4" s="10">
        <v>24.63</v>
      </c>
      <c r="Z4" s="10">
        <v>24.42</v>
      </c>
      <c r="AA4" s="10">
        <v>24.54</v>
      </c>
      <c r="AB4" s="95">
        <v>6080700</v>
      </c>
      <c r="AC4" s="10">
        <v>24.54</v>
      </c>
      <c r="AD4" s="2">
        <f t="shared" si="0"/>
        <v>0.2099999999999973</v>
      </c>
      <c r="AE4" s="138">
        <f t="shared" si="1"/>
        <v>0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2442</v>
      </c>
      <c r="W5" s="133">
        <v>42613</v>
      </c>
      <c r="X5" s="10">
        <v>24.5</v>
      </c>
      <c r="Y5" s="10">
        <v>24.72</v>
      </c>
      <c r="Z5" s="10">
        <v>24.47</v>
      </c>
      <c r="AA5" s="10">
        <v>24.54</v>
      </c>
      <c r="AB5" s="95">
        <v>7264900</v>
      </c>
      <c r="AC5" s="10">
        <v>24.54</v>
      </c>
      <c r="AD5" s="2">
        <f t="shared" si="0"/>
        <v>0.25</v>
      </c>
      <c r="AE5" s="138">
        <f t="shared" si="1"/>
        <v>-4.0733197556019896E-4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2428</v>
      </c>
      <c r="W6" s="133">
        <v>42612</v>
      </c>
      <c r="X6" s="10">
        <v>24.72</v>
      </c>
      <c r="Y6" s="10">
        <v>24.77</v>
      </c>
      <c r="Z6" s="10">
        <v>24.5</v>
      </c>
      <c r="AA6" s="10">
        <v>24.55</v>
      </c>
      <c r="AB6" s="95">
        <v>4503600</v>
      </c>
      <c r="AC6" s="10">
        <v>24.55</v>
      </c>
      <c r="AD6" s="2">
        <f t="shared" si="0"/>
        <v>0.26999999999999957</v>
      </c>
      <c r="AE6" s="138">
        <f t="shared" si="1"/>
        <v>-7.679870654809906E-3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187</v>
      </c>
      <c r="Q7" s="2">
        <f>Q10+Q8</f>
        <v>14</v>
      </c>
      <c r="R7" s="30">
        <v>42650</v>
      </c>
      <c r="W7" s="133">
        <v>42611</v>
      </c>
      <c r="X7" s="10">
        <v>24.61</v>
      </c>
      <c r="Y7" s="10">
        <v>24.85</v>
      </c>
      <c r="Z7" s="10">
        <v>24.55</v>
      </c>
      <c r="AA7" s="10">
        <v>24.74</v>
      </c>
      <c r="AB7" s="95">
        <v>6457500</v>
      </c>
      <c r="AC7" s="10">
        <v>24.74</v>
      </c>
      <c r="AD7" s="2">
        <f t="shared" si="0"/>
        <v>0.30000000000000071</v>
      </c>
      <c r="AE7" s="138">
        <f t="shared" si="1"/>
        <v>8.1499592502036755E-3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14</v>
      </c>
      <c r="W8" s="133">
        <v>42608</v>
      </c>
      <c r="X8" s="10">
        <v>24.67</v>
      </c>
      <c r="Y8" s="10">
        <v>24.73</v>
      </c>
      <c r="Z8" s="10">
        <v>24.41</v>
      </c>
      <c r="AA8" s="10">
        <v>24.54</v>
      </c>
      <c r="AB8" s="95">
        <v>8059500</v>
      </c>
      <c r="AC8" s="10">
        <v>24.54</v>
      </c>
      <c r="AD8" s="2">
        <f t="shared" si="0"/>
        <v>0.32000000000000028</v>
      </c>
      <c r="AE8" s="138">
        <f t="shared" si="1"/>
        <v>-1.2210012210012167E-3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5.7660626029654039E-3</v>
      </c>
      <c r="W9" s="133">
        <v>42607</v>
      </c>
      <c r="X9" s="10">
        <v>24.72</v>
      </c>
      <c r="Y9" s="10">
        <v>24.87</v>
      </c>
      <c r="Z9" s="10">
        <v>24.51</v>
      </c>
      <c r="AA9" s="10">
        <v>24.57</v>
      </c>
      <c r="AB9" s="95">
        <v>6383700</v>
      </c>
      <c r="AC9" s="10">
        <v>24.57</v>
      </c>
      <c r="AD9" s="2">
        <f t="shared" si="0"/>
        <v>0.35999999999999943</v>
      </c>
      <c r="AE9" s="138">
        <f t="shared" si="1"/>
        <v>-9.2741935483870996E-3</v>
      </c>
    </row>
    <row r="10" spans="1:31" x14ac:dyDescent="0.25">
      <c r="H10" s="72"/>
      <c r="O10" s="11" t="s">
        <v>223</v>
      </c>
      <c r="P10" s="34"/>
      <c r="Q10" s="2">
        <v>0</v>
      </c>
      <c r="W10" s="133">
        <v>42606</v>
      </c>
      <c r="X10" s="10">
        <v>24.91</v>
      </c>
      <c r="Y10" s="10">
        <v>24.98</v>
      </c>
      <c r="Z10" s="10">
        <v>24.72</v>
      </c>
      <c r="AA10" s="10">
        <v>24.8</v>
      </c>
      <c r="AB10" s="95">
        <v>8275900</v>
      </c>
      <c r="AC10" s="10">
        <v>24.8</v>
      </c>
      <c r="AD10" s="2">
        <f t="shared" si="0"/>
        <v>0.26000000000000156</v>
      </c>
      <c r="AE10" s="138">
        <f t="shared" si="1"/>
        <v>-3.6159100040176195E-3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1.47E-2</v>
      </c>
      <c r="W11" s="133">
        <v>42605</v>
      </c>
      <c r="X11" s="10">
        <v>25.15</v>
      </c>
      <c r="Y11" s="10">
        <v>25.32</v>
      </c>
      <c r="Z11" s="10">
        <v>24.85</v>
      </c>
      <c r="AA11" s="10">
        <v>24.89</v>
      </c>
      <c r="AB11" s="95">
        <v>9037200</v>
      </c>
      <c r="AC11" s="10">
        <v>24.89</v>
      </c>
      <c r="AD11" s="2">
        <f t="shared" si="0"/>
        <v>0.46999999999999886</v>
      </c>
      <c r="AE11" s="138">
        <f t="shared" si="1"/>
        <v>-9.1560509554140523E-3</v>
      </c>
    </row>
    <row r="12" spans="1:31" x14ac:dyDescent="0.25">
      <c r="H12" s="72"/>
      <c r="W12" s="133">
        <v>42604</v>
      </c>
      <c r="X12" s="10">
        <v>25.11</v>
      </c>
      <c r="Y12" s="10">
        <v>25.36</v>
      </c>
      <c r="Z12" s="10">
        <v>25.01</v>
      </c>
      <c r="AA12" s="10">
        <v>25.12</v>
      </c>
      <c r="AB12" s="95">
        <v>8374100</v>
      </c>
      <c r="AC12" s="10">
        <v>25.12</v>
      </c>
      <c r="AD12" s="2">
        <f t="shared" si="0"/>
        <v>0.34999999999999787</v>
      </c>
      <c r="AE12" s="138">
        <f t="shared" si="1"/>
        <v>-1.1928429423457843E-3</v>
      </c>
    </row>
    <row r="13" spans="1:31" x14ac:dyDescent="0.25">
      <c r="H13" s="72"/>
      <c r="W13" s="133">
        <v>42601</v>
      </c>
      <c r="X13" s="10">
        <v>25.05</v>
      </c>
      <c r="Y13" s="10">
        <v>25.17</v>
      </c>
      <c r="Z13" s="10">
        <v>24.86</v>
      </c>
      <c r="AA13" s="10">
        <v>25.15</v>
      </c>
      <c r="AB13" s="95">
        <v>13572200</v>
      </c>
      <c r="AC13" s="10">
        <v>25.15</v>
      </c>
      <c r="AD13" s="2">
        <f t="shared" si="0"/>
        <v>0.31000000000000227</v>
      </c>
      <c r="AE13" s="138">
        <f t="shared" si="1"/>
        <v>2.7910685805423441E-3</v>
      </c>
    </row>
    <row r="14" spans="1:31" x14ac:dyDescent="0.25">
      <c r="H14" s="72"/>
      <c r="W14" s="133">
        <v>42600</v>
      </c>
      <c r="X14" s="10">
        <v>25.44</v>
      </c>
      <c r="Y14" s="10">
        <v>25.52</v>
      </c>
      <c r="Z14" s="10">
        <v>24.99</v>
      </c>
      <c r="AA14" s="10">
        <v>25.08</v>
      </c>
      <c r="AB14" s="95">
        <v>14877200</v>
      </c>
      <c r="AC14" s="10">
        <v>25.08</v>
      </c>
      <c r="AD14" s="2">
        <f t="shared" si="0"/>
        <v>0.53000000000000114</v>
      </c>
      <c r="AE14" s="138">
        <f t="shared" si="1"/>
        <v>-1.5698587127158659E-2</v>
      </c>
    </row>
    <row r="15" spans="1:31" x14ac:dyDescent="0.25">
      <c r="H15" s="72"/>
      <c r="W15" s="133">
        <v>42599</v>
      </c>
      <c r="X15" s="10">
        <v>25.49</v>
      </c>
      <c r="Y15" s="10">
        <v>25.6</v>
      </c>
      <c r="Z15" s="10">
        <v>25.32</v>
      </c>
      <c r="AA15" s="10">
        <v>25.48</v>
      </c>
      <c r="AB15" s="95">
        <v>13351600</v>
      </c>
      <c r="AC15" s="10">
        <v>25.48</v>
      </c>
      <c r="AD15" s="2">
        <f t="shared" si="0"/>
        <v>0.28000000000000114</v>
      </c>
      <c r="AE15" s="138">
        <f t="shared" si="1"/>
        <v>7.8554595443836028E-4</v>
      </c>
    </row>
    <row r="16" spans="1:31" x14ac:dyDescent="0.25">
      <c r="H16" s="72"/>
      <c r="W16" s="133">
        <v>42598</v>
      </c>
      <c r="X16" s="10">
        <v>25.73</v>
      </c>
      <c r="Y16" s="10">
        <v>25.75</v>
      </c>
      <c r="Z16" s="10">
        <v>25.45</v>
      </c>
      <c r="AA16" s="10">
        <v>25.46</v>
      </c>
      <c r="AB16" s="95">
        <v>12208900</v>
      </c>
      <c r="AC16" s="10">
        <v>25.46</v>
      </c>
      <c r="AD16" s="2">
        <f t="shared" si="0"/>
        <v>0.30000000000000071</v>
      </c>
      <c r="AE16" s="138">
        <f t="shared" si="1"/>
        <v>-1.5087040618955494E-2</v>
      </c>
    </row>
    <row r="17" spans="1:31" x14ac:dyDescent="0.25">
      <c r="W17" s="133">
        <v>42597</v>
      </c>
      <c r="X17" s="10">
        <v>26.13</v>
      </c>
      <c r="Y17" s="10">
        <v>26.14</v>
      </c>
      <c r="Z17" s="10">
        <v>25.83</v>
      </c>
      <c r="AA17" s="10">
        <v>25.85</v>
      </c>
      <c r="AB17" s="95">
        <v>6608400</v>
      </c>
      <c r="AC17" s="10">
        <v>25.85</v>
      </c>
      <c r="AD17" s="2">
        <f t="shared" si="0"/>
        <v>0.31000000000000227</v>
      </c>
      <c r="AE17" s="138">
        <f t="shared" si="1"/>
        <v>-6.5334358186009966E-3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2428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42594</v>
      </c>
      <c r="X18" s="10">
        <v>26.05</v>
      </c>
      <c r="Y18" s="10">
        <v>26.37</v>
      </c>
      <c r="Z18" s="10">
        <v>25.95</v>
      </c>
      <c r="AA18" s="10">
        <v>26.02</v>
      </c>
      <c r="AB18" s="95">
        <v>10589700</v>
      </c>
      <c r="AC18" s="10">
        <v>26.02</v>
      </c>
      <c r="AD18" s="2">
        <f t="shared" si="0"/>
        <v>0.42000000000000171</v>
      </c>
      <c r="AE18" s="138">
        <f t="shared" si="1"/>
        <v>-5.3516819571866048E-3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42593</v>
      </c>
      <c r="X19" s="10">
        <v>25.66</v>
      </c>
      <c r="Y19" s="10">
        <v>26.27</v>
      </c>
      <c r="Z19" s="10">
        <v>25.63</v>
      </c>
      <c r="AA19" s="10">
        <v>26.16</v>
      </c>
      <c r="AB19" s="95">
        <v>15405200</v>
      </c>
      <c r="AC19" s="10">
        <v>26.16</v>
      </c>
      <c r="AD19" s="2">
        <f t="shared" si="0"/>
        <v>0.64000000000000057</v>
      </c>
      <c r="AE19" s="138">
        <f t="shared" si="1"/>
        <v>2.2673964034402028E-2</v>
      </c>
    </row>
    <row r="20" spans="1:31" x14ac:dyDescent="0.25">
      <c r="W20" s="133">
        <v>42592</v>
      </c>
      <c r="X20" s="10">
        <v>25.53</v>
      </c>
      <c r="Y20" s="10">
        <v>25.71</v>
      </c>
      <c r="Z20" s="10">
        <v>25.32</v>
      </c>
      <c r="AA20" s="10">
        <v>25.58</v>
      </c>
      <c r="AB20" s="95">
        <v>8030900</v>
      </c>
      <c r="AC20" s="10">
        <v>25.58</v>
      </c>
      <c r="AD20" s="2">
        <f t="shared" si="0"/>
        <v>0.39000000000000057</v>
      </c>
      <c r="AE20" s="138">
        <f t="shared" si="1"/>
        <v>3.9246467817894981E-3</v>
      </c>
    </row>
    <row r="21" spans="1:31" x14ac:dyDescent="0.25">
      <c r="W21" s="133">
        <v>42591</v>
      </c>
      <c r="X21" s="10">
        <v>25.46</v>
      </c>
      <c r="Y21" s="10">
        <v>25.6</v>
      </c>
      <c r="Z21" s="10">
        <v>25.26</v>
      </c>
      <c r="AA21" s="10">
        <v>25.48</v>
      </c>
      <c r="AB21" s="95">
        <v>7564000</v>
      </c>
      <c r="AC21" s="10">
        <v>25.48</v>
      </c>
      <c r="AD21" s="2">
        <f t="shared" si="0"/>
        <v>0.33999999999999986</v>
      </c>
      <c r="AE21" s="138">
        <f t="shared" si="1"/>
        <v>2.7548209366390353E-3</v>
      </c>
    </row>
    <row r="22" spans="1:31" x14ac:dyDescent="0.25">
      <c r="W22" s="133">
        <v>42590</v>
      </c>
      <c r="X22" s="10">
        <v>25.51</v>
      </c>
      <c r="Y22" s="10">
        <v>25.62</v>
      </c>
      <c r="Z22" s="10">
        <v>25.37</v>
      </c>
      <c r="AA22" s="10">
        <v>25.41</v>
      </c>
      <c r="AB22" s="95">
        <v>7921900</v>
      </c>
      <c r="AC22" s="10">
        <v>25.41</v>
      </c>
      <c r="AD22" s="2">
        <f t="shared" si="0"/>
        <v>0.25</v>
      </c>
      <c r="AE22" s="138">
        <f t="shared" si="1"/>
        <v>-8.970358814352597E-3</v>
      </c>
    </row>
    <row r="23" spans="1:31" x14ac:dyDescent="0.25">
      <c r="W23" s="133">
        <v>42587</v>
      </c>
      <c r="X23" s="10">
        <v>25.71</v>
      </c>
      <c r="Y23" s="10">
        <v>25.91</v>
      </c>
      <c r="Z23" s="10">
        <v>25.6</v>
      </c>
      <c r="AA23" s="10">
        <v>25.64</v>
      </c>
      <c r="AB23" s="95">
        <v>13454600</v>
      </c>
      <c r="AC23" s="10">
        <v>25.64</v>
      </c>
      <c r="AD23" s="2">
        <f t="shared" si="0"/>
        <v>0.30999999999999872</v>
      </c>
      <c r="AE23" s="138">
        <f t="shared" si="1"/>
        <v>1.9538882375929045E-3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42586</v>
      </c>
      <c r="X24" s="10">
        <v>26.04</v>
      </c>
      <c r="Y24" s="10">
        <v>26.45</v>
      </c>
      <c r="Z24" s="10">
        <v>25.25</v>
      </c>
      <c r="AA24" s="10">
        <v>25.59</v>
      </c>
      <c r="AB24" s="95">
        <v>46749900</v>
      </c>
      <c r="AC24" s="10">
        <v>25.59</v>
      </c>
      <c r="AD24" s="2">
        <f t="shared" si="0"/>
        <v>1.1999999999999993</v>
      </c>
      <c r="AE24" s="138">
        <f t="shared" si="1"/>
        <v>-5.362426035502954E-2</v>
      </c>
    </row>
    <row r="25" spans="1:31" x14ac:dyDescent="0.25">
      <c r="B25" s="193">
        <v>42545</v>
      </c>
      <c r="C25" s="10">
        <v>100</v>
      </c>
      <c r="D25" s="40">
        <v>24.28</v>
      </c>
      <c r="E25" s="40">
        <v>24.42</v>
      </c>
      <c r="F25" s="40">
        <f t="shared" ref="F25:F58" si="3">C25*(E25-D25)</f>
        <v>14.000000000000057</v>
      </c>
      <c r="G25" s="40">
        <f t="shared" ref="G25:G58" si="4">D25*C25</f>
        <v>2428</v>
      </c>
      <c r="H25" s="231">
        <f t="shared" ref="H25:H58" si="5">(E25-D25)/D25</f>
        <v>5.7660626029654265E-3</v>
      </c>
      <c r="I25" s="40"/>
      <c r="W25" s="133">
        <v>42585</v>
      </c>
      <c r="X25" s="10">
        <v>26.6</v>
      </c>
      <c r="Y25" s="10">
        <v>27.16</v>
      </c>
      <c r="Z25" s="10">
        <v>26.31</v>
      </c>
      <c r="AA25" s="10">
        <v>27.04</v>
      </c>
      <c r="AB25" s="95">
        <v>14284000</v>
      </c>
      <c r="AC25" s="10">
        <v>27.04</v>
      </c>
      <c r="AD25" s="2">
        <f t="shared" si="0"/>
        <v>0.85000000000000142</v>
      </c>
      <c r="AE25" s="138">
        <f t="shared" si="1"/>
        <v>1.2734082397003688E-2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42584</v>
      </c>
      <c r="X26" s="10">
        <v>26.59</v>
      </c>
      <c r="Y26" s="10">
        <v>26.79</v>
      </c>
      <c r="Z26" s="10">
        <v>26.49</v>
      </c>
      <c r="AA26" s="10">
        <v>26.7</v>
      </c>
      <c r="AB26" s="95">
        <v>12317500</v>
      </c>
      <c r="AC26" s="10">
        <v>26.7</v>
      </c>
      <c r="AD26" s="2">
        <f t="shared" si="0"/>
        <v>0.30000000000000071</v>
      </c>
      <c r="AE26" s="138">
        <f t="shared" si="1"/>
        <v>3.0052592036062808E-3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33">
        <v>42583</v>
      </c>
      <c r="X27" s="10">
        <v>26.64</v>
      </c>
      <c r="Y27" s="10">
        <v>26.78</v>
      </c>
      <c r="Z27" s="10">
        <v>26.47</v>
      </c>
      <c r="AA27" s="10">
        <v>26.62</v>
      </c>
      <c r="AB27" s="95">
        <v>8559000</v>
      </c>
      <c r="AC27" s="10">
        <v>26.62</v>
      </c>
      <c r="AD27" s="2">
        <f t="shared" si="0"/>
        <v>0.31000000000000227</v>
      </c>
      <c r="AE27" s="138">
        <f t="shared" si="1"/>
        <v>-7.5075075075070608E-4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42580</v>
      </c>
      <c r="X28" s="10">
        <v>26.67</v>
      </c>
      <c r="Y28" s="10">
        <v>26.82</v>
      </c>
      <c r="Z28" s="10">
        <v>26.45</v>
      </c>
      <c r="AA28" s="10">
        <v>26.64</v>
      </c>
      <c r="AB28" s="95">
        <v>8840600</v>
      </c>
      <c r="AC28" s="10">
        <v>26.64</v>
      </c>
      <c r="AD28" s="2">
        <f t="shared" si="0"/>
        <v>0.37000000000000099</v>
      </c>
      <c r="AE28" s="138">
        <f t="shared" si="1"/>
        <v>-4.484304932735439E-3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42579</v>
      </c>
      <c r="X29" s="10">
        <v>26.72</v>
      </c>
      <c r="Y29" s="10">
        <v>26.86</v>
      </c>
      <c r="Z29" s="10">
        <v>26.57</v>
      </c>
      <c r="AA29" s="10">
        <v>26.76</v>
      </c>
      <c r="AB29" s="95">
        <v>8370100</v>
      </c>
      <c r="AC29" s="10">
        <v>26.76</v>
      </c>
      <c r="AD29" s="2">
        <f t="shared" si="0"/>
        <v>0.28999999999999915</v>
      </c>
      <c r="AE29" s="138">
        <f t="shared" si="1"/>
        <v>7.4794315632020769E-4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42578</v>
      </c>
      <c r="X30" s="10">
        <v>26.82</v>
      </c>
      <c r="Y30" s="10">
        <v>26.86</v>
      </c>
      <c r="Z30" s="10">
        <v>26.62</v>
      </c>
      <c r="AA30" s="10">
        <v>26.74</v>
      </c>
      <c r="AB30" s="95">
        <v>12577200</v>
      </c>
      <c r="AC30" s="10">
        <v>26.74</v>
      </c>
      <c r="AD30" s="2">
        <f t="shared" si="0"/>
        <v>0.23999999999999844</v>
      </c>
      <c r="AE30" s="138">
        <f t="shared" si="1"/>
        <v>0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42577</v>
      </c>
      <c r="X31" s="10">
        <v>26.85</v>
      </c>
      <c r="Y31" s="10">
        <v>27.02</v>
      </c>
      <c r="Z31" s="10">
        <v>26.6</v>
      </c>
      <c r="AA31" s="10">
        <v>26.74</v>
      </c>
      <c r="AB31" s="95">
        <v>8893800</v>
      </c>
      <c r="AC31" s="10">
        <v>26.74</v>
      </c>
      <c r="AD31" s="2">
        <f t="shared" si="0"/>
        <v>0.41999999999999815</v>
      </c>
      <c r="AE31" s="138">
        <f t="shared" si="1"/>
        <v>-4.096834264432192E-3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42576</v>
      </c>
      <c r="X32" s="10">
        <v>27.06</v>
      </c>
      <c r="Y32" s="10">
        <v>27.15</v>
      </c>
      <c r="Z32" s="10">
        <v>26.84</v>
      </c>
      <c r="AA32" s="10">
        <v>26.85</v>
      </c>
      <c r="AB32" s="95">
        <v>10287200</v>
      </c>
      <c r="AC32" s="10">
        <v>26.85</v>
      </c>
      <c r="AD32" s="2">
        <f t="shared" si="0"/>
        <v>0.30999999999999872</v>
      </c>
      <c r="AE32" s="138">
        <f t="shared" si="1"/>
        <v>-9.5905569900405219E-3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236"/>
      <c r="W33" s="133">
        <v>42573</v>
      </c>
      <c r="X33" s="10">
        <v>27.24</v>
      </c>
      <c r="Y33" s="10">
        <v>27.3</v>
      </c>
      <c r="Z33" s="10">
        <v>27.03</v>
      </c>
      <c r="AA33" s="10">
        <v>27.11</v>
      </c>
      <c r="AB33" s="95">
        <v>6601900</v>
      </c>
      <c r="AC33" s="10">
        <v>27.11</v>
      </c>
      <c r="AD33" s="2">
        <f t="shared" si="0"/>
        <v>0.26999999999999957</v>
      </c>
      <c r="AE33" s="138">
        <f t="shared" si="1"/>
        <v>-2.5754231052244059E-3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42572</v>
      </c>
      <c r="X34" s="10">
        <v>26.93</v>
      </c>
      <c r="Y34" s="10">
        <v>27.33</v>
      </c>
      <c r="Z34" s="10">
        <v>26.77</v>
      </c>
      <c r="AA34" s="10">
        <v>27.18</v>
      </c>
      <c r="AB34" s="95">
        <v>7551200</v>
      </c>
      <c r="AC34" s="10">
        <v>27.18</v>
      </c>
      <c r="AD34" s="2">
        <f t="shared" si="0"/>
        <v>0.55999999999999872</v>
      </c>
      <c r="AE34" s="138">
        <f t="shared" si="1"/>
        <v>6.6666666666665986E-3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42571</v>
      </c>
      <c r="X35" s="10">
        <v>27.8</v>
      </c>
      <c r="Y35" s="10">
        <v>27.94</v>
      </c>
      <c r="Z35" s="10">
        <v>26.96</v>
      </c>
      <c r="AA35" s="10">
        <v>27</v>
      </c>
      <c r="AB35" s="95">
        <v>22780500</v>
      </c>
      <c r="AC35" s="10">
        <v>27</v>
      </c>
      <c r="AD35" s="2">
        <f t="shared" si="0"/>
        <v>0.98000000000000043</v>
      </c>
      <c r="AE35" s="138">
        <f t="shared" si="1"/>
        <v>-2.7027027027026973E-2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42570</v>
      </c>
      <c r="X36" s="10">
        <v>27.9</v>
      </c>
      <c r="Y36" s="10">
        <v>27.98</v>
      </c>
      <c r="Z36" s="10">
        <v>27.73</v>
      </c>
      <c r="AA36" s="10">
        <v>27.75</v>
      </c>
      <c r="AB36" s="95">
        <v>10367400</v>
      </c>
      <c r="AC36" s="10">
        <v>27.75</v>
      </c>
      <c r="AD36" s="2">
        <f t="shared" si="0"/>
        <v>0.25</v>
      </c>
      <c r="AE36" s="138">
        <f t="shared" si="1"/>
        <v>-9.6359743040684842E-3</v>
      </c>
    </row>
    <row r="37" spans="2:31" x14ac:dyDescent="0.25">
      <c r="B37" s="74"/>
      <c r="C37" s="4"/>
      <c r="D37" s="3"/>
      <c r="E37" s="3"/>
      <c r="F37" s="3"/>
      <c r="G37" s="3"/>
      <c r="H37" s="280"/>
      <c r="I37" s="3"/>
      <c r="W37" s="133">
        <v>42569</v>
      </c>
      <c r="X37" s="10">
        <v>28.1</v>
      </c>
      <c r="Y37" s="10">
        <v>28.21</v>
      </c>
      <c r="Z37" s="10">
        <v>27.96</v>
      </c>
      <c r="AA37" s="10">
        <v>28.02</v>
      </c>
      <c r="AB37" s="95">
        <v>10827500</v>
      </c>
      <c r="AC37" s="10">
        <v>28.02</v>
      </c>
      <c r="AD37" s="2">
        <f t="shared" si="0"/>
        <v>0.25</v>
      </c>
      <c r="AE37" s="138">
        <f t="shared" si="1"/>
        <v>-3.5676061362832634E-4</v>
      </c>
    </row>
    <row r="38" spans="2:31" x14ac:dyDescent="0.25">
      <c r="B38" s="74"/>
      <c r="C38" s="4"/>
      <c r="D38" s="3"/>
      <c r="E38" s="3"/>
      <c r="F38" s="3"/>
      <c r="G38" s="3"/>
      <c r="H38" s="280"/>
      <c r="I38" s="3"/>
      <c r="W38" s="133">
        <v>42566</v>
      </c>
      <c r="X38" s="10">
        <v>28.33</v>
      </c>
      <c r="Y38" s="10">
        <v>28.33</v>
      </c>
      <c r="Z38" s="10">
        <v>27.79</v>
      </c>
      <c r="AA38" s="10">
        <v>28.03</v>
      </c>
      <c r="AB38" s="95">
        <v>9852600</v>
      </c>
      <c r="AC38" s="10">
        <v>28.03</v>
      </c>
      <c r="AD38" s="2">
        <f t="shared" si="0"/>
        <v>0.53999999999999915</v>
      </c>
      <c r="AE38" s="138">
        <f t="shared" si="1"/>
        <v>-3.2005689900426182E-3</v>
      </c>
    </row>
    <row r="39" spans="2:31" x14ac:dyDescent="0.25">
      <c r="B39" s="74"/>
      <c r="C39" s="4"/>
      <c r="D39" s="3"/>
      <c r="E39" s="3"/>
      <c r="F39" s="3"/>
      <c r="G39" s="3"/>
      <c r="H39" s="280"/>
      <c r="I39" s="3"/>
      <c r="W39" s="133">
        <v>42565</v>
      </c>
      <c r="X39" s="10">
        <v>28.18</v>
      </c>
      <c r="Y39" s="10">
        <v>28.34</v>
      </c>
      <c r="Z39" s="10">
        <v>28.04</v>
      </c>
      <c r="AA39" s="10">
        <v>28.12</v>
      </c>
      <c r="AB39" s="95">
        <v>5922900</v>
      </c>
      <c r="AC39" s="10">
        <v>28.12</v>
      </c>
      <c r="AD39" s="2">
        <f t="shared" si="0"/>
        <v>0.30000000000000071</v>
      </c>
      <c r="AE39" s="138">
        <f t="shared" si="1"/>
        <v>7.1633237822348317E-3</v>
      </c>
    </row>
    <row r="40" spans="2:31" ht="20.25" thickBot="1" x14ac:dyDescent="0.35">
      <c r="B40" s="74"/>
      <c r="C40" s="4"/>
      <c r="D40" s="3"/>
      <c r="E40" s="3"/>
      <c r="F40" s="3"/>
      <c r="G40" s="3"/>
      <c r="H40" s="280"/>
      <c r="I40" s="3"/>
      <c r="O40" s="545" t="s">
        <v>78</v>
      </c>
      <c r="P40" s="545"/>
      <c r="W40" s="133">
        <v>42564</v>
      </c>
      <c r="X40" s="10">
        <v>27.99</v>
      </c>
      <c r="Y40" s="10">
        <v>28.04</v>
      </c>
      <c r="Z40" s="10">
        <v>27.7</v>
      </c>
      <c r="AA40" s="10">
        <v>27.92</v>
      </c>
      <c r="AB40" s="95">
        <v>8214400</v>
      </c>
      <c r="AC40" s="10">
        <v>27.92</v>
      </c>
      <c r="AD40" s="2">
        <f t="shared" si="0"/>
        <v>0.33999999999999986</v>
      </c>
      <c r="AE40" s="138">
        <f t="shared" si="1"/>
        <v>3.2339202299678238E-3</v>
      </c>
    </row>
    <row r="41" spans="2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26.862000000000005</v>
      </c>
      <c r="Q41" s="2"/>
      <c r="W41" s="133">
        <v>42563</v>
      </c>
      <c r="X41" s="10">
        <v>27.79</v>
      </c>
      <c r="Y41" s="10">
        <v>28.12</v>
      </c>
      <c r="Z41" s="10">
        <v>27.75</v>
      </c>
      <c r="AA41" s="10">
        <v>27.83</v>
      </c>
      <c r="AB41" s="95">
        <v>6804000</v>
      </c>
      <c r="AC41" s="10">
        <v>27.83</v>
      </c>
      <c r="AD41" s="2">
        <f t="shared" si="0"/>
        <v>0.37000000000000099</v>
      </c>
      <c r="AE41" s="138">
        <f t="shared" si="1"/>
        <v>2.1606049693914109E-3</v>
      </c>
    </row>
    <row r="42" spans="2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6">O42*$Q$4</f>
        <v>26.617800000000003</v>
      </c>
      <c r="Q42" s="2"/>
      <c r="T42" s="91" t="s">
        <v>113</v>
      </c>
      <c r="W42" s="133">
        <v>42562</v>
      </c>
      <c r="X42" s="10">
        <v>27.73</v>
      </c>
      <c r="Y42" s="10">
        <v>27.99</v>
      </c>
      <c r="Z42" s="10">
        <v>27.63</v>
      </c>
      <c r="AA42" s="10">
        <v>27.77</v>
      </c>
      <c r="AB42" s="95">
        <v>6318600</v>
      </c>
      <c r="AC42" s="10">
        <v>27.77</v>
      </c>
      <c r="AD42" s="2">
        <f t="shared" si="0"/>
        <v>0.35999999999999943</v>
      </c>
      <c r="AE42" s="138">
        <f t="shared" si="1"/>
        <v>2.5270758122744041E-3</v>
      </c>
    </row>
    <row r="43" spans="2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6"/>
        <v>26.373600000000003</v>
      </c>
      <c r="Q43" s="2"/>
      <c r="T43" s="128" t="s">
        <v>98</v>
      </c>
      <c r="U43" s="129">
        <v>24.55</v>
      </c>
      <c r="W43" s="133">
        <v>42559</v>
      </c>
      <c r="X43" s="10">
        <v>27.18</v>
      </c>
      <c r="Y43" s="10">
        <v>27.75</v>
      </c>
      <c r="Z43" s="10">
        <v>27.15</v>
      </c>
      <c r="AA43" s="10">
        <v>27.7</v>
      </c>
      <c r="AB43" s="95">
        <v>8527100</v>
      </c>
      <c r="AC43" s="10">
        <v>27.7</v>
      </c>
      <c r="AD43" s="2">
        <f t="shared" si="0"/>
        <v>0.60000000000000142</v>
      </c>
      <c r="AE43" s="138">
        <f t="shared" si="1"/>
        <v>2.8592647604901655E-2</v>
      </c>
    </row>
    <row r="44" spans="2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6"/>
        <v>26.129400000000004</v>
      </c>
      <c r="Q44" s="2"/>
      <c r="T44" s="93" t="s">
        <v>99</v>
      </c>
      <c r="U44" s="130">
        <v>24.53</v>
      </c>
      <c r="W44" s="133">
        <v>42558</v>
      </c>
      <c r="X44" s="10">
        <v>26.71</v>
      </c>
      <c r="Y44" s="10">
        <v>27.06</v>
      </c>
      <c r="Z44" s="10">
        <v>26.63</v>
      </c>
      <c r="AA44" s="10">
        <v>26.93</v>
      </c>
      <c r="AB44" s="95">
        <v>8552700</v>
      </c>
      <c r="AC44" s="10">
        <v>26.93</v>
      </c>
      <c r="AD44" s="2">
        <f t="shared" si="0"/>
        <v>0.42999999999999972</v>
      </c>
      <c r="AE44" s="138">
        <f t="shared" si="1"/>
        <v>7.1054599850410849E-3</v>
      </c>
    </row>
    <row r="45" spans="2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6"/>
        <v>25.885200000000005</v>
      </c>
      <c r="Q45" s="2"/>
      <c r="T45" s="93" t="s">
        <v>100</v>
      </c>
      <c r="U45" s="130" t="s">
        <v>600</v>
      </c>
      <c r="W45" s="133">
        <v>42557</v>
      </c>
      <c r="X45" s="10">
        <v>26.56</v>
      </c>
      <c r="Y45" s="10">
        <v>26.8</v>
      </c>
      <c r="Z45" s="10">
        <v>26.21</v>
      </c>
      <c r="AA45" s="10">
        <v>26.74</v>
      </c>
      <c r="AB45" s="95">
        <v>9902000</v>
      </c>
      <c r="AC45" s="10">
        <v>26.74</v>
      </c>
      <c r="AD45" s="2">
        <f t="shared" si="0"/>
        <v>0.58999999999999986</v>
      </c>
      <c r="AE45" s="138">
        <f t="shared" si="1"/>
        <v>3.3771106941837825E-3</v>
      </c>
    </row>
    <row r="46" spans="2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6"/>
        <v>25.641000000000002</v>
      </c>
      <c r="Q46" s="2"/>
      <c r="T46" s="93" t="s">
        <v>101</v>
      </c>
      <c r="U46" s="130" t="s">
        <v>601</v>
      </c>
      <c r="W46" s="133">
        <v>42556</v>
      </c>
      <c r="X46" s="10">
        <v>27.27</v>
      </c>
      <c r="Y46" s="10">
        <v>27.28</v>
      </c>
      <c r="Z46" s="10">
        <v>26.52</v>
      </c>
      <c r="AA46" s="10">
        <v>26.65</v>
      </c>
      <c r="AB46" s="95">
        <v>10039000</v>
      </c>
      <c r="AC46" s="10">
        <v>26.65</v>
      </c>
      <c r="AD46" s="2">
        <f t="shared" si="0"/>
        <v>0.76000000000000156</v>
      </c>
      <c r="AE46" s="138">
        <f t="shared" si="1"/>
        <v>-2.2735606894022764E-2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6"/>
        <v>25.396800000000002</v>
      </c>
      <c r="Q47" s="2"/>
      <c r="T47" s="93" t="s">
        <v>102</v>
      </c>
      <c r="U47" s="130">
        <v>32.450000000000003</v>
      </c>
      <c r="W47" s="133">
        <v>42552</v>
      </c>
      <c r="X47" s="10">
        <v>27.06</v>
      </c>
      <c r="Y47" s="10">
        <v>27.37</v>
      </c>
      <c r="Z47" s="10">
        <v>26.91</v>
      </c>
      <c r="AA47" s="10">
        <v>27.27</v>
      </c>
      <c r="AB47" s="95">
        <v>8418400</v>
      </c>
      <c r="AC47" s="10">
        <v>27.27</v>
      </c>
      <c r="AD47" s="2">
        <f t="shared" si="0"/>
        <v>0.46000000000000085</v>
      </c>
      <c r="AE47" s="138">
        <f t="shared" si="1"/>
        <v>8.1330868761553266E-3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6"/>
        <v>25.152600000000003</v>
      </c>
      <c r="Q48" s="2"/>
      <c r="T48" s="93" t="s">
        <v>103</v>
      </c>
      <c r="U48" s="130">
        <v>1.67659</v>
      </c>
      <c r="W48" s="133">
        <v>42551</v>
      </c>
      <c r="X48" s="10">
        <v>27.13</v>
      </c>
      <c r="Y48" s="10">
        <v>27.27</v>
      </c>
      <c r="Z48" s="10">
        <v>26.86</v>
      </c>
      <c r="AA48" s="10">
        <v>27.05</v>
      </c>
      <c r="AB48" s="95">
        <v>15012100</v>
      </c>
      <c r="AC48" s="10">
        <v>27.05</v>
      </c>
      <c r="AD48" s="2">
        <f t="shared" si="0"/>
        <v>0.41000000000000014</v>
      </c>
      <c r="AE48" s="138">
        <f t="shared" si="1"/>
        <v>1.8518518518517713E-3</v>
      </c>
    </row>
    <row r="49" spans="2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6"/>
        <v>24.908400000000004</v>
      </c>
      <c r="Q49" s="2"/>
      <c r="T49" s="93" t="s">
        <v>123</v>
      </c>
      <c r="U49" s="130" t="s">
        <v>334</v>
      </c>
      <c r="W49" s="133">
        <v>42550</v>
      </c>
      <c r="X49" s="10">
        <v>26.77</v>
      </c>
      <c r="Y49" s="10">
        <v>27.08</v>
      </c>
      <c r="Z49" s="10">
        <v>26.73</v>
      </c>
      <c r="AA49" s="10">
        <v>27</v>
      </c>
      <c r="AB49" s="95">
        <v>7479500</v>
      </c>
      <c r="AC49" s="10">
        <v>27</v>
      </c>
      <c r="AD49" s="2">
        <f t="shared" si="0"/>
        <v>0.34999999999999787</v>
      </c>
      <c r="AE49" s="138">
        <f t="shared" si="1"/>
        <v>1.3133208255159623E-2</v>
      </c>
    </row>
    <row r="50" spans="2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6"/>
        <v>24.664200000000001</v>
      </c>
      <c r="Q50" s="2"/>
      <c r="T50" s="93"/>
      <c r="U50" s="130"/>
      <c r="W50" s="133">
        <v>42549</v>
      </c>
      <c r="X50" s="10">
        <v>26.54</v>
      </c>
      <c r="Y50" s="10">
        <v>26.99</v>
      </c>
      <c r="Z50" s="10">
        <v>26.48</v>
      </c>
      <c r="AA50" s="10">
        <v>26.65</v>
      </c>
      <c r="AB50" s="95">
        <v>9266200</v>
      </c>
      <c r="AC50" s="10">
        <v>26.65</v>
      </c>
      <c r="AD50" s="2">
        <f t="shared" si="0"/>
        <v>0.50999999999999801</v>
      </c>
      <c r="AE50" s="138">
        <f t="shared" si="1"/>
        <v>1.0618126659082128E-2</v>
      </c>
    </row>
    <row r="51" spans="2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6"/>
        <v>24.42</v>
      </c>
      <c r="Q51" s="2"/>
      <c r="T51" s="93" t="s">
        <v>105</v>
      </c>
      <c r="U51" s="130" t="s">
        <v>602</v>
      </c>
      <c r="W51" s="133">
        <v>42548</v>
      </c>
      <c r="X51" s="10">
        <v>26.61</v>
      </c>
      <c r="Y51" s="10">
        <v>26.77</v>
      </c>
      <c r="Z51" s="10">
        <v>26.23</v>
      </c>
      <c r="AA51" s="10">
        <v>26.37</v>
      </c>
      <c r="AB51" s="95">
        <v>14996600</v>
      </c>
      <c r="AC51" s="10">
        <v>26.37</v>
      </c>
      <c r="AD51" s="2">
        <f t="shared" si="0"/>
        <v>0.53999999999999915</v>
      </c>
      <c r="AE51" s="138">
        <f t="shared" si="1"/>
        <v>-2.1158129175946505E-2</v>
      </c>
    </row>
    <row r="52" spans="2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6"/>
        <v>24.175800000000002</v>
      </c>
      <c r="Q52" s="2"/>
      <c r="T52" s="93" t="s">
        <v>106</v>
      </c>
      <c r="U52" s="130" t="s">
        <v>603</v>
      </c>
      <c r="W52" s="133">
        <v>42545</v>
      </c>
      <c r="X52" s="10">
        <v>27.97</v>
      </c>
      <c r="Y52" s="10">
        <v>28.18</v>
      </c>
      <c r="Z52" s="10">
        <v>26.89</v>
      </c>
      <c r="AA52" s="10">
        <v>26.94</v>
      </c>
      <c r="AB52" s="95">
        <v>23189400</v>
      </c>
      <c r="AC52" s="10">
        <v>26.94</v>
      </c>
      <c r="AD52" s="2">
        <f t="shared" si="0"/>
        <v>1.2899999999999991</v>
      </c>
      <c r="AE52" s="138">
        <f t="shared" si="1"/>
        <v>-7.7397260273972535E-2</v>
      </c>
    </row>
    <row r="53" spans="2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6"/>
        <v>23.9316</v>
      </c>
      <c r="Q53" s="2"/>
      <c r="T53" s="93" t="s">
        <v>107</v>
      </c>
      <c r="U53" s="131">
        <v>8132323</v>
      </c>
      <c r="W53" s="133">
        <v>42544</v>
      </c>
      <c r="X53" s="10">
        <v>29.15</v>
      </c>
      <c r="Y53" s="10">
        <v>29.33</v>
      </c>
      <c r="Z53" s="10">
        <v>28.99</v>
      </c>
      <c r="AA53" s="10">
        <v>29.2</v>
      </c>
      <c r="AB53" s="95">
        <v>5166100</v>
      </c>
      <c r="AC53" s="10">
        <v>29.2</v>
      </c>
      <c r="AD53" s="2">
        <f t="shared" si="0"/>
        <v>0.33999999999999986</v>
      </c>
      <c r="AE53" s="138">
        <f t="shared" si="1"/>
        <v>9.6818810511756226E-3</v>
      </c>
    </row>
    <row r="54" spans="2:31" x14ac:dyDescent="0.25">
      <c r="B54" s="74"/>
      <c r="C54" s="4"/>
      <c r="D54" s="3"/>
      <c r="E54" s="3"/>
      <c r="F54" s="3"/>
      <c r="G54" s="3"/>
      <c r="H54" s="280"/>
      <c r="I54" s="3"/>
      <c r="O54" s="83">
        <v>0.97</v>
      </c>
      <c r="P54" s="83">
        <f t="shared" si="6"/>
        <v>23.6874</v>
      </c>
      <c r="T54" s="93" t="s">
        <v>110</v>
      </c>
      <c r="U54" s="131">
        <v>9897630</v>
      </c>
      <c r="W54" s="133">
        <v>42543</v>
      </c>
      <c r="X54" s="10">
        <v>28.91</v>
      </c>
      <c r="Y54" s="10">
        <v>29.17</v>
      </c>
      <c r="Z54" s="10">
        <v>28.65</v>
      </c>
      <c r="AA54" s="10">
        <v>28.92</v>
      </c>
      <c r="AB54" s="95">
        <v>4667400</v>
      </c>
      <c r="AC54" s="10">
        <v>28.92</v>
      </c>
      <c r="AD54" s="2">
        <f t="shared" si="0"/>
        <v>0.52000000000000313</v>
      </c>
      <c r="AE54" s="138">
        <f t="shared" si="1"/>
        <v>4.1666666666666519E-3</v>
      </c>
    </row>
    <row r="55" spans="2:31" x14ac:dyDescent="0.25">
      <c r="B55" s="74"/>
      <c r="C55" s="4"/>
      <c r="D55" s="3"/>
      <c r="E55" s="3"/>
      <c r="F55" s="3"/>
      <c r="G55" s="3"/>
      <c r="H55" s="280"/>
      <c r="I55" s="3"/>
      <c r="O55" s="83">
        <v>0.96</v>
      </c>
      <c r="P55" s="83">
        <f t="shared" si="6"/>
        <v>23.443200000000001</v>
      </c>
      <c r="T55" s="93" t="s">
        <v>108</v>
      </c>
      <c r="U55" s="130" t="s">
        <v>604</v>
      </c>
      <c r="W55" s="133">
        <v>42542</v>
      </c>
      <c r="X55" s="10">
        <v>29.16</v>
      </c>
      <c r="Y55" s="10">
        <v>29.21</v>
      </c>
      <c r="Z55" s="10">
        <v>28.72</v>
      </c>
      <c r="AA55" s="10">
        <v>28.8</v>
      </c>
      <c r="AB55" s="95">
        <v>5265800</v>
      </c>
      <c r="AC55" s="10">
        <v>28.8</v>
      </c>
      <c r="AD55" s="2">
        <f t="shared" si="0"/>
        <v>0.49000000000000199</v>
      </c>
      <c r="AE55" s="138">
        <f t="shared" si="1"/>
        <v>-1.336073997944498E-2</v>
      </c>
    </row>
    <row r="56" spans="2:31" x14ac:dyDescent="0.25">
      <c r="B56" s="74"/>
      <c r="C56" s="4"/>
      <c r="D56" s="3"/>
      <c r="E56" s="3"/>
      <c r="F56" s="3"/>
      <c r="G56" s="3"/>
      <c r="H56" s="280"/>
      <c r="I56" s="3"/>
      <c r="O56" s="83">
        <v>0.95</v>
      </c>
      <c r="P56" s="83">
        <f t="shared" si="6"/>
        <v>23.199000000000002</v>
      </c>
      <c r="T56" s="93" t="s">
        <v>111</v>
      </c>
      <c r="U56" s="130">
        <v>17.25</v>
      </c>
      <c r="W56" s="133">
        <v>42541</v>
      </c>
      <c r="X56" s="10">
        <v>29.1</v>
      </c>
      <c r="Y56" s="10">
        <v>29.41</v>
      </c>
      <c r="Z56" s="10">
        <v>29.06</v>
      </c>
      <c r="AA56" s="10">
        <v>29.19</v>
      </c>
      <c r="AB56" s="95">
        <v>7519400</v>
      </c>
      <c r="AC56" s="10">
        <v>29.19</v>
      </c>
      <c r="AD56" s="2">
        <f t="shared" si="0"/>
        <v>0.35000000000000142</v>
      </c>
      <c r="AE56" s="138">
        <f t="shared" si="1"/>
        <v>1.3541666666666785E-2</v>
      </c>
    </row>
    <row r="57" spans="2:31" x14ac:dyDescent="0.25">
      <c r="B57" s="74"/>
      <c r="C57" s="4"/>
      <c r="D57" s="3"/>
      <c r="E57" s="3"/>
      <c r="F57" s="3"/>
      <c r="G57" s="3"/>
      <c r="H57" s="280"/>
      <c r="I57" s="3"/>
      <c r="O57" s="83">
        <v>0.94</v>
      </c>
      <c r="P57" s="83">
        <f t="shared" si="6"/>
        <v>22.954799999999999</v>
      </c>
      <c r="T57" s="93" t="s">
        <v>112</v>
      </c>
      <c r="U57" s="130">
        <v>1.42</v>
      </c>
      <c r="W57" s="133">
        <v>42538</v>
      </c>
      <c r="X57" s="10">
        <v>29.13</v>
      </c>
      <c r="Y57" s="10">
        <v>29.13</v>
      </c>
      <c r="Z57" s="10">
        <v>28.69</v>
      </c>
      <c r="AA57" s="10">
        <v>28.8</v>
      </c>
      <c r="AB57" s="95">
        <v>13198400</v>
      </c>
      <c r="AC57" s="10">
        <v>28.8</v>
      </c>
      <c r="AD57" s="2">
        <f t="shared" si="0"/>
        <v>0.43999999999999773</v>
      </c>
      <c r="AE57" s="138">
        <f t="shared" si="1"/>
        <v>-1.1328527291452062E-2</v>
      </c>
    </row>
    <row r="58" spans="2:31" x14ac:dyDescent="0.25">
      <c r="B58" s="74"/>
      <c r="C58" s="4"/>
      <c r="D58" s="3"/>
      <c r="E58" s="3"/>
      <c r="F58" s="3"/>
      <c r="G58" s="3"/>
      <c r="H58" s="280"/>
      <c r="I58" s="3"/>
      <c r="O58" s="83">
        <v>0.93</v>
      </c>
      <c r="P58" s="83">
        <f t="shared" si="6"/>
        <v>22.710600000000003</v>
      </c>
      <c r="T58" s="93" t="s">
        <v>109</v>
      </c>
      <c r="U58" s="130" t="s">
        <v>605</v>
      </c>
      <c r="W58" s="133">
        <v>42537</v>
      </c>
      <c r="X58" s="10">
        <v>28.85</v>
      </c>
      <c r="Y58" s="10">
        <v>29.33</v>
      </c>
      <c r="Z58" s="10">
        <v>28.54</v>
      </c>
      <c r="AA58" s="10">
        <v>29.13</v>
      </c>
      <c r="AB58" s="95">
        <v>6620500</v>
      </c>
      <c r="AC58" s="10">
        <v>29.13</v>
      </c>
      <c r="AD58" s="2">
        <f t="shared" si="0"/>
        <v>0.78999999999999915</v>
      </c>
      <c r="AE58" s="138">
        <f t="shared" si="1"/>
        <v>5.8701657458561929E-3</v>
      </c>
    </row>
    <row r="59" spans="2:31" x14ac:dyDescent="0.25">
      <c r="B59" s="74"/>
      <c r="C59" s="4"/>
      <c r="D59" s="3"/>
      <c r="E59" s="3"/>
      <c r="F59" s="3"/>
      <c r="G59" s="3"/>
      <c r="H59" s="280"/>
      <c r="I59" s="3"/>
      <c r="O59" s="83">
        <v>0.92</v>
      </c>
      <c r="P59" s="83">
        <f t="shared" si="6"/>
        <v>22.466400000000004</v>
      </c>
      <c r="W59" s="133">
        <v>42536</v>
      </c>
      <c r="X59" s="10">
        <v>28.88</v>
      </c>
      <c r="Y59" s="10">
        <v>29.21</v>
      </c>
      <c r="Z59" s="10">
        <v>28.86</v>
      </c>
      <c r="AA59" s="10">
        <v>28.96</v>
      </c>
      <c r="AB59" s="95">
        <v>6454400</v>
      </c>
      <c r="AC59" s="10">
        <v>28.96</v>
      </c>
      <c r="AD59" s="2">
        <f t="shared" si="0"/>
        <v>0.35000000000000142</v>
      </c>
      <c r="AE59" s="138">
        <f t="shared" si="1"/>
        <v>3.1174229303776446E-3</v>
      </c>
    </row>
    <row r="60" spans="2:31" x14ac:dyDescent="0.25">
      <c r="B60" s="74"/>
      <c r="C60" s="4"/>
      <c r="D60" s="3"/>
      <c r="E60" s="3"/>
      <c r="F60" s="3"/>
      <c r="G60" s="3"/>
      <c r="H60" s="280"/>
      <c r="I60" s="3"/>
      <c r="O60" s="83">
        <v>0.91</v>
      </c>
      <c r="P60" s="83">
        <f t="shared" si="6"/>
        <v>22.222200000000001</v>
      </c>
      <c r="W60" s="133">
        <v>42535</v>
      </c>
      <c r="X60" s="10">
        <v>28.84</v>
      </c>
      <c r="Y60" s="10">
        <v>29</v>
      </c>
      <c r="Z60" s="10">
        <v>28.57</v>
      </c>
      <c r="AA60" s="10">
        <v>28.87</v>
      </c>
      <c r="AB60" s="95">
        <v>7230300</v>
      </c>
      <c r="AC60" s="10">
        <v>28.87</v>
      </c>
      <c r="AD60" s="2">
        <f t="shared" si="0"/>
        <v>0.42999999999999972</v>
      </c>
      <c r="AE60" s="138">
        <f t="shared" si="1"/>
        <v>-1.3836042891732792E-3</v>
      </c>
    </row>
    <row r="61" spans="2:31" x14ac:dyDescent="0.25">
      <c r="B61" s="74"/>
      <c r="C61" s="4"/>
      <c r="D61" s="3"/>
      <c r="E61" s="3"/>
      <c r="F61" s="3"/>
      <c r="G61" s="3"/>
      <c r="H61" s="280"/>
      <c r="I61" s="3"/>
      <c r="O61" s="83">
        <v>0.9</v>
      </c>
      <c r="P61" s="83">
        <f t="shared" si="6"/>
        <v>21.978000000000002</v>
      </c>
      <c r="W61" s="133">
        <v>42534</v>
      </c>
      <c r="X61" s="10">
        <v>28.88</v>
      </c>
      <c r="Y61" s="10">
        <v>29.19</v>
      </c>
      <c r="Z61" s="10">
        <v>28.78</v>
      </c>
      <c r="AA61" s="10">
        <v>28.91</v>
      </c>
      <c r="AB61" s="95">
        <v>6012900</v>
      </c>
      <c r="AC61" s="10">
        <v>28.91</v>
      </c>
      <c r="AD61" s="2">
        <f t="shared" si="0"/>
        <v>0.41000000000000014</v>
      </c>
      <c r="AE61" s="138">
        <f t="shared" si="1"/>
        <v>-6.913238852401804E-4</v>
      </c>
    </row>
    <row r="62" spans="2:31" x14ac:dyDescent="0.25">
      <c r="B62" s="74"/>
      <c r="C62" s="4"/>
      <c r="D62" s="3"/>
      <c r="E62" s="3"/>
      <c r="F62" s="3"/>
      <c r="G62" s="3"/>
      <c r="H62" s="280"/>
      <c r="I62" s="3"/>
      <c r="W62" s="133">
        <v>42531</v>
      </c>
      <c r="X62" s="10">
        <v>28.94</v>
      </c>
      <c r="Y62" s="10">
        <v>29.08</v>
      </c>
      <c r="Z62" s="10">
        <v>28.76</v>
      </c>
      <c r="AA62" s="10">
        <v>28.93</v>
      </c>
      <c r="AB62" s="95">
        <v>7303200</v>
      </c>
      <c r="AC62" s="10">
        <v>28.93</v>
      </c>
      <c r="AD62" s="2">
        <f t="shared" si="0"/>
        <v>0.31999999999999673</v>
      </c>
      <c r="AE62" s="138">
        <f t="shared" si="1"/>
        <v>-1.3301500682128209E-2</v>
      </c>
    </row>
    <row r="63" spans="2:31" x14ac:dyDescent="0.25">
      <c r="B63" s="74"/>
      <c r="C63" s="4"/>
      <c r="D63" s="3"/>
      <c r="E63" s="3"/>
      <c r="F63" s="3"/>
      <c r="G63" s="3"/>
      <c r="H63" s="280"/>
      <c r="I63" s="3"/>
      <c r="W63" s="133">
        <v>42530</v>
      </c>
      <c r="X63" s="10">
        <v>29.34</v>
      </c>
      <c r="Y63" s="10">
        <v>29.4</v>
      </c>
      <c r="Z63" s="10">
        <v>28.98</v>
      </c>
      <c r="AA63" s="10">
        <v>29.32</v>
      </c>
      <c r="AB63" s="95">
        <v>6787700</v>
      </c>
      <c r="AC63" s="10">
        <v>29.32</v>
      </c>
      <c r="AD63" s="2">
        <f t="shared" si="0"/>
        <v>0.41999999999999815</v>
      </c>
      <c r="AE63" s="138">
        <f t="shared" si="1"/>
        <v>-4.0760869565217295E-3</v>
      </c>
    </row>
    <row r="64" spans="2:31" x14ac:dyDescent="0.25">
      <c r="B64" s="4"/>
      <c r="C64" s="4"/>
      <c r="D64" s="3"/>
      <c r="E64" s="3"/>
      <c r="F64" s="3"/>
      <c r="G64" s="4"/>
      <c r="H64" s="4"/>
      <c r="I64" s="3"/>
      <c r="W64" s="133">
        <v>42529</v>
      </c>
      <c r="X64" s="10">
        <v>29.24</v>
      </c>
      <c r="Y64" s="10">
        <v>29.46</v>
      </c>
      <c r="Z64" s="10">
        <v>29.18</v>
      </c>
      <c r="AA64" s="10">
        <v>29.44</v>
      </c>
      <c r="AB64" s="95">
        <v>5622600</v>
      </c>
      <c r="AC64" s="10">
        <v>29.44</v>
      </c>
      <c r="AD64" s="2">
        <f t="shared" si="0"/>
        <v>0.28000000000000114</v>
      </c>
      <c r="AE64" s="138">
        <f t="shared" si="1"/>
        <v>4.778156996587013E-3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42528</v>
      </c>
      <c r="X65" s="10">
        <v>29.44</v>
      </c>
      <c r="Y65" s="10">
        <v>29.58</v>
      </c>
      <c r="Z65" s="10">
        <v>29.29</v>
      </c>
      <c r="AA65" s="10">
        <v>29.3</v>
      </c>
      <c r="AB65" s="95">
        <v>8911000</v>
      </c>
      <c r="AC65" s="10">
        <v>29.3</v>
      </c>
      <c r="AD65" s="2">
        <f t="shared" si="0"/>
        <v>0.28999999999999915</v>
      </c>
      <c r="AE65" s="138">
        <f t="shared" si="1"/>
        <v>-4.7554347826087584E-3</v>
      </c>
    </row>
    <row r="66" spans="2:31" x14ac:dyDescent="0.25">
      <c r="W66" s="133">
        <v>42527</v>
      </c>
      <c r="X66" s="10">
        <v>29.48</v>
      </c>
      <c r="Y66" s="10">
        <v>29.59</v>
      </c>
      <c r="Z66" s="10">
        <v>29.34</v>
      </c>
      <c r="AA66" s="10">
        <v>29.44</v>
      </c>
      <c r="AB66" s="95">
        <v>4752300</v>
      </c>
      <c r="AC66" s="10">
        <v>29.44</v>
      </c>
      <c r="AD66" s="2">
        <f t="shared" si="0"/>
        <v>0.25</v>
      </c>
      <c r="AE66" s="138">
        <f t="shared" si="1"/>
        <v>2.0422055820286111E-3</v>
      </c>
    </row>
    <row r="67" spans="2:31" x14ac:dyDescent="0.25">
      <c r="W67" s="133">
        <v>42524</v>
      </c>
      <c r="X67" s="10">
        <v>28.94</v>
      </c>
      <c r="Y67" s="10">
        <v>29.49</v>
      </c>
      <c r="Z67" s="10">
        <v>28.82</v>
      </c>
      <c r="AA67" s="10">
        <v>29.38</v>
      </c>
      <c r="AB67" s="95">
        <v>5960400</v>
      </c>
      <c r="AC67" s="10">
        <v>29.38</v>
      </c>
      <c r="AD67" s="2">
        <f>Y67-Z67</f>
        <v>0.66999999999999815</v>
      </c>
      <c r="AE67" s="138" t="e">
        <f>AC67/#REF!-1</f>
        <v>#REF!</v>
      </c>
    </row>
    <row r="68" spans="2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3 H33:H63">
    <cfRule type="expression" dxfId="9" priority="9">
      <formula>F33&gt;0</formula>
    </cfRule>
    <cfRule type="expression" dxfId="8" priority="10">
      <formula>F33&lt;0</formula>
    </cfRule>
  </conditionalFormatting>
  <conditionalFormatting sqref="Q7">
    <cfRule type="expression" dxfId="7" priority="7">
      <formula>Q7&gt;0</formula>
    </cfRule>
    <cfRule type="expression" dxfId="6" priority="8">
      <formula>Q7&lt;0</formula>
    </cfRule>
  </conditionalFormatting>
  <conditionalFormatting sqref="Q8">
    <cfRule type="expression" dxfId="5" priority="5">
      <formula>Q8&gt;0</formula>
    </cfRule>
    <cfRule type="expression" dxfId="4" priority="6">
      <formula>Q8&lt;0</formula>
    </cfRule>
  </conditionalFormatting>
  <conditionalFormatting sqref="F25:F32">
    <cfRule type="expression" dxfId="3" priority="3">
      <formula>F25&gt;0</formula>
    </cfRule>
    <cfRule type="expression" dxfId="2" priority="4">
      <formula>F25&lt;0</formula>
    </cfRule>
  </conditionalFormatting>
  <conditionalFormatting sqref="H25:H32">
    <cfRule type="expression" dxfId="1" priority="1">
      <formula>H25&gt;0</formula>
    </cfRule>
    <cfRule type="expression" dxfId="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8554687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254</v>
      </c>
      <c r="B2" s="475">
        <v>42545</v>
      </c>
      <c r="C2" s="4">
        <v>100</v>
      </c>
      <c r="D2" s="3">
        <v>25.25</v>
      </c>
      <c r="E2" s="3">
        <v>0</v>
      </c>
      <c r="F2" s="3">
        <f>D2*C2+E2</f>
        <v>2525</v>
      </c>
      <c r="G2" s="475">
        <v>42577</v>
      </c>
      <c r="H2" s="82">
        <v>30</v>
      </c>
      <c r="I2" s="44">
        <v>25.81</v>
      </c>
      <c r="J2" s="44">
        <v>0.02</v>
      </c>
      <c r="K2" s="44">
        <f>H2*I2-J2</f>
        <v>774.28</v>
      </c>
      <c r="L2" s="74">
        <v>42613</v>
      </c>
      <c r="M2" s="44">
        <v>90</v>
      </c>
      <c r="O2" s="11" t="s">
        <v>57</v>
      </c>
      <c r="Q2">
        <f>C18-H18</f>
        <v>200</v>
      </c>
      <c r="T2" s="1">
        <v>42568</v>
      </c>
      <c r="U2" t="s">
        <v>294</v>
      </c>
      <c r="W2" s="133">
        <v>42615</v>
      </c>
      <c r="X2" s="10">
        <v>25.83</v>
      </c>
      <c r="Y2" s="10">
        <v>26.16</v>
      </c>
      <c r="Z2" s="10">
        <v>25.47</v>
      </c>
      <c r="AA2" s="10">
        <v>25.94</v>
      </c>
      <c r="AB2" s="95">
        <v>3612800</v>
      </c>
      <c r="AC2" s="10">
        <v>25.94</v>
      </c>
      <c r="AD2" s="2">
        <f>Y2-Z2</f>
        <v>0.69000000000000128</v>
      </c>
      <c r="AE2" s="138">
        <f>AC2/AC3-1</f>
        <v>1.3281249999999911E-2</v>
      </c>
    </row>
    <row r="3" spans="1:31" x14ac:dyDescent="0.25">
      <c r="A3" s="23" t="s">
        <v>71</v>
      </c>
      <c r="B3" s="475">
        <v>42580</v>
      </c>
      <c r="C3" s="7">
        <v>30</v>
      </c>
      <c r="D3" s="44">
        <v>23.78</v>
      </c>
      <c r="E3" s="44">
        <v>0</v>
      </c>
      <c r="F3" s="44">
        <f>D3*C3+E3</f>
        <v>713.40000000000009</v>
      </c>
      <c r="G3" s="475">
        <v>42597</v>
      </c>
      <c r="H3" s="82">
        <v>70</v>
      </c>
      <c r="I3" s="44">
        <v>22.94</v>
      </c>
      <c r="J3" s="44">
        <v>0.38</v>
      </c>
      <c r="K3" s="44">
        <f>H3*I3-J3</f>
        <v>1605.42</v>
      </c>
      <c r="L3" s="4"/>
      <c r="O3" s="11" t="s">
        <v>58</v>
      </c>
      <c r="Q3" s="230">
        <f>IF(Q2=0, Q4, (F18-K18-M18)/Q2)</f>
        <v>22.104099999999999</v>
      </c>
      <c r="T3" s="1" t="s">
        <v>295</v>
      </c>
      <c r="W3" s="133">
        <v>42614</v>
      </c>
      <c r="X3" s="10">
        <v>26.11</v>
      </c>
      <c r="Y3" s="10">
        <v>26.18</v>
      </c>
      <c r="Z3" s="10">
        <v>25.47</v>
      </c>
      <c r="AA3" s="10">
        <v>25.6</v>
      </c>
      <c r="AB3" s="95">
        <v>4141100</v>
      </c>
      <c r="AC3" s="10">
        <v>25.6</v>
      </c>
      <c r="AD3" s="2">
        <f t="shared" ref="AD3:AD66" si="0">Y3-Z3</f>
        <v>0.71000000000000085</v>
      </c>
      <c r="AE3" s="138">
        <f t="shared" ref="AE3:AE66" si="1">AC3/AC4-1</f>
        <v>-1.538461538461533E-2</v>
      </c>
    </row>
    <row r="4" spans="1:31" x14ac:dyDescent="0.25">
      <c r="B4" s="74">
        <v>42586</v>
      </c>
      <c r="C4" s="7">
        <v>100</v>
      </c>
      <c r="D4" s="44">
        <v>22.65</v>
      </c>
      <c r="E4" s="44">
        <v>0</v>
      </c>
      <c r="F4" s="44">
        <f>D4*C4+E4</f>
        <v>2265</v>
      </c>
      <c r="G4" s="475">
        <v>42599</v>
      </c>
      <c r="H4" s="82">
        <v>30</v>
      </c>
      <c r="I4" s="44">
        <v>23.48</v>
      </c>
      <c r="J4" s="44">
        <v>0.02</v>
      </c>
      <c r="K4" s="44">
        <f>H4*I4-J4</f>
        <v>704.38</v>
      </c>
      <c r="L4" s="4"/>
      <c r="O4" s="11" t="s">
        <v>66</v>
      </c>
      <c r="Q4" s="55">
        <v>25.65</v>
      </c>
      <c r="T4" s="163"/>
      <c r="U4" s="1"/>
      <c r="W4" s="133">
        <v>42613</v>
      </c>
      <c r="X4" s="10">
        <v>25.97</v>
      </c>
      <c r="Y4" s="10">
        <v>26.75</v>
      </c>
      <c r="Z4" s="10">
        <v>25.68</v>
      </c>
      <c r="AA4" s="10">
        <v>26</v>
      </c>
      <c r="AB4" s="95">
        <v>8891500</v>
      </c>
      <c r="AC4" s="10">
        <v>26</v>
      </c>
      <c r="AD4" s="2">
        <f t="shared" si="0"/>
        <v>1.0700000000000003</v>
      </c>
      <c r="AE4" s="138">
        <f t="shared" si="1"/>
        <v>-6.4959877722583492E-3</v>
      </c>
    </row>
    <row r="5" spans="1:31" x14ac:dyDescent="0.25">
      <c r="B5" s="74">
        <v>42586</v>
      </c>
      <c r="C5" s="4">
        <v>100</v>
      </c>
      <c r="D5" s="3">
        <v>20.92</v>
      </c>
      <c r="E5" s="3">
        <v>-0.5</v>
      </c>
      <c r="F5" s="3">
        <f>D5*C5+E5</f>
        <v>2091.5</v>
      </c>
      <c r="G5" s="4"/>
      <c r="H5" s="185"/>
      <c r="I5" s="3"/>
      <c r="J5" s="3"/>
      <c r="K5" s="3"/>
      <c r="L5" s="4"/>
      <c r="O5" s="11" t="s">
        <v>67</v>
      </c>
      <c r="Q5" s="3">
        <f>Q4*Q2</f>
        <v>5130</v>
      </c>
      <c r="W5" s="133">
        <v>42612</v>
      </c>
      <c r="X5" s="10">
        <v>24.98</v>
      </c>
      <c r="Y5" s="10">
        <v>26.73</v>
      </c>
      <c r="Z5" s="10">
        <v>24.88</v>
      </c>
      <c r="AA5" s="10">
        <v>26.17</v>
      </c>
      <c r="AB5" s="95">
        <v>13912700</v>
      </c>
      <c r="AC5" s="10">
        <v>26.17</v>
      </c>
      <c r="AD5" s="2">
        <f t="shared" si="0"/>
        <v>1.8500000000000014</v>
      </c>
      <c r="AE5" s="138">
        <f t="shared" si="1"/>
        <v>4.7638110488390728E-2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4420.82</v>
      </c>
      <c r="W6" s="133">
        <v>42611</v>
      </c>
      <c r="X6" s="10">
        <v>24.45</v>
      </c>
      <c r="Y6" s="10">
        <v>25.11</v>
      </c>
      <c r="Z6" s="10">
        <v>24.35</v>
      </c>
      <c r="AA6" s="10">
        <v>24.98</v>
      </c>
      <c r="AB6" s="95">
        <v>4905700</v>
      </c>
      <c r="AC6" s="10">
        <v>24.98</v>
      </c>
      <c r="AD6" s="2">
        <f t="shared" si="0"/>
        <v>0.75999999999999801</v>
      </c>
      <c r="AE6" s="138">
        <f t="shared" si="1"/>
        <v>4.1701417848206912E-2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709.18000000000029</v>
      </c>
      <c r="R7">
        <v>200</v>
      </c>
      <c r="W7" s="133">
        <v>42608</v>
      </c>
      <c r="X7" s="10">
        <v>24.56</v>
      </c>
      <c r="Y7" s="10">
        <v>24.8</v>
      </c>
      <c r="Z7" s="10">
        <v>23.88</v>
      </c>
      <c r="AA7" s="10">
        <v>23.98</v>
      </c>
      <c r="AB7" s="95">
        <v>5168800</v>
      </c>
      <c r="AC7" s="10">
        <v>23.98</v>
      </c>
      <c r="AD7" s="2">
        <f t="shared" si="0"/>
        <v>0.92000000000000171</v>
      </c>
      <c r="AE7" s="138">
        <f t="shared" si="1"/>
        <v>-1.0317787866281458E-2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709.18000000000029</v>
      </c>
      <c r="W8" s="133">
        <v>42607</v>
      </c>
      <c r="X8" s="10">
        <v>23.94</v>
      </c>
      <c r="Y8" s="10">
        <v>24.59</v>
      </c>
      <c r="Z8" s="10">
        <v>23.94</v>
      </c>
      <c r="AA8" s="10">
        <v>24.23</v>
      </c>
      <c r="AB8" s="95">
        <v>4955300</v>
      </c>
      <c r="AC8" s="10">
        <v>24.23</v>
      </c>
      <c r="AD8" s="2">
        <f t="shared" si="0"/>
        <v>0.64999999999999858</v>
      </c>
      <c r="AE8" s="138">
        <f t="shared" si="1"/>
        <v>7.9034941763727051E-3</v>
      </c>
    </row>
    <row r="9" spans="1:31" x14ac:dyDescent="0.25">
      <c r="H9" s="72"/>
      <c r="O9" s="11" t="s">
        <v>224</v>
      </c>
      <c r="Q9" s="138">
        <f>IF(Q2=0, 0, Q8/Q6)</f>
        <v>0.16041820295782239</v>
      </c>
      <c r="W9" s="133">
        <v>42606</v>
      </c>
      <c r="X9" s="10">
        <v>24.93</v>
      </c>
      <c r="Y9" s="10">
        <v>24.95</v>
      </c>
      <c r="Z9" s="10">
        <v>23.97</v>
      </c>
      <c r="AA9" s="10">
        <v>24.04</v>
      </c>
      <c r="AB9" s="95">
        <v>6321200</v>
      </c>
      <c r="AC9" s="10">
        <v>24.04</v>
      </c>
      <c r="AD9" s="2">
        <f t="shared" si="0"/>
        <v>0.98000000000000043</v>
      </c>
      <c r="AE9" s="138">
        <f t="shared" si="1"/>
        <v>-3.1816351188078906E-2</v>
      </c>
    </row>
    <row r="10" spans="1:31" x14ac:dyDescent="0.25">
      <c r="H10" s="72"/>
      <c r="O10" s="11" t="s">
        <v>223</v>
      </c>
      <c r="P10" s="34"/>
      <c r="Q10" s="2">
        <v>0</v>
      </c>
      <c r="W10" s="133">
        <v>42605</v>
      </c>
      <c r="X10" s="10">
        <v>24.39</v>
      </c>
      <c r="Y10" s="10">
        <v>25.55</v>
      </c>
      <c r="Z10" s="10">
        <v>24.36</v>
      </c>
      <c r="AA10" s="10">
        <v>24.83</v>
      </c>
      <c r="AB10" s="95">
        <v>7825300</v>
      </c>
      <c r="AC10" s="10">
        <v>24.83</v>
      </c>
      <c r="AD10" s="2">
        <f t="shared" si="0"/>
        <v>1.1900000000000013</v>
      </c>
      <c r="AE10" s="138">
        <f t="shared" si="1"/>
        <v>4.8121570282819714E-2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4.6300000000000001E-2</v>
      </c>
      <c r="W11" s="133">
        <v>42604</v>
      </c>
      <c r="X11" s="10">
        <v>23.03</v>
      </c>
      <c r="Y11" s="10">
        <v>23.72</v>
      </c>
      <c r="Z11" s="10">
        <v>22.8</v>
      </c>
      <c r="AA11" s="10">
        <v>23.69</v>
      </c>
      <c r="AB11" s="95">
        <v>3705700</v>
      </c>
      <c r="AC11" s="10">
        <v>23.69</v>
      </c>
      <c r="AD11" s="2">
        <f t="shared" si="0"/>
        <v>0.91999999999999815</v>
      </c>
      <c r="AE11" s="138">
        <f t="shared" si="1"/>
        <v>2.9105125977411106E-2</v>
      </c>
    </row>
    <row r="12" spans="1:31" x14ac:dyDescent="0.25">
      <c r="H12" s="72"/>
      <c r="W12" s="133">
        <v>42601</v>
      </c>
      <c r="X12" s="10">
        <v>22.54</v>
      </c>
      <c r="Y12" s="10">
        <v>23.17</v>
      </c>
      <c r="Z12" s="10">
        <v>22.33</v>
      </c>
      <c r="AA12" s="10">
        <v>23.02</v>
      </c>
      <c r="AB12" s="95">
        <v>5068300</v>
      </c>
      <c r="AC12" s="10">
        <v>23.02</v>
      </c>
      <c r="AD12" s="2">
        <f t="shared" si="0"/>
        <v>0.84000000000000341</v>
      </c>
      <c r="AE12" s="138">
        <f t="shared" si="1"/>
        <v>1.2313104661389573E-2</v>
      </c>
    </row>
    <row r="13" spans="1:31" x14ac:dyDescent="0.25">
      <c r="H13" s="72"/>
      <c r="W13" s="133">
        <v>42600</v>
      </c>
      <c r="X13" s="10">
        <v>23.27</v>
      </c>
      <c r="Y13" s="10">
        <v>23.33</v>
      </c>
      <c r="Z13" s="10">
        <v>22.58</v>
      </c>
      <c r="AA13" s="10">
        <v>22.74</v>
      </c>
      <c r="AB13" s="95">
        <v>5635100</v>
      </c>
      <c r="AC13" s="10">
        <v>22.74</v>
      </c>
      <c r="AD13" s="2">
        <f t="shared" si="0"/>
        <v>0.75</v>
      </c>
      <c r="AE13" s="138">
        <f t="shared" si="1"/>
        <v>-2.4453024453024441E-2</v>
      </c>
    </row>
    <row r="14" spans="1:31" x14ac:dyDescent="0.25">
      <c r="H14" s="72"/>
      <c r="W14" s="133">
        <v>42599</v>
      </c>
      <c r="X14" s="10">
        <v>23.49</v>
      </c>
      <c r="Y14" s="10">
        <v>23.97</v>
      </c>
      <c r="Z14" s="10">
        <v>22.94</v>
      </c>
      <c r="AA14" s="10">
        <v>23.31</v>
      </c>
      <c r="AB14" s="95">
        <v>5654300</v>
      </c>
      <c r="AC14" s="10">
        <v>23.31</v>
      </c>
      <c r="AD14" s="2">
        <f t="shared" si="0"/>
        <v>1.0299999999999976</v>
      </c>
      <c r="AE14" s="138">
        <f t="shared" si="1"/>
        <v>4.7413793103447954E-3</v>
      </c>
    </row>
    <row r="15" spans="1:31" x14ac:dyDescent="0.25">
      <c r="H15" s="72"/>
      <c r="W15" s="133">
        <v>42598</v>
      </c>
      <c r="X15" s="10">
        <v>23.29</v>
      </c>
      <c r="Y15" s="10">
        <v>23.44</v>
      </c>
      <c r="Z15" s="10">
        <v>23.05</v>
      </c>
      <c r="AA15" s="10">
        <v>23.2</v>
      </c>
      <c r="AB15" s="95">
        <v>6010200</v>
      </c>
      <c r="AC15" s="10">
        <v>23.2</v>
      </c>
      <c r="AD15" s="2">
        <f t="shared" si="0"/>
        <v>0.39000000000000057</v>
      </c>
      <c r="AE15" s="138">
        <f t="shared" si="1"/>
        <v>0</v>
      </c>
    </row>
    <row r="16" spans="1:31" x14ac:dyDescent="0.25">
      <c r="H16" s="72"/>
      <c r="W16" s="133">
        <v>42597</v>
      </c>
      <c r="X16" s="10">
        <v>22.57</v>
      </c>
      <c r="Y16" s="10">
        <v>23.22</v>
      </c>
      <c r="Z16" s="10">
        <v>22.54</v>
      </c>
      <c r="AA16" s="10">
        <v>23.2</v>
      </c>
      <c r="AB16" s="95">
        <v>4954400</v>
      </c>
      <c r="AC16" s="10">
        <v>23.2</v>
      </c>
      <c r="AD16" s="2">
        <f t="shared" si="0"/>
        <v>0.67999999999999972</v>
      </c>
      <c r="AE16" s="138">
        <f t="shared" si="1"/>
        <v>3.8031319910514449E-2</v>
      </c>
    </row>
    <row r="17" spans="1:31" x14ac:dyDescent="0.25">
      <c r="W17" s="133">
        <v>42594</v>
      </c>
      <c r="X17" s="10">
        <v>22.22</v>
      </c>
      <c r="Y17" s="10">
        <v>22.76</v>
      </c>
      <c r="Z17" s="10">
        <v>21.99</v>
      </c>
      <c r="AA17" s="10">
        <v>22.35</v>
      </c>
      <c r="AB17" s="95">
        <v>9086300</v>
      </c>
      <c r="AC17" s="10">
        <v>22.35</v>
      </c>
      <c r="AD17" s="2">
        <f t="shared" si="0"/>
        <v>0.77000000000000313</v>
      </c>
      <c r="AE17" s="138">
        <f t="shared" si="1"/>
        <v>4.0431266846361336E-3</v>
      </c>
    </row>
    <row r="18" spans="1:31" x14ac:dyDescent="0.25">
      <c r="A18" s="32" t="s">
        <v>81</v>
      </c>
      <c r="B18" s="14"/>
      <c r="C18" s="14">
        <f>SUM(C2:C6)</f>
        <v>330</v>
      </c>
      <c r="D18" s="18"/>
      <c r="E18" s="18"/>
      <c r="F18" s="18">
        <f>SUM(F2:F6)</f>
        <v>7594.9</v>
      </c>
      <c r="G18" s="14"/>
      <c r="H18" s="14">
        <f>SUM(H2:H5)</f>
        <v>130</v>
      </c>
      <c r="I18" s="18"/>
      <c r="J18" s="18"/>
      <c r="K18" s="18">
        <f>SUM(K2:K5)</f>
        <v>3084.08</v>
      </c>
      <c r="L18" s="14"/>
      <c r="M18" s="18">
        <f>SUM(M2:M10)</f>
        <v>90</v>
      </c>
      <c r="W18" s="133">
        <v>42593</v>
      </c>
      <c r="X18" s="10">
        <v>21.37</v>
      </c>
      <c r="Y18" s="10">
        <v>22.27</v>
      </c>
      <c r="Z18" s="10">
        <v>21.23</v>
      </c>
      <c r="AA18" s="10">
        <v>22.26</v>
      </c>
      <c r="AB18" s="95">
        <v>6181100</v>
      </c>
      <c r="AC18" s="10">
        <v>22.26</v>
      </c>
      <c r="AD18" s="2">
        <f t="shared" si="0"/>
        <v>1.0399999999999991</v>
      </c>
      <c r="AE18" s="138" t="e">
        <f t="shared" si="1"/>
        <v>#DIV/0!</v>
      </c>
    </row>
    <row r="19" spans="1:31" ht="15.75" thickBot="1" x14ac:dyDescent="0.3">
      <c r="A19" s="359" t="s">
        <v>204</v>
      </c>
      <c r="B19" s="360"/>
      <c r="C19" s="361">
        <f>SumByColor($A$19,C2:C17)</f>
        <v>130</v>
      </c>
      <c r="D19" s="361"/>
      <c r="E19" s="361"/>
      <c r="F19" s="362">
        <f>SumByColor($A$19,F2:F17)</f>
        <v>2978</v>
      </c>
      <c r="G19" s="361"/>
      <c r="H19" s="361">
        <f>SumByColor($A$19,H2:H17)</f>
        <v>130</v>
      </c>
      <c r="I19" s="361"/>
      <c r="J19" s="361"/>
      <c r="K19" s="362">
        <f>SumByColor($A$19,K2:K17)</f>
        <v>3083</v>
      </c>
      <c r="L19" s="361"/>
      <c r="M19" s="362">
        <f t="shared" ref="M19" si="2">SumByColor($A$19,M2:M17)</f>
        <v>90</v>
      </c>
      <c r="W19" s="133">
        <v>42593</v>
      </c>
      <c r="X19" s="10" t="s">
        <v>256</v>
      </c>
      <c r="Y19" s="10"/>
      <c r="Z19" s="10"/>
      <c r="AA19" s="10"/>
      <c r="AB19" s="95"/>
      <c r="AC19" s="10"/>
      <c r="AD19" s="2">
        <f t="shared" si="0"/>
        <v>0</v>
      </c>
      <c r="AE19" s="138">
        <f t="shared" si="1"/>
        <v>-1</v>
      </c>
    </row>
    <row r="20" spans="1:31" x14ac:dyDescent="0.25">
      <c r="W20" s="133">
        <v>42592</v>
      </c>
      <c r="X20" s="10">
        <v>22.11</v>
      </c>
      <c r="Y20" s="10">
        <v>22.32</v>
      </c>
      <c r="Z20" s="10">
        <v>21.48</v>
      </c>
      <c r="AA20" s="10">
        <v>21.57</v>
      </c>
      <c r="AB20" s="95">
        <v>8197500</v>
      </c>
      <c r="AC20" s="10">
        <v>21.27</v>
      </c>
      <c r="AD20" s="2">
        <f t="shared" si="0"/>
        <v>0.83999999999999986</v>
      </c>
      <c r="AE20" s="138">
        <f t="shared" si="1"/>
        <v>-2.4759284731774356E-2</v>
      </c>
    </row>
    <row r="21" spans="1:31" x14ac:dyDescent="0.25">
      <c r="W21" s="133">
        <v>42591</v>
      </c>
      <c r="X21" s="10">
        <v>23.15</v>
      </c>
      <c r="Y21" s="10">
        <v>23.37</v>
      </c>
      <c r="Z21" s="10">
        <v>22</v>
      </c>
      <c r="AA21" s="10">
        <v>22.12</v>
      </c>
      <c r="AB21" s="95">
        <v>7150500</v>
      </c>
      <c r="AC21" s="10">
        <v>21.81</v>
      </c>
      <c r="AD21" s="2">
        <f t="shared" si="0"/>
        <v>1.370000000000001</v>
      </c>
      <c r="AE21" s="138">
        <f t="shared" si="1"/>
        <v>-4.6348928727590777E-2</v>
      </c>
    </row>
    <row r="22" spans="1:31" x14ac:dyDescent="0.25">
      <c r="W22" s="133">
        <v>42590</v>
      </c>
      <c r="X22" s="10">
        <v>22.24</v>
      </c>
      <c r="Y22" s="10">
        <v>23.28</v>
      </c>
      <c r="Z22" s="10">
        <v>22.16</v>
      </c>
      <c r="AA22" s="10">
        <v>23.19</v>
      </c>
      <c r="AB22" s="95">
        <v>6405100</v>
      </c>
      <c r="AC22" s="10">
        <v>22.87</v>
      </c>
      <c r="AD22" s="2">
        <f t="shared" si="0"/>
        <v>1.120000000000001</v>
      </c>
      <c r="AE22" s="138">
        <f t="shared" si="1"/>
        <v>5.0045913682277288E-2</v>
      </c>
    </row>
    <row r="23" spans="1:31" x14ac:dyDescent="0.25">
      <c r="W23" s="133">
        <v>42587</v>
      </c>
      <c r="X23" s="10">
        <v>21.28</v>
      </c>
      <c r="Y23" s="10">
        <v>22.16</v>
      </c>
      <c r="Z23" s="10">
        <v>21.05</v>
      </c>
      <c r="AA23" s="10">
        <v>22.09</v>
      </c>
      <c r="AB23" s="95">
        <v>8896600</v>
      </c>
      <c r="AC23" s="10">
        <v>21.78</v>
      </c>
      <c r="AD23" s="2">
        <f t="shared" si="0"/>
        <v>1.1099999999999994</v>
      </c>
      <c r="AE23" s="138">
        <f t="shared" si="1"/>
        <v>3.0761949834358759E-2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42586</v>
      </c>
      <c r="X24" s="10">
        <v>22.72</v>
      </c>
      <c r="Y24" s="10">
        <v>22.95</v>
      </c>
      <c r="Z24" s="10">
        <v>20.77</v>
      </c>
      <c r="AA24" s="10">
        <v>21.43</v>
      </c>
      <c r="AB24" s="95">
        <v>25849300</v>
      </c>
      <c r="AC24" s="10">
        <v>21.13</v>
      </c>
      <c r="AD24" s="2">
        <f t="shared" si="0"/>
        <v>2.1799999999999997</v>
      </c>
      <c r="AE24" s="138">
        <f t="shared" si="1"/>
        <v>-0.12613730355665842</v>
      </c>
    </row>
    <row r="25" spans="1:31" x14ac:dyDescent="0.25">
      <c r="B25" s="193">
        <v>42545</v>
      </c>
      <c r="C25" s="237">
        <v>100</v>
      </c>
      <c r="D25" s="238">
        <v>25.25</v>
      </c>
      <c r="E25" s="40">
        <v>25.43</v>
      </c>
      <c r="F25" s="40">
        <f t="shared" ref="F25" si="3">C25*(E25-D25)</f>
        <v>17.999999999999972</v>
      </c>
      <c r="G25" s="40">
        <f t="shared" ref="G25" si="4">D25*C25</f>
        <v>2525</v>
      </c>
      <c r="H25" s="231">
        <f t="shared" ref="H25" si="5">(E25-D25)/D25</f>
        <v>7.1287128712871177E-3</v>
      </c>
      <c r="I25" s="40"/>
      <c r="W25" s="133">
        <v>42585</v>
      </c>
      <c r="X25" s="10">
        <v>24.49</v>
      </c>
      <c r="Y25" s="10">
        <v>25.15</v>
      </c>
      <c r="Z25" s="10">
        <v>24.29</v>
      </c>
      <c r="AA25" s="10">
        <v>24.52</v>
      </c>
      <c r="AB25" s="95">
        <v>3937200</v>
      </c>
      <c r="AC25" s="10">
        <v>24.18</v>
      </c>
      <c r="AD25" s="2">
        <f t="shared" si="0"/>
        <v>0.85999999999999943</v>
      </c>
      <c r="AE25" s="138">
        <f t="shared" si="1"/>
        <v>1.242236024844745E-3</v>
      </c>
    </row>
    <row r="26" spans="1:31" x14ac:dyDescent="0.25">
      <c r="B26" s="193">
        <v>42548</v>
      </c>
      <c r="C26" s="10">
        <v>100</v>
      </c>
      <c r="D26" s="40">
        <v>25.25</v>
      </c>
      <c r="E26" s="40">
        <v>23.48</v>
      </c>
      <c r="F26" s="40">
        <f t="shared" ref="F26" si="6">C26*(E26-D26)</f>
        <v>-176.99999999999994</v>
      </c>
      <c r="G26" s="40">
        <f t="shared" ref="G26" si="7">D26*C26</f>
        <v>2525</v>
      </c>
      <c r="H26" s="231">
        <f t="shared" ref="H26" si="8">(E26-D26)/D26</f>
        <v>-7.0099009900990078E-2</v>
      </c>
      <c r="I26" s="40"/>
      <c r="W26" s="133">
        <v>42584</v>
      </c>
      <c r="X26" s="10">
        <v>24.35</v>
      </c>
      <c r="Y26" s="10">
        <v>25.12</v>
      </c>
      <c r="Z26" s="10">
        <v>24.05</v>
      </c>
      <c r="AA26" s="10">
        <v>24.49</v>
      </c>
      <c r="AB26" s="95">
        <v>3772600</v>
      </c>
      <c r="AC26" s="10">
        <v>24.15</v>
      </c>
      <c r="AD26" s="2">
        <f t="shared" si="0"/>
        <v>1.0700000000000003</v>
      </c>
      <c r="AE26" s="138">
        <f t="shared" si="1"/>
        <v>2.9069767441860517E-3</v>
      </c>
    </row>
    <row r="27" spans="1:31" x14ac:dyDescent="0.25">
      <c r="B27" s="193">
        <v>42549</v>
      </c>
      <c r="C27" s="10">
        <v>100</v>
      </c>
      <c r="D27" s="40">
        <v>25.25</v>
      </c>
      <c r="E27" s="40">
        <v>24.06</v>
      </c>
      <c r="F27" s="40">
        <f t="shared" ref="F27" si="9">C27*(E27-D27)</f>
        <v>-119.00000000000013</v>
      </c>
      <c r="G27" s="40">
        <f t="shared" ref="G27" si="10">D27*C27</f>
        <v>2525</v>
      </c>
      <c r="H27" s="231">
        <f t="shared" ref="H27" si="11">(E27-D27)/D27</f>
        <v>-4.7128712871287178E-2</v>
      </c>
      <c r="I27" s="40"/>
      <c r="W27" s="133">
        <v>42583</v>
      </c>
      <c r="X27" s="10">
        <v>24.46</v>
      </c>
      <c r="Y27" s="10">
        <v>24.78</v>
      </c>
      <c r="Z27" s="10">
        <v>23.98</v>
      </c>
      <c r="AA27" s="10">
        <v>24.42</v>
      </c>
      <c r="AB27" s="95">
        <v>3612200</v>
      </c>
      <c r="AC27" s="10">
        <v>24.08</v>
      </c>
      <c r="AD27" s="2">
        <f t="shared" si="0"/>
        <v>0.80000000000000071</v>
      </c>
      <c r="AE27" s="138">
        <f t="shared" si="1"/>
        <v>-1.0682004930156141E-2</v>
      </c>
    </row>
    <row r="28" spans="1:31" x14ac:dyDescent="0.25">
      <c r="B28" s="193">
        <v>42556</v>
      </c>
      <c r="C28" s="10">
        <v>100</v>
      </c>
      <c r="D28" s="40">
        <v>25.25</v>
      </c>
      <c r="E28" s="40">
        <v>23.54</v>
      </c>
      <c r="F28" s="40">
        <f t="shared" ref="F28" si="12">C28*(E28-D28)</f>
        <v>-171.00000000000009</v>
      </c>
      <c r="G28" s="40">
        <f t="shared" ref="G28" si="13">D28*C28</f>
        <v>2525</v>
      </c>
      <c r="H28" s="231">
        <f t="shared" ref="H28" si="14">(E28-D28)/D28</f>
        <v>-6.7722772277227755E-2</v>
      </c>
      <c r="I28" s="40"/>
      <c r="W28" s="133">
        <v>42580</v>
      </c>
      <c r="X28" s="10">
        <v>24.55</v>
      </c>
      <c r="Y28" s="10">
        <v>24.75</v>
      </c>
      <c r="Z28" s="10">
        <v>23.75</v>
      </c>
      <c r="AA28" s="10">
        <v>24.68</v>
      </c>
      <c r="AB28" s="95">
        <v>4340600</v>
      </c>
      <c r="AC28" s="10">
        <v>24.34</v>
      </c>
      <c r="AD28" s="2">
        <f t="shared" si="0"/>
        <v>1</v>
      </c>
      <c r="AE28" s="138">
        <f t="shared" si="1"/>
        <v>8.2236842105265495E-4</v>
      </c>
    </row>
    <row r="29" spans="1:31" x14ac:dyDescent="0.25">
      <c r="B29" s="193">
        <v>42557</v>
      </c>
      <c r="C29" s="10">
        <v>100</v>
      </c>
      <c r="D29" s="40">
        <v>25.25</v>
      </c>
      <c r="E29" s="40">
        <v>23.75</v>
      </c>
      <c r="F29" s="40">
        <f t="shared" ref="F29" si="15">C29*(E29-D29)</f>
        <v>-150</v>
      </c>
      <c r="G29" s="40">
        <f t="shared" ref="G29" si="16">D29*C29</f>
        <v>2525</v>
      </c>
      <c r="H29" s="231">
        <f t="shared" ref="H29" si="17">(E29-D29)/D29</f>
        <v>-5.9405940594059403E-2</v>
      </c>
      <c r="I29" s="40"/>
      <c r="W29" s="133">
        <v>42579</v>
      </c>
      <c r="X29" s="10">
        <v>25.12</v>
      </c>
      <c r="Y29" s="10">
        <v>25.18</v>
      </c>
      <c r="Z29" s="10">
        <v>24.35</v>
      </c>
      <c r="AA29" s="10">
        <v>24.66</v>
      </c>
      <c r="AB29" s="95">
        <v>3735700</v>
      </c>
      <c r="AC29" s="10">
        <v>24.32</v>
      </c>
      <c r="AD29" s="2">
        <f t="shared" si="0"/>
        <v>0.82999999999999829</v>
      </c>
      <c r="AE29" s="138">
        <f t="shared" si="1"/>
        <v>-2.9529130087789235E-2</v>
      </c>
    </row>
    <row r="30" spans="1:31" x14ac:dyDescent="0.25">
      <c r="B30" s="193">
        <v>42559</v>
      </c>
      <c r="C30" s="10">
        <v>100</v>
      </c>
      <c r="D30" s="40">
        <v>25.25</v>
      </c>
      <c r="E30" s="40">
        <v>24.86</v>
      </c>
      <c r="F30" s="40">
        <f t="shared" ref="F30" si="18">C30*(E30-D30)</f>
        <v>-39.000000000000057</v>
      </c>
      <c r="G30" s="40">
        <f t="shared" ref="G30" si="19">D30*C30</f>
        <v>2525</v>
      </c>
      <c r="H30" s="231">
        <f t="shared" ref="H30" si="20">(E30-D30)/D30</f>
        <v>-1.5445544554455468E-2</v>
      </c>
      <c r="I30" s="40"/>
      <c r="W30" s="133">
        <v>42578</v>
      </c>
      <c r="X30" s="10">
        <v>25.86</v>
      </c>
      <c r="Y30" s="10">
        <v>26.33</v>
      </c>
      <c r="Z30" s="10">
        <v>25.19</v>
      </c>
      <c r="AA30" s="10">
        <v>25.41</v>
      </c>
      <c r="AB30" s="95">
        <v>3841800</v>
      </c>
      <c r="AC30" s="10">
        <v>25.06</v>
      </c>
      <c r="AD30" s="2">
        <f t="shared" si="0"/>
        <v>1.139999999999997</v>
      </c>
      <c r="AE30" s="138">
        <f t="shared" si="1"/>
        <v>-1.4937106918239129E-2</v>
      </c>
    </row>
    <row r="31" spans="1:31" x14ac:dyDescent="0.25">
      <c r="B31" s="193">
        <v>42562</v>
      </c>
      <c r="C31" s="10">
        <v>100</v>
      </c>
      <c r="D31" s="40">
        <v>25.25</v>
      </c>
      <c r="E31" s="40">
        <v>24.67</v>
      </c>
      <c r="F31" s="40">
        <f t="shared" ref="F31" si="21">C31*(E31-D31)</f>
        <v>-57.999999999999829</v>
      </c>
      <c r="G31" s="40">
        <f t="shared" ref="G31" si="22">D31*C31</f>
        <v>2525</v>
      </c>
      <c r="H31" s="231">
        <f t="shared" ref="H31" si="23">(E31-D31)/D31</f>
        <v>-2.2970297029702904E-2</v>
      </c>
      <c r="I31" s="40"/>
      <c r="W31" s="133">
        <v>42577</v>
      </c>
      <c r="X31" s="10">
        <v>25.3</v>
      </c>
      <c r="Y31" s="10">
        <v>25.93</v>
      </c>
      <c r="Z31" s="10">
        <v>25.06</v>
      </c>
      <c r="AA31" s="10">
        <v>25.8</v>
      </c>
      <c r="AB31" s="95">
        <v>2880600</v>
      </c>
      <c r="AC31" s="10">
        <v>25.44</v>
      </c>
      <c r="AD31" s="2">
        <f t="shared" si="0"/>
        <v>0.87000000000000099</v>
      </c>
      <c r="AE31" s="138">
        <f t="shared" si="1"/>
        <v>1.8414731785428406E-2</v>
      </c>
    </row>
    <row r="32" spans="1:31" x14ac:dyDescent="0.25">
      <c r="B32" s="193">
        <v>42563</v>
      </c>
      <c r="C32" s="10">
        <v>100</v>
      </c>
      <c r="D32" s="40">
        <v>25.25</v>
      </c>
      <c r="E32" s="40">
        <v>26.03</v>
      </c>
      <c r="F32" s="40">
        <f t="shared" ref="F32:F33" si="24">C32*(E32-D32)</f>
        <v>78.000000000000114</v>
      </c>
      <c r="G32" s="40">
        <f t="shared" ref="G32:G33" si="25">D32*C32</f>
        <v>2525</v>
      </c>
      <c r="H32" s="231">
        <f t="shared" ref="H32:H33" si="26">(E32-D32)/D32</f>
        <v>3.0891089108910936E-2</v>
      </c>
      <c r="I32" s="40"/>
      <c r="W32" s="133">
        <v>42576</v>
      </c>
      <c r="X32" s="10">
        <v>25.16</v>
      </c>
      <c r="Y32" s="10">
        <v>25.42</v>
      </c>
      <c r="Z32" s="10">
        <v>24.54</v>
      </c>
      <c r="AA32" s="10">
        <v>25.33</v>
      </c>
      <c r="AB32" s="95">
        <v>5723900</v>
      </c>
      <c r="AC32" s="10">
        <v>24.98</v>
      </c>
      <c r="AD32" s="2">
        <f t="shared" si="0"/>
        <v>0.88000000000000256</v>
      </c>
      <c r="AE32" s="138">
        <f t="shared" si="1"/>
        <v>6.0410793395087037E-3</v>
      </c>
    </row>
    <row r="33" spans="2:31" x14ac:dyDescent="0.25">
      <c r="B33" s="193">
        <v>42569</v>
      </c>
      <c r="C33" s="10">
        <v>100</v>
      </c>
      <c r="D33" s="40">
        <v>25.25</v>
      </c>
      <c r="E33" s="40">
        <v>27.69</v>
      </c>
      <c r="F33" s="40">
        <f t="shared" si="24"/>
        <v>244.00000000000011</v>
      </c>
      <c r="G33" s="40">
        <f t="shared" si="25"/>
        <v>2525</v>
      </c>
      <c r="H33" s="231">
        <f t="shared" si="26"/>
        <v>9.6633663366336678E-2</v>
      </c>
      <c r="I33" s="236">
        <v>23</v>
      </c>
      <c r="W33" s="133">
        <v>42573</v>
      </c>
      <c r="X33" s="10">
        <v>26.19</v>
      </c>
      <c r="Y33" s="10">
        <v>26.41</v>
      </c>
      <c r="Z33" s="10">
        <v>25.15</v>
      </c>
      <c r="AA33" s="10">
        <v>25.18</v>
      </c>
      <c r="AB33" s="95">
        <v>4531400</v>
      </c>
      <c r="AC33" s="10">
        <v>24.83</v>
      </c>
      <c r="AD33" s="2">
        <f t="shared" si="0"/>
        <v>1.2600000000000016</v>
      </c>
      <c r="AE33" s="138">
        <f t="shared" si="1"/>
        <v>-4.2052469135802628E-2</v>
      </c>
    </row>
    <row r="34" spans="2:31" x14ac:dyDescent="0.25">
      <c r="B34" s="193">
        <v>42570</v>
      </c>
      <c r="C34" s="10">
        <v>100</v>
      </c>
      <c r="D34" s="40">
        <v>25.25</v>
      </c>
      <c r="E34" s="40">
        <v>26.55</v>
      </c>
      <c r="F34" s="40">
        <f t="shared" ref="F34" si="27">C34*(E34-D34)</f>
        <v>130.00000000000006</v>
      </c>
      <c r="G34" s="40">
        <f t="shared" ref="G34" si="28">D34*C34</f>
        <v>2525</v>
      </c>
      <c r="H34" s="231">
        <f t="shared" ref="H34" si="29">(E34-D34)/D34</f>
        <v>5.148514851485151E-2</v>
      </c>
      <c r="I34" s="40"/>
      <c r="W34" s="133">
        <v>42572</v>
      </c>
      <c r="X34" s="10">
        <v>26.74</v>
      </c>
      <c r="Y34" s="10">
        <v>27.07</v>
      </c>
      <c r="Z34" s="10">
        <v>26.2</v>
      </c>
      <c r="AA34" s="10">
        <v>26.29</v>
      </c>
      <c r="AB34" s="95">
        <v>3071900</v>
      </c>
      <c r="AC34" s="10">
        <v>25.92</v>
      </c>
      <c r="AD34" s="2">
        <f t="shared" si="0"/>
        <v>0.87000000000000099</v>
      </c>
      <c r="AE34" s="138">
        <f t="shared" si="1"/>
        <v>-1.2195121951219412E-2</v>
      </c>
    </row>
    <row r="35" spans="2:31" x14ac:dyDescent="0.25">
      <c r="B35" s="193">
        <v>42571</v>
      </c>
      <c r="C35" s="10">
        <v>100</v>
      </c>
      <c r="D35" s="40">
        <v>25.25</v>
      </c>
      <c r="E35" s="40">
        <v>26.61</v>
      </c>
      <c r="F35" s="40">
        <f t="shared" ref="F35" si="30">C35*(E35-D35)</f>
        <v>135.99999999999994</v>
      </c>
      <c r="G35" s="40">
        <f t="shared" ref="G35" si="31">D35*C35</f>
        <v>2525</v>
      </c>
      <c r="H35" s="231">
        <f t="shared" ref="H35" si="32">(E35-D35)/D35</f>
        <v>5.386138613861384E-2</v>
      </c>
      <c r="I35" s="40"/>
      <c r="W35" s="133">
        <v>42571</v>
      </c>
      <c r="X35" s="10">
        <v>26.59</v>
      </c>
      <c r="Y35" s="10">
        <v>27.1</v>
      </c>
      <c r="Z35" s="10">
        <v>26.19</v>
      </c>
      <c r="AA35" s="10">
        <v>26.61</v>
      </c>
      <c r="AB35" s="95">
        <v>4148300</v>
      </c>
      <c r="AC35" s="10">
        <v>26.24</v>
      </c>
      <c r="AD35" s="2">
        <f t="shared" si="0"/>
        <v>0.91000000000000014</v>
      </c>
      <c r="AE35" s="138">
        <f t="shared" si="1"/>
        <v>2.2918258212374365E-3</v>
      </c>
    </row>
    <row r="36" spans="2:31" x14ac:dyDescent="0.25">
      <c r="B36" s="193">
        <v>42572</v>
      </c>
      <c r="C36" s="10">
        <v>100</v>
      </c>
      <c r="D36" s="40">
        <v>25.25</v>
      </c>
      <c r="E36" s="40">
        <v>26.29</v>
      </c>
      <c r="F36" s="40">
        <f t="shared" ref="F36" si="33">C36*(E36-D36)</f>
        <v>103.99999999999991</v>
      </c>
      <c r="G36" s="40">
        <f t="shared" ref="G36" si="34">D36*C36</f>
        <v>2525</v>
      </c>
      <c r="H36" s="231">
        <f t="shared" ref="H36" si="35">(E36-D36)/D36</f>
        <v>4.1188118811881155E-2</v>
      </c>
      <c r="I36" s="40"/>
      <c r="W36" s="133">
        <v>42570</v>
      </c>
      <c r="X36" s="10">
        <v>27.2</v>
      </c>
      <c r="Y36" s="10">
        <v>27.28</v>
      </c>
      <c r="Z36" s="10">
        <v>26.35</v>
      </c>
      <c r="AA36" s="10">
        <v>26.55</v>
      </c>
      <c r="AB36" s="95">
        <v>5392000</v>
      </c>
      <c r="AC36" s="10">
        <v>26.18</v>
      </c>
      <c r="AD36" s="2">
        <f t="shared" si="0"/>
        <v>0.92999999999999972</v>
      </c>
      <c r="AE36" s="138">
        <f t="shared" si="1"/>
        <v>-4.1025641025641102E-2</v>
      </c>
    </row>
    <row r="37" spans="2:31" x14ac:dyDescent="0.25">
      <c r="B37" s="193">
        <v>42575</v>
      </c>
      <c r="C37" s="10">
        <v>100</v>
      </c>
      <c r="D37" s="40">
        <v>25.25</v>
      </c>
      <c r="E37" s="40">
        <v>25.18</v>
      </c>
      <c r="F37" s="40">
        <f t="shared" ref="F37" si="36">C37*(E37-D37)</f>
        <v>-7.0000000000000284</v>
      </c>
      <c r="G37" s="40">
        <f t="shared" ref="G37" si="37">D37*C37</f>
        <v>2525</v>
      </c>
      <c r="H37" s="231">
        <f t="shared" ref="H37" si="38">(E37-D37)/D37</f>
        <v>-2.7722772277227834E-3</v>
      </c>
      <c r="I37" s="40"/>
      <c r="W37" s="133">
        <v>42569</v>
      </c>
      <c r="X37" s="10">
        <v>27.34</v>
      </c>
      <c r="Y37" s="10">
        <v>27.82</v>
      </c>
      <c r="Z37" s="10">
        <v>26.41</v>
      </c>
      <c r="AA37" s="10">
        <v>27.69</v>
      </c>
      <c r="AB37" s="95">
        <v>3904700</v>
      </c>
      <c r="AC37" s="10">
        <v>27.3</v>
      </c>
      <c r="AD37" s="2">
        <f t="shared" si="0"/>
        <v>1.4100000000000001</v>
      </c>
      <c r="AE37" s="138">
        <f t="shared" si="1"/>
        <v>8.8691796008870671E-3</v>
      </c>
    </row>
    <row r="38" spans="2:31" x14ac:dyDescent="0.25">
      <c r="B38" s="193">
        <v>42576</v>
      </c>
      <c r="C38" s="10">
        <v>100</v>
      </c>
      <c r="D38" s="40">
        <v>25.25</v>
      </c>
      <c r="E38" s="40">
        <v>25.33</v>
      </c>
      <c r="F38" s="40">
        <f t="shared" ref="F38:F44" si="39">C38*(E38-D38)</f>
        <v>7.9999999999998295</v>
      </c>
      <c r="G38" s="40">
        <f t="shared" ref="G38:G44" si="40">D38*C38</f>
        <v>2525</v>
      </c>
      <c r="H38" s="231">
        <f t="shared" ref="H38:H44" si="41">(E38-D38)/D38</f>
        <v>3.1683168316831009E-3</v>
      </c>
      <c r="I38" s="40"/>
      <c r="W38" s="133">
        <v>42566</v>
      </c>
      <c r="X38" s="10">
        <v>27.99</v>
      </c>
      <c r="Y38" s="10">
        <v>28.02</v>
      </c>
      <c r="Z38" s="10">
        <v>27.03</v>
      </c>
      <c r="AA38" s="10">
        <v>27.44</v>
      </c>
      <c r="AB38" s="95">
        <v>4032100</v>
      </c>
      <c r="AC38" s="10">
        <v>27.06</v>
      </c>
      <c r="AD38" s="2">
        <f t="shared" si="0"/>
        <v>0.98999999999999844</v>
      </c>
      <c r="AE38" s="138">
        <f t="shared" si="1"/>
        <v>-1.5283842794759916E-2</v>
      </c>
    </row>
    <row r="39" spans="2:31" x14ac:dyDescent="0.25">
      <c r="B39" s="193">
        <v>42577</v>
      </c>
      <c r="C39" s="10">
        <v>70</v>
      </c>
      <c r="D39" s="40">
        <v>25.010300000000001</v>
      </c>
      <c r="E39" s="40">
        <v>25.8</v>
      </c>
      <c r="F39" s="40">
        <f t="shared" si="39"/>
        <v>55.278999999999989</v>
      </c>
      <c r="G39" s="40">
        <f t="shared" si="40"/>
        <v>1750.721</v>
      </c>
      <c r="H39" s="231">
        <f t="shared" si="41"/>
        <v>3.1574991103665281E-2</v>
      </c>
      <c r="I39" s="40"/>
      <c r="W39" s="133">
        <v>42565</v>
      </c>
      <c r="X39" s="10">
        <v>27.46</v>
      </c>
      <c r="Y39" s="10">
        <v>28.32</v>
      </c>
      <c r="Z39" s="10">
        <v>27.33</v>
      </c>
      <c r="AA39" s="10">
        <v>27.87</v>
      </c>
      <c r="AB39" s="95">
        <v>7391400</v>
      </c>
      <c r="AC39" s="10">
        <v>27.48</v>
      </c>
      <c r="AD39" s="2">
        <f t="shared" si="0"/>
        <v>0.99000000000000199</v>
      </c>
      <c r="AE39" s="138">
        <f t="shared" si="1"/>
        <v>3.5028248587570587E-2</v>
      </c>
    </row>
    <row r="40" spans="2:31" ht="20.25" thickBot="1" x14ac:dyDescent="0.35">
      <c r="B40" s="193">
        <v>42580</v>
      </c>
      <c r="C40" s="237">
        <v>100</v>
      </c>
      <c r="D40" s="238">
        <v>24.641200000000001</v>
      </c>
      <c r="E40" s="40">
        <v>24.68</v>
      </c>
      <c r="F40" s="40">
        <f t="shared" si="39"/>
        <v>3.8799999999998391</v>
      </c>
      <c r="G40" s="40">
        <f t="shared" si="40"/>
        <v>2464.1200000000003</v>
      </c>
      <c r="H40" s="231">
        <f t="shared" si="41"/>
        <v>1.5745986396765738E-3</v>
      </c>
      <c r="I40" s="40"/>
      <c r="O40" s="545" t="s">
        <v>78</v>
      </c>
      <c r="P40" s="545"/>
      <c r="W40" s="133">
        <v>42564</v>
      </c>
      <c r="X40" s="10">
        <v>26.07</v>
      </c>
      <c r="Y40" s="10">
        <v>27.01</v>
      </c>
      <c r="Z40" s="10">
        <v>25.63</v>
      </c>
      <c r="AA40" s="10">
        <v>26.92</v>
      </c>
      <c r="AB40" s="95">
        <v>4906700</v>
      </c>
      <c r="AC40" s="10">
        <v>26.55</v>
      </c>
      <c r="AD40" s="2">
        <f t="shared" si="0"/>
        <v>1.3800000000000026</v>
      </c>
      <c r="AE40" s="138">
        <f t="shared" si="1"/>
        <v>3.428126217374361E-2</v>
      </c>
    </row>
    <row r="41" spans="2:31" ht="15.75" thickTop="1" x14ac:dyDescent="0.25">
      <c r="B41" s="193">
        <v>42585</v>
      </c>
      <c r="C41" s="10">
        <v>100</v>
      </c>
      <c r="D41" s="40">
        <v>24.641200000000001</v>
      </c>
      <c r="E41" s="40">
        <v>24.49</v>
      </c>
      <c r="F41" s="40">
        <f t="shared" si="39"/>
        <v>-15.120000000000289</v>
      </c>
      <c r="G41" s="40">
        <f t="shared" si="40"/>
        <v>2464.1200000000003</v>
      </c>
      <c r="H41" s="231">
        <f t="shared" si="41"/>
        <v>-6.1360648020389787E-3</v>
      </c>
      <c r="I41" s="40"/>
      <c r="O41" s="83">
        <v>1.1000000000000001</v>
      </c>
      <c r="P41" s="83">
        <f>O41*$Q$4</f>
        <v>28.215</v>
      </c>
      <c r="Q41" s="2"/>
      <c r="W41" s="133">
        <v>42563</v>
      </c>
      <c r="X41" s="10">
        <v>25</v>
      </c>
      <c r="Y41" s="10">
        <v>26.49</v>
      </c>
      <c r="Z41" s="10">
        <v>24.88</v>
      </c>
      <c r="AA41" s="10">
        <v>26.03</v>
      </c>
      <c r="AB41" s="95">
        <v>4371900</v>
      </c>
      <c r="AC41" s="10">
        <v>25.67</v>
      </c>
      <c r="AD41" s="2">
        <f t="shared" si="0"/>
        <v>1.6099999999999994</v>
      </c>
      <c r="AE41" s="138">
        <f t="shared" si="1"/>
        <v>5.5076037813399203E-2</v>
      </c>
    </row>
    <row r="42" spans="2:31" ht="20.25" thickBot="1" x14ac:dyDescent="0.35">
      <c r="B42" s="193">
        <v>42586</v>
      </c>
      <c r="C42" s="7">
        <v>200</v>
      </c>
      <c r="D42" s="44">
        <v>23.6431</v>
      </c>
      <c r="E42" s="40">
        <v>21.43</v>
      </c>
      <c r="F42" s="40">
        <f t="shared" si="39"/>
        <v>-442.62000000000012</v>
      </c>
      <c r="G42" s="40">
        <f t="shared" si="40"/>
        <v>4728.62</v>
      </c>
      <c r="H42" s="231">
        <f t="shared" si="41"/>
        <v>-9.360447657033133E-2</v>
      </c>
      <c r="I42" s="40"/>
      <c r="O42" s="83">
        <v>1.0900000000000001</v>
      </c>
      <c r="P42" s="83">
        <f t="shared" ref="P42:P61" si="42">O42*$Q$4</f>
        <v>27.958500000000001</v>
      </c>
      <c r="Q42" s="2"/>
      <c r="T42" s="91" t="s">
        <v>113</v>
      </c>
      <c r="W42" s="133">
        <v>42562</v>
      </c>
      <c r="X42" s="10">
        <v>25.02</v>
      </c>
      <c r="Y42" s="10">
        <v>25.36</v>
      </c>
      <c r="Z42" s="10">
        <v>24.62</v>
      </c>
      <c r="AA42" s="10">
        <v>24.67</v>
      </c>
      <c r="AB42" s="95">
        <v>3699000</v>
      </c>
      <c r="AC42" s="10">
        <v>24.33</v>
      </c>
      <c r="AD42" s="2">
        <f t="shared" si="0"/>
        <v>0.73999999999999844</v>
      </c>
      <c r="AE42" s="138">
        <f t="shared" si="1"/>
        <v>-7.3439412484701538E-3</v>
      </c>
    </row>
    <row r="43" spans="2:31" ht="15.75" thickTop="1" x14ac:dyDescent="0.25">
      <c r="B43" s="193">
        <v>42586</v>
      </c>
      <c r="C43" s="10">
        <v>300</v>
      </c>
      <c r="D43" s="40">
        <v>22.735399999999998</v>
      </c>
      <c r="E43" s="40">
        <v>21.43</v>
      </c>
      <c r="F43" s="40">
        <f t="shared" si="39"/>
        <v>-391.61999999999966</v>
      </c>
      <c r="G43" s="40">
        <f t="shared" si="40"/>
        <v>6820.62</v>
      </c>
      <c r="H43" s="231">
        <f t="shared" si="41"/>
        <v>-5.7417067656605945E-2</v>
      </c>
      <c r="I43" s="40"/>
      <c r="O43" s="83">
        <v>1.08</v>
      </c>
      <c r="P43" s="83">
        <f t="shared" si="42"/>
        <v>27.702000000000002</v>
      </c>
      <c r="Q43" s="2"/>
      <c r="T43" s="128" t="s">
        <v>98</v>
      </c>
      <c r="U43" s="129">
        <v>25.6</v>
      </c>
      <c r="W43" s="133">
        <v>42559</v>
      </c>
      <c r="X43" s="10">
        <v>24.15</v>
      </c>
      <c r="Y43" s="10">
        <v>24.97</v>
      </c>
      <c r="Z43" s="10">
        <v>23.85</v>
      </c>
      <c r="AA43" s="10">
        <v>24.86</v>
      </c>
      <c r="AB43" s="95">
        <v>3839000</v>
      </c>
      <c r="AC43" s="10">
        <v>24.51</v>
      </c>
      <c r="AD43" s="2">
        <f t="shared" si="0"/>
        <v>1.1199999999999974</v>
      </c>
      <c r="AE43" s="138">
        <f t="shared" si="1"/>
        <v>5.7833405265429461E-2</v>
      </c>
    </row>
    <row r="44" spans="2:31" x14ac:dyDescent="0.25">
      <c r="B44" s="193">
        <v>42591</v>
      </c>
      <c r="C44" s="10">
        <v>300</v>
      </c>
      <c r="D44" s="40">
        <v>22.735399999999998</v>
      </c>
      <c r="E44" s="40">
        <v>22.12</v>
      </c>
      <c r="F44" s="40">
        <f t="shared" si="39"/>
        <v>-184.61999999999927</v>
      </c>
      <c r="G44" s="40">
        <f t="shared" si="40"/>
        <v>6820.62</v>
      </c>
      <c r="H44" s="231">
        <f t="shared" si="41"/>
        <v>-2.7067920511624936E-2</v>
      </c>
      <c r="I44" s="40"/>
      <c r="O44" s="83">
        <v>1.07</v>
      </c>
      <c r="P44" s="83">
        <f t="shared" si="42"/>
        <v>27.445499999999999</v>
      </c>
      <c r="Q44" s="2"/>
      <c r="T44" s="93" t="s">
        <v>99</v>
      </c>
      <c r="U44" s="130">
        <v>25.83</v>
      </c>
      <c r="W44" s="133">
        <v>42558</v>
      </c>
      <c r="X44" s="10">
        <v>23.91</v>
      </c>
      <c r="Y44" s="10">
        <v>24.32</v>
      </c>
      <c r="Z44" s="10">
        <v>23.38</v>
      </c>
      <c r="AA44" s="10">
        <v>23.5</v>
      </c>
      <c r="AB44" s="95">
        <v>3029800</v>
      </c>
      <c r="AC44" s="10">
        <v>23.17</v>
      </c>
      <c r="AD44" s="2">
        <f t="shared" si="0"/>
        <v>0.94000000000000128</v>
      </c>
      <c r="AE44" s="138">
        <f t="shared" si="1"/>
        <v>-1.0674637062339842E-2</v>
      </c>
    </row>
    <row r="45" spans="2:31" x14ac:dyDescent="0.25">
      <c r="B45" s="193">
        <v>42593</v>
      </c>
      <c r="C45" s="516">
        <v>300</v>
      </c>
      <c r="D45" s="520">
        <v>22.735399999999998</v>
      </c>
      <c r="E45" s="40">
        <v>21.57</v>
      </c>
      <c r="F45" s="40">
        <f t="shared" ref="F45:F47" si="43">C45*(E45-D45)</f>
        <v>-349.61999999999944</v>
      </c>
      <c r="G45" s="40">
        <f t="shared" ref="G45:G47" si="44">D45*C45</f>
        <v>6820.62</v>
      </c>
      <c r="H45" s="231">
        <f t="shared" ref="H45:H47" si="45">(E45-D45)/D45</f>
        <v>-5.1259269685160515E-2</v>
      </c>
      <c r="I45" s="40"/>
      <c r="O45" s="83">
        <v>1.06</v>
      </c>
      <c r="P45" s="83">
        <f t="shared" si="42"/>
        <v>27.189</v>
      </c>
      <c r="Q45" s="2"/>
      <c r="T45" s="93" t="s">
        <v>100</v>
      </c>
      <c r="U45" s="130" t="s">
        <v>505</v>
      </c>
      <c r="W45" s="133">
        <v>42557</v>
      </c>
      <c r="X45" s="10">
        <v>23.32</v>
      </c>
      <c r="Y45" s="10">
        <v>23.78</v>
      </c>
      <c r="Z45" s="10">
        <v>22.75</v>
      </c>
      <c r="AA45" s="10">
        <v>23.75</v>
      </c>
      <c r="AB45" s="95">
        <v>4798300</v>
      </c>
      <c r="AC45" s="10">
        <v>23.42</v>
      </c>
      <c r="AD45" s="2">
        <f t="shared" si="0"/>
        <v>1.0300000000000011</v>
      </c>
      <c r="AE45" s="138">
        <f t="shared" si="1"/>
        <v>9.0478242137010945E-3</v>
      </c>
    </row>
    <row r="46" spans="2:31" x14ac:dyDescent="0.25">
      <c r="B46" s="193">
        <v>42597</v>
      </c>
      <c r="C46" s="10">
        <v>230</v>
      </c>
      <c r="D46" s="40">
        <v>22.674800000000001</v>
      </c>
      <c r="E46" s="40">
        <v>23.2</v>
      </c>
      <c r="F46" s="40">
        <f t="shared" si="43"/>
        <v>120.79599999999957</v>
      </c>
      <c r="G46" s="40">
        <f t="shared" si="44"/>
        <v>5215.2040000000006</v>
      </c>
      <c r="H46" s="231">
        <f t="shared" si="45"/>
        <v>2.3162277065288252E-2</v>
      </c>
      <c r="I46" s="40"/>
      <c r="O46" s="83">
        <v>1.05</v>
      </c>
      <c r="P46" s="83">
        <f t="shared" si="42"/>
        <v>26.932500000000001</v>
      </c>
      <c r="Q46" s="2"/>
      <c r="T46" s="93" t="s">
        <v>101</v>
      </c>
      <c r="U46" s="130" t="s">
        <v>506</v>
      </c>
      <c r="W46" s="133">
        <v>42556</v>
      </c>
      <c r="X46" s="10">
        <v>24.09</v>
      </c>
      <c r="Y46" s="10">
        <v>24.24</v>
      </c>
      <c r="Z46" s="10">
        <v>23.25</v>
      </c>
      <c r="AA46" s="10">
        <v>23.54</v>
      </c>
      <c r="AB46" s="95">
        <v>3709800</v>
      </c>
      <c r="AC46" s="10">
        <v>23.21</v>
      </c>
      <c r="AD46" s="2">
        <f t="shared" si="0"/>
        <v>0.98999999999999844</v>
      </c>
      <c r="AE46" s="138">
        <f t="shared" si="1"/>
        <v>-2.8056951423785503E-2</v>
      </c>
    </row>
    <row r="47" spans="2:31" x14ac:dyDescent="0.25">
      <c r="B47" s="193">
        <v>42599</v>
      </c>
      <c r="C47" s="7">
        <v>200</v>
      </c>
      <c r="D47" s="44">
        <v>22.554099999999998</v>
      </c>
      <c r="E47" s="40">
        <v>23.31</v>
      </c>
      <c r="F47" s="40">
        <f t="shared" si="43"/>
        <v>151.18000000000009</v>
      </c>
      <c r="G47" s="40">
        <f t="shared" si="44"/>
        <v>4510.82</v>
      </c>
      <c r="H47" s="231">
        <f t="shared" si="45"/>
        <v>3.3514970670521123E-2</v>
      </c>
      <c r="I47" s="236">
        <v>22</v>
      </c>
      <c r="O47" s="83">
        <v>1.04</v>
      </c>
      <c r="P47" s="83">
        <f t="shared" si="42"/>
        <v>26.675999999999998</v>
      </c>
      <c r="Q47" s="2"/>
      <c r="T47" s="93" t="s">
        <v>102</v>
      </c>
      <c r="U47" s="130">
        <v>25.2</v>
      </c>
      <c r="W47" s="133">
        <v>42552</v>
      </c>
      <c r="X47" s="10">
        <v>23.92</v>
      </c>
      <c r="Y47" s="10">
        <v>24.42</v>
      </c>
      <c r="Z47" s="10">
        <v>23.76</v>
      </c>
      <c r="AA47" s="10">
        <v>24.22</v>
      </c>
      <c r="AB47" s="95">
        <v>4839400</v>
      </c>
      <c r="AC47" s="10">
        <v>23.88</v>
      </c>
      <c r="AD47" s="2">
        <f t="shared" si="0"/>
        <v>0.66000000000000014</v>
      </c>
      <c r="AE47" s="138">
        <f t="shared" si="1"/>
        <v>5.050505050504972E-3</v>
      </c>
    </row>
    <row r="48" spans="2:31" x14ac:dyDescent="0.25">
      <c r="B48" s="193">
        <v>42600</v>
      </c>
      <c r="C48" s="10">
        <v>200</v>
      </c>
      <c r="D48" s="40">
        <v>22.554099999999998</v>
      </c>
      <c r="E48" s="40">
        <v>22.74</v>
      </c>
      <c r="F48" s="40">
        <f t="shared" ref="F48" si="46">C48*(E48-D48)</f>
        <v>37.180000000000035</v>
      </c>
      <c r="G48" s="40">
        <f t="shared" ref="G48" si="47">D48*C48</f>
        <v>4510.82</v>
      </c>
      <c r="H48" s="231">
        <f t="shared" ref="H48" si="48">(E48-D48)/D48</f>
        <v>8.2424038201480074E-3</v>
      </c>
      <c r="I48" s="40"/>
      <c r="O48" s="83">
        <v>1.03</v>
      </c>
      <c r="P48" s="83">
        <f t="shared" si="42"/>
        <v>26.419499999999999</v>
      </c>
      <c r="Q48" s="2"/>
      <c r="T48" s="93" t="s">
        <v>103</v>
      </c>
      <c r="U48" s="130">
        <v>0.84235400000000005</v>
      </c>
      <c r="W48" s="133">
        <v>42551</v>
      </c>
      <c r="X48" s="10">
        <v>24.36</v>
      </c>
      <c r="Y48" s="10">
        <v>24.84</v>
      </c>
      <c r="Z48" s="10">
        <v>23.63</v>
      </c>
      <c r="AA48" s="10">
        <v>24.1</v>
      </c>
      <c r="AB48" s="95">
        <v>4517800</v>
      </c>
      <c r="AC48" s="10">
        <v>23.76</v>
      </c>
      <c r="AD48" s="2">
        <f t="shared" si="0"/>
        <v>1.2100000000000009</v>
      </c>
      <c r="AE48" s="138">
        <f t="shared" si="1"/>
        <v>-9.9999999999998979E-3</v>
      </c>
    </row>
    <row r="49" spans="2:31" x14ac:dyDescent="0.25">
      <c r="B49" s="193">
        <v>42601</v>
      </c>
      <c r="C49" s="10">
        <v>200</v>
      </c>
      <c r="D49" s="40">
        <v>22.554099999999998</v>
      </c>
      <c r="E49" s="40">
        <v>23.02</v>
      </c>
      <c r="F49" s="40">
        <f t="shared" ref="F49" si="49">C49*(E49-D49)</f>
        <v>93.180000000000263</v>
      </c>
      <c r="G49" s="40">
        <f t="shared" ref="G49" si="50">D49*C49</f>
        <v>4510.82</v>
      </c>
      <c r="H49" s="231">
        <f t="shared" ref="H49" si="51">(E49-D49)/D49</f>
        <v>2.06569980624366E-2</v>
      </c>
      <c r="I49" s="40"/>
      <c r="O49" s="83">
        <v>1.02</v>
      </c>
      <c r="P49" s="83">
        <f t="shared" si="42"/>
        <v>26.163</v>
      </c>
      <c r="Q49" s="2"/>
      <c r="T49" s="93" t="s">
        <v>123</v>
      </c>
      <c r="U49" s="130" t="s">
        <v>334</v>
      </c>
      <c r="W49" s="133">
        <v>42550</v>
      </c>
      <c r="X49" s="10">
        <v>24.47</v>
      </c>
      <c r="Y49" s="10">
        <v>24.63</v>
      </c>
      <c r="Z49" s="10">
        <v>23.96</v>
      </c>
      <c r="AA49" s="10">
        <v>24.34</v>
      </c>
      <c r="AB49" s="95">
        <v>5769300</v>
      </c>
      <c r="AC49" s="10">
        <v>24</v>
      </c>
      <c r="AD49" s="2">
        <f t="shared" si="0"/>
        <v>0.66999999999999815</v>
      </c>
      <c r="AE49" s="138">
        <f t="shared" si="1"/>
        <v>1.1378002528444897E-2</v>
      </c>
    </row>
    <row r="50" spans="2:31" x14ac:dyDescent="0.25">
      <c r="B50" s="193">
        <v>42604</v>
      </c>
      <c r="C50" s="10">
        <v>200</v>
      </c>
      <c r="D50" s="40">
        <v>22.554099999999998</v>
      </c>
      <c r="E50" s="40">
        <v>23.69</v>
      </c>
      <c r="F50" s="40">
        <f t="shared" ref="F50" si="52">C50*(E50-D50)</f>
        <v>227.1800000000006</v>
      </c>
      <c r="G50" s="40">
        <f t="shared" ref="G50" si="53">D50*C50</f>
        <v>4510.82</v>
      </c>
      <c r="H50" s="231">
        <f t="shared" ref="H50" si="54">(E50-D50)/D50</f>
        <v>5.0363348570769975E-2</v>
      </c>
      <c r="I50" s="40"/>
      <c r="O50" s="83">
        <v>1.01</v>
      </c>
      <c r="P50" s="83">
        <f t="shared" si="42"/>
        <v>25.906499999999998</v>
      </c>
      <c r="Q50" s="2"/>
      <c r="T50" s="93"/>
      <c r="U50" s="130"/>
      <c r="W50" s="133">
        <v>42549</v>
      </c>
      <c r="X50" s="10">
        <v>23.86</v>
      </c>
      <c r="Y50" s="10">
        <v>24.48</v>
      </c>
      <c r="Z50" s="10">
        <v>23.6</v>
      </c>
      <c r="AA50" s="10">
        <v>24.06</v>
      </c>
      <c r="AB50" s="95">
        <v>6589500</v>
      </c>
      <c r="AC50" s="10">
        <v>23.73</v>
      </c>
      <c r="AD50" s="2">
        <f t="shared" si="0"/>
        <v>0.87999999999999901</v>
      </c>
      <c r="AE50" s="138">
        <f t="shared" si="1"/>
        <v>2.505399568034572E-2</v>
      </c>
    </row>
    <row r="51" spans="2:31" x14ac:dyDescent="0.25">
      <c r="B51" s="193">
        <v>42605</v>
      </c>
      <c r="C51" s="10">
        <v>200</v>
      </c>
      <c r="D51" s="40">
        <v>22.554099999999998</v>
      </c>
      <c r="E51" s="40">
        <v>24.83</v>
      </c>
      <c r="F51" s="40">
        <f t="shared" ref="F51" si="55">C51*(E51-D51)</f>
        <v>455.18</v>
      </c>
      <c r="G51" s="40">
        <f t="shared" ref="G51" si="56">D51*C51</f>
        <v>4510.82</v>
      </c>
      <c r="H51" s="231">
        <f t="shared" ref="H51" si="57">(E51-D51)/D51</f>
        <v>0.10090848227151605</v>
      </c>
      <c r="I51" s="40"/>
      <c r="O51" s="83">
        <v>1</v>
      </c>
      <c r="P51" s="83">
        <f t="shared" si="42"/>
        <v>25.65</v>
      </c>
      <c r="Q51" s="2"/>
      <c r="T51" s="93" t="s">
        <v>105</v>
      </c>
      <c r="U51" s="130" t="s">
        <v>507</v>
      </c>
      <c r="W51" s="133">
        <v>42548</v>
      </c>
      <c r="X51" s="10">
        <v>24.94</v>
      </c>
      <c r="Y51" s="10">
        <v>24.97</v>
      </c>
      <c r="Z51" s="10">
        <v>23.15</v>
      </c>
      <c r="AA51" s="10">
        <v>23.48</v>
      </c>
      <c r="AB51" s="95">
        <v>7575800</v>
      </c>
      <c r="AC51" s="10">
        <v>23.15</v>
      </c>
      <c r="AD51" s="2">
        <f t="shared" si="0"/>
        <v>1.8200000000000003</v>
      </c>
      <c r="AE51" s="138">
        <f t="shared" si="1"/>
        <v>-7.6953748006379552E-2</v>
      </c>
    </row>
    <row r="52" spans="2:31" x14ac:dyDescent="0.25">
      <c r="B52" s="193">
        <v>42606</v>
      </c>
      <c r="C52" s="10">
        <v>200</v>
      </c>
      <c r="D52" s="40">
        <v>22.554099999999998</v>
      </c>
      <c r="E52" s="40">
        <v>24.04</v>
      </c>
      <c r="F52" s="40">
        <f t="shared" ref="F52" si="58">C52*(E52-D52)</f>
        <v>297.18000000000018</v>
      </c>
      <c r="G52" s="40">
        <f t="shared" ref="G52" si="59">D52*C52</f>
        <v>4510.82</v>
      </c>
      <c r="H52" s="231">
        <f t="shared" ref="H52" si="60">(E52-D52)/D52</f>
        <v>6.588159137363056E-2</v>
      </c>
      <c r="I52" s="40"/>
      <c r="O52" s="83">
        <v>0.99</v>
      </c>
      <c r="P52" s="83">
        <f t="shared" si="42"/>
        <v>25.3935</v>
      </c>
      <c r="Q52" s="2"/>
      <c r="T52" s="93" t="s">
        <v>106</v>
      </c>
      <c r="U52" s="130" t="s">
        <v>366</v>
      </c>
      <c r="W52" s="133">
        <v>42545</v>
      </c>
      <c r="X52" s="10">
        <v>26.54</v>
      </c>
      <c r="Y52" s="10">
        <v>26.62</v>
      </c>
      <c r="Z52" s="10">
        <v>24.76</v>
      </c>
      <c r="AA52" s="10">
        <v>25.43</v>
      </c>
      <c r="AB52" s="95">
        <v>11112200</v>
      </c>
      <c r="AC52" s="10">
        <v>25.08</v>
      </c>
      <c r="AD52" s="2">
        <f t="shared" si="0"/>
        <v>1.8599999999999994</v>
      </c>
      <c r="AE52" s="138">
        <f t="shared" si="1"/>
        <v>-7.9970652971386724E-2</v>
      </c>
    </row>
    <row r="53" spans="2:31" x14ac:dyDescent="0.25">
      <c r="B53" s="193">
        <v>42607</v>
      </c>
      <c r="C53" s="10">
        <v>200</v>
      </c>
      <c r="D53" s="40">
        <v>22.554099999999998</v>
      </c>
      <c r="E53" s="40">
        <v>24.23</v>
      </c>
      <c r="F53" s="40">
        <f t="shared" ref="F53" si="61">C53*(E53-D53)</f>
        <v>335.1800000000004</v>
      </c>
      <c r="G53" s="40">
        <f t="shared" ref="G53" si="62">D53*C53</f>
        <v>4510.82</v>
      </c>
      <c r="H53" s="231">
        <f t="shared" ref="H53" si="63">(E53-D53)/D53</f>
        <v>7.4305780323754983E-2</v>
      </c>
      <c r="I53" s="40"/>
      <c r="O53" s="83">
        <v>0.98</v>
      </c>
      <c r="P53" s="83">
        <f t="shared" si="42"/>
        <v>25.136999999999997</v>
      </c>
      <c r="Q53" s="2"/>
      <c r="T53" s="93" t="s">
        <v>107</v>
      </c>
      <c r="U53" s="131">
        <v>3713595</v>
      </c>
      <c r="W53" s="133">
        <v>42544</v>
      </c>
      <c r="X53" s="10">
        <v>27.19</v>
      </c>
      <c r="Y53" s="10">
        <v>27.66</v>
      </c>
      <c r="Z53" s="10">
        <v>26.83</v>
      </c>
      <c r="AA53" s="10">
        <v>27.64</v>
      </c>
      <c r="AB53" s="95">
        <v>4862500</v>
      </c>
      <c r="AC53" s="10">
        <v>27.26</v>
      </c>
      <c r="AD53" s="2">
        <f t="shared" si="0"/>
        <v>0.83000000000000185</v>
      </c>
      <c r="AE53" s="138">
        <f t="shared" si="1"/>
        <v>2.3273273273273221E-2</v>
      </c>
    </row>
    <row r="54" spans="2:31" x14ac:dyDescent="0.25">
      <c r="B54" s="193">
        <v>42608</v>
      </c>
      <c r="C54" s="10">
        <v>200</v>
      </c>
      <c r="D54" s="40">
        <v>22.554099999999998</v>
      </c>
      <c r="E54" s="40">
        <v>23.98</v>
      </c>
      <c r="F54" s="40">
        <f t="shared" ref="F54" si="64">C54*(E54-D54)</f>
        <v>285.1800000000004</v>
      </c>
      <c r="G54" s="40">
        <f t="shared" ref="G54" si="65">D54*C54</f>
        <v>4510.82</v>
      </c>
      <c r="H54" s="231">
        <f t="shared" ref="H54" si="66">(E54-D54)/D54</f>
        <v>6.3221321178854498E-2</v>
      </c>
      <c r="I54" s="40"/>
      <c r="O54" s="83">
        <v>0.97</v>
      </c>
      <c r="P54" s="83">
        <f t="shared" si="42"/>
        <v>24.880499999999998</v>
      </c>
      <c r="T54" s="93" t="s">
        <v>110</v>
      </c>
      <c r="U54" s="131">
        <v>5646280</v>
      </c>
      <c r="W54" s="133">
        <v>42543</v>
      </c>
      <c r="X54" s="10">
        <v>27.5</v>
      </c>
      <c r="Y54" s="10">
        <v>27.77</v>
      </c>
      <c r="Z54" s="10">
        <v>26.97</v>
      </c>
      <c r="AA54" s="10">
        <v>27.02</v>
      </c>
      <c r="AB54" s="95">
        <v>3785900</v>
      </c>
      <c r="AC54" s="10">
        <v>26.64</v>
      </c>
      <c r="AD54" s="2">
        <f t="shared" si="0"/>
        <v>0.80000000000000071</v>
      </c>
      <c r="AE54" s="138">
        <f t="shared" si="1"/>
        <v>-1.0768659487560339E-2</v>
      </c>
    </row>
    <row r="55" spans="2:31" x14ac:dyDescent="0.25">
      <c r="B55" s="193">
        <v>42611</v>
      </c>
      <c r="C55" s="10">
        <v>200</v>
      </c>
      <c r="D55" s="40">
        <v>22.554099999999998</v>
      </c>
      <c r="E55" s="40">
        <v>24.98</v>
      </c>
      <c r="F55" s="40">
        <f t="shared" ref="F55" si="67">C55*(E55-D55)</f>
        <v>485.1800000000004</v>
      </c>
      <c r="G55" s="40">
        <f t="shared" ref="G55" si="68">D55*C55</f>
        <v>4510.82</v>
      </c>
      <c r="H55" s="231">
        <f t="shared" ref="H55" si="69">(E55-D55)/D55</f>
        <v>0.10755915775845644</v>
      </c>
      <c r="I55" s="40"/>
      <c r="O55" s="83">
        <v>0.96</v>
      </c>
      <c r="P55" s="83">
        <f t="shared" si="42"/>
        <v>24.623999999999999</v>
      </c>
      <c r="T55" s="93" t="s">
        <v>108</v>
      </c>
      <c r="U55" s="130" t="s">
        <v>508</v>
      </c>
      <c r="W55" s="133">
        <v>42542</v>
      </c>
      <c r="X55" s="10">
        <v>27.87</v>
      </c>
      <c r="Y55" s="10">
        <v>28.05</v>
      </c>
      <c r="Z55" s="10">
        <v>27.15</v>
      </c>
      <c r="AA55" s="10">
        <v>27.31</v>
      </c>
      <c r="AB55" s="95">
        <v>4617900</v>
      </c>
      <c r="AC55" s="10">
        <v>26.93</v>
      </c>
      <c r="AD55" s="2">
        <f t="shared" si="0"/>
        <v>0.90000000000000213</v>
      </c>
      <c r="AE55" s="138">
        <f t="shared" si="1"/>
        <v>-2.3213638012332227E-2</v>
      </c>
    </row>
    <row r="56" spans="2:31" x14ac:dyDescent="0.25">
      <c r="B56" s="193">
        <v>42612</v>
      </c>
      <c r="C56" s="10">
        <v>200</v>
      </c>
      <c r="D56" s="40">
        <v>22.554099999999998</v>
      </c>
      <c r="E56" s="40">
        <v>26.17</v>
      </c>
      <c r="F56" s="40">
        <f t="shared" ref="F56:F57" si="70">C56*(E56-D56)</f>
        <v>723.18000000000075</v>
      </c>
      <c r="G56" s="40">
        <f t="shared" ref="G56:G57" si="71">D56*C56</f>
        <v>4510.82</v>
      </c>
      <c r="H56" s="231">
        <f t="shared" ref="H56:H57" si="72">(E56-D56)/D56</f>
        <v>0.16032118328818279</v>
      </c>
      <c r="I56" s="40"/>
      <c r="O56" s="83">
        <v>0.95</v>
      </c>
      <c r="P56" s="83">
        <f t="shared" si="42"/>
        <v>24.367499999999996</v>
      </c>
      <c r="T56" s="93" t="s">
        <v>111</v>
      </c>
      <c r="U56" s="130">
        <v>31.95</v>
      </c>
      <c r="W56" s="133">
        <v>42541</v>
      </c>
      <c r="X56" s="10">
        <v>28.54</v>
      </c>
      <c r="Y56" s="10">
        <v>29.25</v>
      </c>
      <c r="Z56" s="10">
        <v>27.91</v>
      </c>
      <c r="AA56" s="10">
        <v>27.96</v>
      </c>
      <c r="AB56" s="95">
        <v>3462700</v>
      </c>
      <c r="AC56" s="10">
        <v>27.57</v>
      </c>
      <c r="AD56" s="2">
        <f t="shared" si="0"/>
        <v>1.3399999999999999</v>
      </c>
      <c r="AE56" s="138">
        <f t="shared" si="1"/>
        <v>-1.3948497854077258E-2</v>
      </c>
    </row>
    <row r="57" spans="2:31" x14ac:dyDescent="0.25">
      <c r="B57" s="193">
        <v>42614</v>
      </c>
      <c r="C57" s="10">
        <v>200</v>
      </c>
      <c r="D57" s="40">
        <v>22.104099999999999</v>
      </c>
      <c r="E57" s="40">
        <v>25.6</v>
      </c>
      <c r="F57" s="40">
        <f t="shared" si="70"/>
        <v>699.18000000000052</v>
      </c>
      <c r="G57" s="40">
        <f t="shared" si="71"/>
        <v>4420.82</v>
      </c>
      <c r="H57" s="231">
        <f t="shared" si="72"/>
        <v>0.15815617917038027</v>
      </c>
      <c r="I57" s="40" t="s">
        <v>195</v>
      </c>
      <c r="O57" s="83">
        <v>0.94</v>
      </c>
      <c r="P57" s="83">
        <f t="shared" si="42"/>
        <v>24.110999999999997</v>
      </c>
      <c r="T57" s="93" t="s">
        <v>112</v>
      </c>
      <c r="U57" s="130">
        <v>0.81</v>
      </c>
      <c r="W57" s="133">
        <v>42538</v>
      </c>
      <c r="X57" s="10">
        <v>27.65</v>
      </c>
      <c r="Y57" s="10">
        <v>28.73</v>
      </c>
      <c r="Z57" s="10">
        <v>27.63</v>
      </c>
      <c r="AA57" s="10">
        <v>28.35</v>
      </c>
      <c r="AB57" s="95">
        <v>6613200</v>
      </c>
      <c r="AC57" s="10">
        <v>27.96</v>
      </c>
      <c r="AD57" s="2">
        <f t="shared" si="0"/>
        <v>1.1000000000000014</v>
      </c>
      <c r="AE57" s="138">
        <f t="shared" si="1"/>
        <v>2.7563395810363822E-2</v>
      </c>
    </row>
    <row r="58" spans="2:31" x14ac:dyDescent="0.25">
      <c r="B58" s="193">
        <v>42615</v>
      </c>
      <c r="C58" s="10">
        <v>200</v>
      </c>
      <c r="D58" s="40">
        <v>22.104099999999999</v>
      </c>
      <c r="E58" s="40">
        <v>25.94</v>
      </c>
      <c r="F58" s="40">
        <f t="shared" ref="F58" si="73">C58*(E58-D58)</f>
        <v>767.18000000000052</v>
      </c>
      <c r="G58" s="40">
        <f t="shared" ref="G58" si="74">D58*C58</f>
        <v>4420.82</v>
      </c>
      <c r="H58" s="231">
        <f t="shared" ref="H58" si="75">(E58-D58)/D58</f>
        <v>0.17353794092498687</v>
      </c>
      <c r="I58" s="40"/>
      <c r="O58" s="83">
        <v>0.93</v>
      </c>
      <c r="P58" s="83">
        <f t="shared" si="42"/>
        <v>23.854500000000002</v>
      </c>
      <c r="T58" s="93" t="s">
        <v>109</v>
      </c>
      <c r="U58" s="130" t="s">
        <v>586</v>
      </c>
      <c r="W58" s="133">
        <v>42537</v>
      </c>
      <c r="X58" s="10">
        <v>27.4</v>
      </c>
      <c r="Y58" s="10">
        <v>27.8</v>
      </c>
      <c r="Z58" s="10">
        <v>26.55</v>
      </c>
      <c r="AA58" s="10">
        <v>27.59</v>
      </c>
      <c r="AB58" s="95">
        <v>4312900</v>
      </c>
      <c r="AC58" s="10">
        <v>27.21</v>
      </c>
      <c r="AD58" s="2">
        <f t="shared" si="0"/>
        <v>1.25</v>
      </c>
      <c r="AE58" s="138">
        <f t="shared" si="1"/>
        <v>-3.296703296703285E-3</v>
      </c>
    </row>
    <row r="59" spans="2:31" x14ac:dyDescent="0.25">
      <c r="B59" s="193">
        <v>42619</v>
      </c>
      <c r="C59" s="10">
        <v>200</v>
      </c>
      <c r="D59" s="40">
        <v>22.104099999999999</v>
      </c>
      <c r="E59" s="40">
        <v>25.65</v>
      </c>
      <c r="F59" s="40">
        <f t="shared" ref="F59" si="76">C59*(E59-D59)</f>
        <v>709.18</v>
      </c>
      <c r="G59" s="40">
        <f t="shared" ref="G59" si="77">D59*C59</f>
        <v>4420.82</v>
      </c>
      <c r="H59" s="231">
        <f t="shared" ref="H59" si="78">(E59-D59)/D59</f>
        <v>0.1604182029578223</v>
      </c>
      <c r="I59" s="40"/>
      <c r="O59" s="83">
        <v>0.92</v>
      </c>
      <c r="P59" s="83">
        <f t="shared" si="42"/>
        <v>23.597999999999999</v>
      </c>
      <c r="W59" s="133">
        <v>42536</v>
      </c>
      <c r="X59" s="10">
        <v>27.82</v>
      </c>
      <c r="Y59" s="10">
        <v>28.33</v>
      </c>
      <c r="Z59" s="10">
        <v>27.25</v>
      </c>
      <c r="AA59" s="10">
        <v>27.68</v>
      </c>
      <c r="AB59" s="95">
        <v>4606300</v>
      </c>
      <c r="AC59" s="10">
        <v>27.3</v>
      </c>
      <c r="AD59" s="2">
        <f t="shared" si="0"/>
        <v>1.0799999999999983</v>
      </c>
      <c r="AE59" s="138">
        <f t="shared" si="1"/>
        <v>-1.4630577907827069E-3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42"/>
        <v>23.3415</v>
      </c>
      <c r="W60" s="133">
        <v>42535</v>
      </c>
      <c r="X60" s="10">
        <v>28.58</v>
      </c>
      <c r="Y60" s="10">
        <v>29.17</v>
      </c>
      <c r="Z60" s="10">
        <v>27.43</v>
      </c>
      <c r="AA60" s="10">
        <v>27.73</v>
      </c>
      <c r="AB60" s="95">
        <v>4068000</v>
      </c>
      <c r="AC60" s="10">
        <v>27.34</v>
      </c>
      <c r="AD60" s="2">
        <f t="shared" si="0"/>
        <v>1.740000000000002</v>
      </c>
      <c r="AE60" s="138">
        <f t="shared" si="1"/>
        <v>-3.1183557760453562E-2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42"/>
        <v>23.085000000000001</v>
      </c>
      <c r="W61" s="133">
        <v>42534</v>
      </c>
      <c r="X61" s="10">
        <v>29.43</v>
      </c>
      <c r="Y61" s="10">
        <v>30.07</v>
      </c>
      <c r="Z61" s="10">
        <v>28.58</v>
      </c>
      <c r="AA61" s="10">
        <v>28.62</v>
      </c>
      <c r="AB61" s="95">
        <v>3452300</v>
      </c>
      <c r="AC61" s="10">
        <v>28.22</v>
      </c>
      <c r="AD61" s="2">
        <f t="shared" si="0"/>
        <v>1.490000000000002</v>
      </c>
      <c r="AE61" s="138">
        <f t="shared" si="1"/>
        <v>-2.0818875780707846E-2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42531</v>
      </c>
      <c r="X62" s="10">
        <v>29.4</v>
      </c>
      <c r="Y62" s="10">
        <v>30.03</v>
      </c>
      <c r="Z62" s="10">
        <v>28.83</v>
      </c>
      <c r="AA62" s="10">
        <v>29.23</v>
      </c>
      <c r="AB62" s="95">
        <v>4878800</v>
      </c>
      <c r="AC62" s="10">
        <v>28.82</v>
      </c>
      <c r="AD62" s="2">
        <f t="shared" si="0"/>
        <v>1.2000000000000028</v>
      </c>
      <c r="AE62" s="138">
        <f t="shared" si="1"/>
        <v>-1.9060585432266852E-2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42530</v>
      </c>
      <c r="X63" s="10">
        <v>30.59</v>
      </c>
      <c r="Y63" s="10">
        <v>30.59</v>
      </c>
      <c r="Z63" s="10">
        <v>29.47</v>
      </c>
      <c r="AA63" s="10">
        <v>29.79</v>
      </c>
      <c r="AB63" s="95">
        <v>4885900</v>
      </c>
      <c r="AC63" s="10">
        <v>29.38</v>
      </c>
      <c r="AD63" s="2">
        <f t="shared" si="0"/>
        <v>1.120000000000001</v>
      </c>
      <c r="AE63" s="138">
        <f t="shared" si="1"/>
        <v>-4.1435562805872794E-2</v>
      </c>
    </row>
    <row r="64" spans="2:31" x14ac:dyDescent="0.25">
      <c r="W64" s="133">
        <v>42529</v>
      </c>
      <c r="X64" s="10">
        <v>31.97</v>
      </c>
      <c r="Y64" s="10">
        <v>32.08</v>
      </c>
      <c r="Z64" s="10">
        <v>30.58</v>
      </c>
      <c r="AA64" s="10">
        <v>31.08</v>
      </c>
      <c r="AB64" s="95">
        <v>3669000</v>
      </c>
      <c r="AC64" s="10">
        <v>30.65</v>
      </c>
      <c r="AD64" s="2">
        <f t="shared" si="0"/>
        <v>1.5</v>
      </c>
      <c r="AE64" s="138">
        <f t="shared" si="1"/>
        <v>-2.7601522842639614E-2</v>
      </c>
    </row>
    <row r="65" spans="23:31" x14ac:dyDescent="0.25">
      <c r="W65" s="133">
        <v>42528</v>
      </c>
      <c r="X65" s="10">
        <v>31.39</v>
      </c>
      <c r="Y65" s="10">
        <v>32.42</v>
      </c>
      <c r="Z65" s="10">
        <v>31.3</v>
      </c>
      <c r="AA65" s="10">
        <v>31.96</v>
      </c>
      <c r="AB65" s="95">
        <v>6240700</v>
      </c>
      <c r="AC65" s="10">
        <v>31.52</v>
      </c>
      <c r="AD65" s="2">
        <f t="shared" si="0"/>
        <v>1.120000000000001</v>
      </c>
      <c r="AE65" s="138">
        <f t="shared" si="1"/>
        <v>2.6041666666666741E-2</v>
      </c>
    </row>
    <row r="66" spans="23:31" x14ac:dyDescent="0.25">
      <c r="W66" s="133">
        <v>42527</v>
      </c>
      <c r="X66" s="10">
        <v>29.45</v>
      </c>
      <c r="Y66" s="10">
        <v>31.16</v>
      </c>
      <c r="Z66" s="10">
        <v>29.2</v>
      </c>
      <c r="AA66" s="10">
        <v>31.15</v>
      </c>
      <c r="AB66" s="95">
        <v>7725100</v>
      </c>
      <c r="AC66" s="10">
        <v>30.72</v>
      </c>
      <c r="AD66" s="2">
        <f t="shared" si="0"/>
        <v>1.9600000000000009</v>
      </c>
      <c r="AE66" s="138">
        <f t="shared" si="1"/>
        <v>8.8975540588443813E-2</v>
      </c>
    </row>
    <row r="67" spans="23:31" x14ac:dyDescent="0.25">
      <c r="W67" s="133">
        <v>42524</v>
      </c>
      <c r="X67" s="10">
        <v>27.93</v>
      </c>
      <c r="Y67" s="10">
        <v>28.7</v>
      </c>
      <c r="Z67" s="10">
        <v>27.61</v>
      </c>
      <c r="AA67" s="10">
        <v>28.61</v>
      </c>
      <c r="AB67" s="95">
        <v>4223300</v>
      </c>
      <c r="AC67" s="10">
        <v>28.21</v>
      </c>
      <c r="AD67" s="2">
        <f>Y67-Z67</f>
        <v>1.0899999999999999</v>
      </c>
      <c r="AE67" s="138" t="e">
        <f>AC67/#REF!-1</f>
        <v>#REF!</v>
      </c>
    </row>
    <row r="68" spans="23:31" x14ac:dyDescent="0.25">
      <c r="W68" s="133">
        <v>42523</v>
      </c>
      <c r="X68" s="10">
        <v>27.64</v>
      </c>
      <c r="Y68" s="10">
        <v>28.27</v>
      </c>
      <c r="Z68" s="10">
        <v>27.5</v>
      </c>
      <c r="AA68" s="10">
        <v>27.98</v>
      </c>
      <c r="AB68" s="95">
        <v>6262400</v>
      </c>
      <c r="AC68" s="10">
        <v>27.59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33:F63 H33:H63">
    <cfRule type="expression" dxfId="640" priority="13">
      <formula>F33&gt;0</formula>
    </cfRule>
    <cfRule type="expression" dxfId="639" priority="14">
      <formula>F33&lt;0</formula>
    </cfRule>
  </conditionalFormatting>
  <conditionalFormatting sqref="Q7">
    <cfRule type="expression" dxfId="638" priority="7">
      <formula>Q7&gt;0</formula>
    </cfRule>
    <cfRule type="expression" dxfId="637" priority="8">
      <formula>Q7&lt;0</formula>
    </cfRule>
  </conditionalFormatting>
  <conditionalFormatting sqref="Q8">
    <cfRule type="expression" dxfId="636" priority="5">
      <formula>Q8&gt;0</formula>
    </cfRule>
    <cfRule type="expression" dxfId="635" priority="6">
      <formula>Q8&lt;0</formula>
    </cfRule>
  </conditionalFormatting>
  <conditionalFormatting sqref="F25:F32">
    <cfRule type="expression" dxfId="634" priority="3">
      <formula>F25&gt;0</formula>
    </cfRule>
    <cfRule type="expression" dxfId="633" priority="4">
      <formula>F25&lt;0</formula>
    </cfRule>
  </conditionalFormatting>
  <conditionalFormatting sqref="H25:H32">
    <cfRule type="expression" dxfId="632" priority="1">
      <formula>H25&gt;0</formula>
    </cfRule>
    <cfRule type="expression" dxfId="63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42578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127</v>
      </c>
      <c r="AE1" s="16" t="s">
        <v>129</v>
      </c>
    </row>
    <row r="2" spans="1:31" x14ac:dyDescent="0.25">
      <c r="A2" s="6" t="s">
        <v>36</v>
      </c>
      <c r="B2" s="74">
        <v>42572</v>
      </c>
      <c r="C2" s="4">
        <v>60</v>
      </c>
      <c r="D2" s="3">
        <v>39.58</v>
      </c>
      <c r="E2" s="3">
        <v>0</v>
      </c>
      <c r="F2" s="3">
        <f>C2*D2+E2</f>
        <v>2374.7999999999997</v>
      </c>
      <c r="G2" s="74"/>
      <c r="H2" s="185"/>
      <c r="I2" s="3"/>
      <c r="J2" s="3"/>
      <c r="K2" s="3"/>
      <c r="L2" s="74">
        <v>42621</v>
      </c>
      <c r="M2" s="4"/>
      <c r="O2" s="11" t="s">
        <v>57</v>
      </c>
      <c r="Q2">
        <f>C18-H18</f>
        <v>200</v>
      </c>
      <c r="T2" s="1"/>
      <c r="W2" s="133">
        <v>42615</v>
      </c>
      <c r="X2" s="10">
        <v>36.57</v>
      </c>
      <c r="Y2" s="10">
        <v>37.01</v>
      </c>
      <c r="Z2" s="10">
        <v>36.520000000000003</v>
      </c>
      <c r="AA2" s="10">
        <v>36.89</v>
      </c>
      <c r="AB2" s="95">
        <v>4441300</v>
      </c>
      <c r="AC2" s="10">
        <v>36.89</v>
      </c>
      <c r="AD2">
        <f>Y2-Z2</f>
        <v>0.48999999999999488</v>
      </c>
      <c r="AE2" s="138">
        <f>AC2/AC3-1</f>
        <v>8.1989614648809717E-3</v>
      </c>
    </row>
    <row r="3" spans="1:31" x14ac:dyDescent="0.25">
      <c r="A3" s="23" t="s">
        <v>71</v>
      </c>
      <c r="B3" s="74">
        <v>42572</v>
      </c>
      <c r="C3">
        <v>40</v>
      </c>
      <c r="D3" s="2">
        <v>37.880000000000003</v>
      </c>
      <c r="E3" s="2">
        <v>0</v>
      </c>
      <c r="F3" s="3">
        <f t="shared" ref="F3:F6" si="0">C3*D3+E3</f>
        <v>1515.2</v>
      </c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38.025499999999994</v>
      </c>
      <c r="T3" s="1"/>
      <c r="W3" s="133">
        <v>42614</v>
      </c>
      <c r="X3" s="10">
        <v>36.880000000000003</v>
      </c>
      <c r="Y3" s="10">
        <v>37.25</v>
      </c>
      <c r="Z3" s="10">
        <v>36.409999999999997</v>
      </c>
      <c r="AA3" s="10">
        <v>36.590000000000003</v>
      </c>
      <c r="AB3" s="95">
        <v>4781400</v>
      </c>
      <c r="AC3" s="10">
        <v>36.590000000000003</v>
      </c>
      <c r="AD3">
        <f t="shared" ref="AD3:AD4" si="1">Y3-Z3</f>
        <v>0.84000000000000341</v>
      </c>
      <c r="AE3" s="138">
        <f t="shared" ref="AE3:AE4" si="2">AC3/AC4-1</f>
        <v>-7.8633405639912946E-3</v>
      </c>
    </row>
    <row r="4" spans="1:31" x14ac:dyDescent="0.25">
      <c r="B4" s="74">
        <v>42572</v>
      </c>
      <c r="C4" s="4">
        <v>40</v>
      </c>
      <c r="D4" s="3">
        <v>37.58</v>
      </c>
      <c r="E4" s="3">
        <v>0</v>
      </c>
      <c r="F4" s="3">
        <f t="shared" si="0"/>
        <v>1503.1999999999998</v>
      </c>
      <c r="G4" s="4"/>
      <c r="H4" s="185"/>
      <c r="I4" s="3"/>
      <c r="J4" s="3"/>
      <c r="K4" s="3"/>
      <c r="L4" s="4"/>
      <c r="O4" s="11" t="s">
        <v>66</v>
      </c>
      <c r="Q4" s="55">
        <v>36.950000000000003</v>
      </c>
      <c r="T4" s="163"/>
      <c r="U4" s="1"/>
      <c r="W4" s="133">
        <v>42613</v>
      </c>
      <c r="X4" s="10">
        <v>37.200000000000003</v>
      </c>
      <c r="Y4" s="10">
        <v>37.619999999999997</v>
      </c>
      <c r="Z4" s="10">
        <v>36.4</v>
      </c>
      <c r="AA4" s="10">
        <v>36.880000000000003</v>
      </c>
      <c r="AB4" s="95">
        <v>8148200</v>
      </c>
      <c r="AC4" s="10">
        <v>36.880000000000003</v>
      </c>
      <c r="AD4">
        <f t="shared" si="1"/>
        <v>1.2199999999999989</v>
      </c>
      <c r="AE4" s="138">
        <f t="shared" si="2"/>
        <v>-8.0688542227003168E-3</v>
      </c>
    </row>
    <row r="5" spans="1:31" x14ac:dyDescent="0.25">
      <c r="B5" s="74">
        <v>42576</v>
      </c>
      <c r="C5" s="4">
        <v>30</v>
      </c>
      <c r="D5" s="3">
        <v>37.15</v>
      </c>
      <c r="E5" s="3">
        <v>0</v>
      </c>
      <c r="F5" s="3">
        <f t="shared" si="0"/>
        <v>1114.5</v>
      </c>
      <c r="G5" s="4"/>
      <c r="H5" s="185"/>
      <c r="I5" s="3"/>
      <c r="J5" s="3"/>
      <c r="K5" s="3"/>
      <c r="L5" s="4"/>
      <c r="O5" s="11" t="s">
        <v>67</v>
      </c>
      <c r="Q5" s="3">
        <f>Q4*Q2</f>
        <v>7390.0000000000009</v>
      </c>
      <c r="W5" s="133">
        <v>42612</v>
      </c>
      <c r="X5" s="10">
        <v>36.450000000000003</v>
      </c>
      <c r="Y5" s="10">
        <v>37.340000000000003</v>
      </c>
      <c r="Z5" s="10">
        <v>36.369999999999997</v>
      </c>
      <c r="AA5" s="10">
        <v>37.18</v>
      </c>
      <c r="AB5" s="95">
        <v>6007300</v>
      </c>
      <c r="AC5" s="10">
        <v>37.18</v>
      </c>
      <c r="AD5">
        <f t="shared" ref="AD5:AD68" si="3">Y5-Z5</f>
        <v>0.97000000000000597</v>
      </c>
      <c r="AE5" s="138">
        <f t="shared" ref="AE5:AE67" si="4">AC5/AC6-1</f>
        <v>2.0027434842249558E-2</v>
      </c>
    </row>
    <row r="6" spans="1:31" x14ac:dyDescent="0.25">
      <c r="B6" s="529">
        <v>42594</v>
      </c>
      <c r="C6" s="4">
        <v>30</v>
      </c>
      <c r="D6" s="3">
        <v>36.58</v>
      </c>
      <c r="E6" s="3">
        <v>0</v>
      </c>
      <c r="F6" s="3">
        <f t="shared" si="0"/>
        <v>1097.3999999999999</v>
      </c>
      <c r="G6" s="4"/>
      <c r="H6" s="185"/>
      <c r="I6" s="3"/>
      <c r="J6" s="3"/>
      <c r="K6" s="3"/>
      <c r="L6" s="4"/>
      <c r="O6" s="11" t="s">
        <v>64</v>
      </c>
      <c r="Q6" s="2">
        <f>Q3*Q2</f>
        <v>7605.0999999999985</v>
      </c>
      <c r="W6" s="133">
        <v>42611</v>
      </c>
      <c r="X6" s="10">
        <v>36.409999999999997</v>
      </c>
      <c r="Y6" s="10">
        <v>36.54</v>
      </c>
      <c r="Z6" s="10">
        <v>36.32</v>
      </c>
      <c r="AA6" s="10">
        <v>36.450000000000003</v>
      </c>
      <c r="AB6" s="95">
        <v>4108700</v>
      </c>
      <c r="AC6" s="10">
        <v>36.450000000000003</v>
      </c>
      <c r="AD6">
        <f t="shared" si="3"/>
        <v>0.21999999999999886</v>
      </c>
      <c r="AE6" s="138">
        <f t="shared" si="4"/>
        <v>4.9627791563275903E-3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-215.09999999999854</v>
      </c>
      <c r="R7">
        <v>170</v>
      </c>
      <c r="W7" s="133">
        <v>42608</v>
      </c>
      <c r="X7" s="10">
        <v>36.729999999999997</v>
      </c>
      <c r="Y7" s="10">
        <v>36.770000000000003</v>
      </c>
      <c r="Z7" s="10">
        <v>36.049999999999997</v>
      </c>
      <c r="AA7" s="10">
        <v>36.270000000000003</v>
      </c>
      <c r="AB7" s="95">
        <v>5245500</v>
      </c>
      <c r="AC7" s="10">
        <v>36.270000000000003</v>
      </c>
      <c r="AD7">
        <f t="shared" si="3"/>
        <v>0.72000000000000597</v>
      </c>
      <c r="AE7" s="138">
        <f t="shared" si="4"/>
        <v>-1.1447260834014594E-2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-215.09999999999854</v>
      </c>
      <c r="W8" s="133">
        <v>42607</v>
      </c>
      <c r="X8" s="10">
        <v>36.549999999999997</v>
      </c>
      <c r="Y8" s="10">
        <v>36.85</v>
      </c>
      <c r="Z8" s="10">
        <v>36.43</v>
      </c>
      <c r="AA8" s="10">
        <v>36.69</v>
      </c>
      <c r="AB8" s="95">
        <v>3334900</v>
      </c>
      <c r="AC8" s="10">
        <v>36.69</v>
      </c>
      <c r="AD8">
        <f t="shared" si="3"/>
        <v>0.42000000000000171</v>
      </c>
      <c r="AE8" s="138">
        <f t="shared" si="4"/>
        <v>8.1833060556468773E-4</v>
      </c>
    </row>
    <row r="9" spans="1:31" x14ac:dyDescent="0.25">
      <c r="H9" s="72"/>
      <c r="O9" s="11" t="s">
        <v>224</v>
      </c>
      <c r="Q9" s="138">
        <f>IF(Q2=0, 0, Q8/Q6)</f>
        <v>-2.828365176000297E-2</v>
      </c>
      <c r="W9" s="133">
        <v>42606</v>
      </c>
      <c r="X9" s="10">
        <v>36.6</v>
      </c>
      <c r="Y9" s="10">
        <v>36.840000000000003</v>
      </c>
      <c r="Z9" s="10">
        <v>36.42</v>
      </c>
      <c r="AA9" s="10">
        <v>36.659999999999997</v>
      </c>
      <c r="AB9" s="95">
        <v>4473300</v>
      </c>
      <c r="AC9" s="10">
        <v>36.659999999999997</v>
      </c>
      <c r="AD9">
        <f t="shared" si="3"/>
        <v>0.42000000000000171</v>
      </c>
      <c r="AE9" s="138">
        <f t="shared" si="4"/>
        <v>-8.1766148814399475E-4</v>
      </c>
    </row>
    <row r="10" spans="1:31" x14ac:dyDescent="0.25">
      <c r="H10" s="72"/>
      <c r="O10" s="11" t="s">
        <v>223</v>
      </c>
      <c r="P10" s="34"/>
      <c r="Q10" s="2">
        <v>0</v>
      </c>
      <c r="W10" s="133">
        <v>42605</v>
      </c>
      <c r="X10" s="10">
        <v>36.46</v>
      </c>
      <c r="Y10" s="10">
        <v>36.799999999999997</v>
      </c>
      <c r="Z10" s="10">
        <v>36.450000000000003</v>
      </c>
      <c r="AA10" s="10">
        <v>36.69</v>
      </c>
      <c r="AB10" s="95">
        <v>4566400</v>
      </c>
      <c r="AC10" s="10">
        <v>36.69</v>
      </c>
      <c r="AD10">
        <f t="shared" si="3"/>
        <v>0.34999999999999432</v>
      </c>
      <c r="AE10" s="138">
        <f t="shared" si="4"/>
        <v>1.1300992282249123E-2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1.0800000000000001E-2</v>
      </c>
      <c r="W11" s="133">
        <v>42604</v>
      </c>
      <c r="X11" s="10">
        <v>36.340000000000003</v>
      </c>
      <c r="Y11" s="10">
        <v>36.54</v>
      </c>
      <c r="Z11" s="10">
        <v>36.130000000000003</v>
      </c>
      <c r="AA11" s="10">
        <v>36.28</v>
      </c>
      <c r="AB11" s="95">
        <v>4829500</v>
      </c>
      <c r="AC11" s="10">
        <v>36.28</v>
      </c>
      <c r="AD11">
        <f t="shared" si="3"/>
        <v>0.40999999999999659</v>
      </c>
      <c r="AE11" s="138">
        <f t="shared" si="4"/>
        <v>-1.9257221458046647E-3</v>
      </c>
    </row>
    <row r="12" spans="1:31" x14ac:dyDescent="0.25">
      <c r="H12" s="72"/>
      <c r="W12" s="133">
        <v>42601</v>
      </c>
      <c r="X12" s="10">
        <v>36.71</v>
      </c>
      <c r="Y12" s="10">
        <v>36.799999999999997</v>
      </c>
      <c r="Z12" s="10">
        <v>36.299999999999997</v>
      </c>
      <c r="AA12" s="10">
        <v>36.35</v>
      </c>
      <c r="AB12" s="95">
        <v>7517200</v>
      </c>
      <c r="AC12" s="10">
        <v>36.35</v>
      </c>
      <c r="AD12">
        <f t="shared" si="3"/>
        <v>0.5</v>
      </c>
      <c r="AE12" s="138">
        <f t="shared" si="4"/>
        <v>-1.3300760043431059E-2</v>
      </c>
    </row>
    <row r="13" spans="1:31" x14ac:dyDescent="0.25">
      <c r="H13" s="72"/>
      <c r="W13" s="133">
        <v>42600</v>
      </c>
      <c r="X13" s="10">
        <v>36.85</v>
      </c>
      <c r="Y13" s="10">
        <v>36.9</v>
      </c>
      <c r="Z13" s="10">
        <v>36.520000000000003</v>
      </c>
      <c r="AA13" s="10">
        <v>36.840000000000003</v>
      </c>
      <c r="AB13" s="95">
        <v>4370500</v>
      </c>
      <c r="AC13" s="10">
        <v>36.840000000000003</v>
      </c>
      <c r="AD13">
        <f t="shared" si="3"/>
        <v>0.37999999999999545</v>
      </c>
      <c r="AE13" s="138">
        <f t="shared" si="4"/>
        <v>-2.7137042062408412E-4</v>
      </c>
    </row>
    <row r="14" spans="1:31" x14ac:dyDescent="0.25">
      <c r="H14" s="72"/>
      <c r="W14" s="133">
        <v>42599</v>
      </c>
      <c r="X14" s="10">
        <v>36.549999999999997</v>
      </c>
      <c r="Y14" s="10">
        <v>36.950000000000003</v>
      </c>
      <c r="Z14" s="10">
        <v>36.479999999999997</v>
      </c>
      <c r="AA14" s="10">
        <v>36.85</v>
      </c>
      <c r="AB14" s="95">
        <v>5891900</v>
      </c>
      <c r="AC14" s="10">
        <v>36.85</v>
      </c>
      <c r="AD14">
        <f t="shared" si="3"/>
        <v>0.47000000000000597</v>
      </c>
      <c r="AE14" s="138">
        <f t="shared" si="4"/>
        <v>9.0361445783131433E-3</v>
      </c>
    </row>
    <row r="15" spans="1:31" x14ac:dyDescent="0.25">
      <c r="H15" s="72"/>
      <c r="W15" s="133">
        <v>42598</v>
      </c>
      <c r="X15" s="10">
        <v>36.700000000000003</v>
      </c>
      <c r="Y15" s="10">
        <v>36.79</v>
      </c>
      <c r="Z15" s="10">
        <v>36.409999999999997</v>
      </c>
      <c r="AA15" s="10">
        <v>36.520000000000003</v>
      </c>
      <c r="AB15" s="95">
        <v>5773000</v>
      </c>
      <c r="AC15" s="10">
        <v>36.520000000000003</v>
      </c>
      <c r="AD15">
        <f t="shared" si="3"/>
        <v>0.38000000000000256</v>
      </c>
      <c r="AE15" s="138" t="e">
        <f t="shared" si="4"/>
        <v>#DIV/0!</v>
      </c>
    </row>
    <row r="16" spans="1:31" x14ac:dyDescent="0.25">
      <c r="H16" s="72"/>
      <c r="W16" s="133">
        <v>42598</v>
      </c>
      <c r="X16" s="10" t="s">
        <v>302</v>
      </c>
      <c r="Y16" s="10"/>
      <c r="Z16" s="10"/>
      <c r="AA16" s="10"/>
      <c r="AB16" s="95"/>
      <c r="AC16" s="10"/>
      <c r="AD16">
        <f t="shared" si="3"/>
        <v>0</v>
      </c>
      <c r="AE16" s="138">
        <f t="shared" si="4"/>
        <v>-1</v>
      </c>
    </row>
    <row r="17" spans="1:31" x14ac:dyDescent="0.25">
      <c r="W17" s="133">
        <v>42597</v>
      </c>
      <c r="X17" s="10">
        <v>36.5</v>
      </c>
      <c r="Y17" s="10">
        <v>36.950000000000003</v>
      </c>
      <c r="Z17" s="10">
        <v>36.33</v>
      </c>
      <c r="AA17" s="10">
        <v>36.880000000000003</v>
      </c>
      <c r="AB17" s="95">
        <v>5617800</v>
      </c>
      <c r="AC17" s="10">
        <v>36.78</v>
      </c>
      <c r="AD17">
        <f t="shared" si="3"/>
        <v>0.62000000000000455</v>
      </c>
      <c r="AE17" s="138">
        <f t="shared" si="4"/>
        <v>9.884678747940745E-3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7605.0999999999995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42594</v>
      </c>
      <c r="X18" s="10">
        <v>37.07</v>
      </c>
      <c r="Y18" s="10">
        <v>37.21</v>
      </c>
      <c r="Z18" s="10">
        <v>36.42</v>
      </c>
      <c r="AA18" s="10">
        <v>36.520000000000003</v>
      </c>
      <c r="AB18" s="95">
        <v>7717800</v>
      </c>
      <c r="AC18" s="10">
        <v>36.42</v>
      </c>
      <c r="AD18">
        <f t="shared" si="3"/>
        <v>0.78999999999999915</v>
      </c>
      <c r="AE18" s="138">
        <f t="shared" si="4"/>
        <v>-1.9386106623586419E-2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5">SumByColor($A$19,M2:M17)</f>
        <v>0</v>
      </c>
      <c r="W19" s="133">
        <v>42593</v>
      </c>
      <c r="X19" s="10">
        <v>36.96</v>
      </c>
      <c r="Y19" s="10">
        <v>37.53</v>
      </c>
      <c r="Z19" s="10">
        <v>36.799999999999997</v>
      </c>
      <c r="AA19" s="10">
        <v>37.24</v>
      </c>
      <c r="AB19" s="95">
        <v>5974600</v>
      </c>
      <c r="AC19" s="10">
        <v>37.14</v>
      </c>
      <c r="AD19">
        <f t="shared" si="3"/>
        <v>0.73000000000000398</v>
      </c>
      <c r="AE19" s="138">
        <f t="shared" si="4"/>
        <v>6.7769043101111315E-3</v>
      </c>
    </row>
    <row r="20" spans="1:31" x14ac:dyDescent="0.25">
      <c r="W20" s="133">
        <v>42592</v>
      </c>
      <c r="X20" s="10">
        <v>37.18</v>
      </c>
      <c r="Y20" s="10">
        <v>37.35</v>
      </c>
      <c r="Z20" s="10">
        <v>36.6</v>
      </c>
      <c r="AA20" s="10">
        <v>36.99</v>
      </c>
      <c r="AB20" s="95">
        <v>6507100</v>
      </c>
      <c r="AC20" s="10">
        <v>36.89</v>
      </c>
      <c r="AD20">
        <f t="shared" si="3"/>
        <v>0.75</v>
      </c>
      <c r="AE20" s="138">
        <f t="shared" si="4"/>
        <v>-1.2580299785867166E-2</v>
      </c>
    </row>
    <row r="21" spans="1:31" x14ac:dyDescent="0.25">
      <c r="W21" s="133">
        <v>42591</v>
      </c>
      <c r="X21" s="10">
        <v>37.75</v>
      </c>
      <c r="Y21" s="10">
        <v>37.950000000000003</v>
      </c>
      <c r="Z21" s="10">
        <v>37.299999999999997</v>
      </c>
      <c r="AA21" s="10">
        <v>37.46</v>
      </c>
      <c r="AB21" s="95">
        <v>4827300</v>
      </c>
      <c r="AC21" s="10">
        <v>37.36</v>
      </c>
      <c r="AD21">
        <f t="shared" si="3"/>
        <v>0.65000000000000568</v>
      </c>
      <c r="AE21" s="138">
        <f t="shared" si="4"/>
        <v>2.6773761713516642E-4</v>
      </c>
    </row>
    <row r="22" spans="1:31" x14ac:dyDescent="0.25">
      <c r="W22" s="133">
        <v>42590</v>
      </c>
      <c r="X22" s="10">
        <v>37.770000000000003</v>
      </c>
      <c r="Y22" s="10">
        <v>38.03</v>
      </c>
      <c r="Z22" s="10">
        <v>37.270000000000003</v>
      </c>
      <c r="AA22" s="10">
        <v>37.450000000000003</v>
      </c>
      <c r="AB22" s="95">
        <v>5918400</v>
      </c>
      <c r="AC22" s="10">
        <v>37.35</v>
      </c>
      <c r="AD22">
        <f t="shared" si="3"/>
        <v>0.75999999999999801</v>
      </c>
      <c r="AE22" s="138">
        <f t="shared" si="4"/>
        <v>-1.059602649006619E-2</v>
      </c>
    </row>
    <row r="23" spans="1:31" x14ac:dyDescent="0.25">
      <c r="W23" s="133">
        <v>42587</v>
      </c>
      <c r="X23" s="10">
        <v>36.799999999999997</v>
      </c>
      <c r="Y23" s="10">
        <v>37.869999999999997</v>
      </c>
      <c r="Z23" s="10">
        <v>36.770000000000003</v>
      </c>
      <c r="AA23" s="10">
        <v>37.85</v>
      </c>
      <c r="AB23" s="95">
        <v>9160400</v>
      </c>
      <c r="AC23" s="10">
        <v>37.75</v>
      </c>
      <c r="AD23">
        <f t="shared" si="3"/>
        <v>1.0999999999999943</v>
      </c>
      <c r="AE23" s="138">
        <f t="shared" si="4"/>
        <v>3.937224669603534E-2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42586</v>
      </c>
      <c r="X24" s="10">
        <v>36.21</v>
      </c>
      <c r="Y24" s="10">
        <v>36.81</v>
      </c>
      <c r="Z24" s="10">
        <v>36.090000000000003</v>
      </c>
      <c r="AA24" s="10">
        <v>36.42</v>
      </c>
      <c r="AB24" s="95">
        <v>7366200</v>
      </c>
      <c r="AC24" s="10">
        <v>36.32</v>
      </c>
      <c r="AD24">
        <f t="shared" si="3"/>
        <v>0.71999999999999886</v>
      </c>
      <c r="AE24" s="138">
        <f t="shared" si="4"/>
        <v>1.5092230296254838E-2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6">C25*(E25-D25)</f>
        <v>-168.40599999999995</v>
      </c>
      <c r="G25" s="40">
        <f t="shared" ref="G25" si="7">D25*C25</f>
        <v>5393.2060000000001</v>
      </c>
      <c r="H25" s="231">
        <f t="shared" ref="H25" si="8">(E25-D25)/D25</f>
        <v>-3.1225582705351872E-2</v>
      </c>
      <c r="I25" s="40"/>
      <c r="W25" s="133">
        <v>42585</v>
      </c>
      <c r="X25" s="10">
        <v>35.5</v>
      </c>
      <c r="Y25" s="10">
        <v>36</v>
      </c>
      <c r="Z25" s="10">
        <v>35.43</v>
      </c>
      <c r="AA25" s="10">
        <v>35.880000000000003</v>
      </c>
      <c r="AB25" s="95">
        <v>6992300</v>
      </c>
      <c r="AC25" s="10">
        <v>35.78</v>
      </c>
      <c r="AD25">
        <f t="shared" si="3"/>
        <v>0.57000000000000028</v>
      </c>
      <c r="AE25" s="138">
        <f t="shared" si="4"/>
        <v>9.5936794582394125E-3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9">C26*(E26-D26)</f>
        <v>-97.006000000000228</v>
      </c>
      <c r="G26" s="40">
        <f t="shared" ref="G26" si="10">D26*C26</f>
        <v>5393.2060000000001</v>
      </c>
      <c r="H26" s="231">
        <f t="shared" ref="H26" si="11">(E26-D26)/D26</f>
        <v>-1.7986704012418631E-2</v>
      </c>
      <c r="I26" s="40"/>
      <c r="W26" s="133">
        <v>42584</v>
      </c>
      <c r="X26" s="10">
        <v>36.85</v>
      </c>
      <c r="Y26" s="10">
        <v>36.94</v>
      </c>
      <c r="Z26" s="10">
        <v>35.42</v>
      </c>
      <c r="AA26" s="10">
        <v>35.54</v>
      </c>
      <c r="AB26" s="95">
        <v>9579900</v>
      </c>
      <c r="AC26" s="10">
        <v>35.44</v>
      </c>
      <c r="AD26">
        <f t="shared" si="3"/>
        <v>1.519999999999996</v>
      </c>
      <c r="AE26" s="138">
        <f t="shared" si="4"/>
        <v>-4.060638873849487E-2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2">C27*(E27-D27)</f>
        <v>-156.50200000000007</v>
      </c>
      <c r="G27" s="40">
        <f t="shared" ref="G27" si="13">D27*C27</f>
        <v>6507.7020000000002</v>
      </c>
      <c r="H27" s="231">
        <f t="shared" ref="H27" si="14">(E27-D27)/D27</f>
        <v>-2.4048734868314506E-2</v>
      </c>
      <c r="I27" s="40"/>
      <c r="W27" s="133">
        <v>42583</v>
      </c>
      <c r="X27" s="10">
        <v>37.159999999999997</v>
      </c>
      <c r="Y27" s="10">
        <v>37.369999999999997</v>
      </c>
      <c r="Z27" s="10">
        <v>36.65</v>
      </c>
      <c r="AA27" s="10">
        <v>37.04</v>
      </c>
      <c r="AB27" s="95">
        <v>6787800</v>
      </c>
      <c r="AC27" s="10">
        <v>36.94</v>
      </c>
      <c r="AD27">
        <f t="shared" si="3"/>
        <v>0.71999999999999886</v>
      </c>
      <c r="AE27" s="138">
        <f t="shared" si="4"/>
        <v>8.1278786236804734E-4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2"/>
        <v>-0.10199999999976228</v>
      </c>
      <c r="G28" s="40">
        <f t="shared" ref="G28" si="15">D28*C28</f>
        <v>6507.7020000000002</v>
      </c>
      <c r="H28" s="231">
        <f t="shared" ref="H28" si="16">(E28-D28)/D28</f>
        <v>-1.5673735521350285E-5</v>
      </c>
      <c r="I28" s="40"/>
      <c r="W28" s="133">
        <v>42580</v>
      </c>
      <c r="X28" s="10">
        <v>37.49</v>
      </c>
      <c r="Y28" s="10">
        <v>37.880000000000003</v>
      </c>
      <c r="Z28" s="10">
        <v>37.01</v>
      </c>
      <c r="AA28" s="10">
        <v>37.01</v>
      </c>
      <c r="AB28" s="95">
        <v>6760800</v>
      </c>
      <c r="AC28" s="10">
        <v>36.909999999999997</v>
      </c>
      <c r="AD28">
        <f t="shared" si="3"/>
        <v>0.87000000000000455</v>
      </c>
      <c r="AE28" s="138">
        <f t="shared" si="4"/>
        <v>-1.2309339042012368E-2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2"/>
        <v>-216.00200000000029</v>
      </c>
      <c r="G29" s="40">
        <f t="shared" ref="G29" si="17">D29*C29</f>
        <v>6507.7020000000002</v>
      </c>
      <c r="H29" s="231">
        <f t="shared" ref="H29" si="18">(E29-D29)/D29</f>
        <v>-3.3191747255790181E-2</v>
      </c>
      <c r="I29" s="40"/>
      <c r="W29" s="133">
        <v>42579</v>
      </c>
      <c r="X29" s="10">
        <v>37.47</v>
      </c>
      <c r="Y29" s="10">
        <v>37.64</v>
      </c>
      <c r="Z29" s="10">
        <v>37.14</v>
      </c>
      <c r="AA29" s="10">
        <v>37.47</v>
      </c>
      <c r="AB29" s="95">
        <v>6339300</v>
      </c>
      <c r="AC29" s="10">
        <v>37.369999999999997</v>
      </c>
      <c r="AD29">
        <f t="shared" si="3"/>
        <v>0.5</v>
      </c>
      <c r="AE29" s="138">
        <f t="shared" si="4"/>
        <v>-2.6752273943297933E-4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2"/>
        <v>-465.9020000000001</v>
      </c>
      <c r="G30" s="40">
        <f t="shared" ref="G30" si="19">D30*C30</f>
        <v>6507.7020000000002</v>
      </c>
      <c r="H30" s="231">
        <f t="shared" ref="H30" si="20">(E30-D30)/D30</f>
        <v>-7.1592399283187849E-2</v>
      </c>
      <c r="I30" s="40"/>
      <c r="W30" s="133">
        <v>42578</v>
      </c>
      <c r="X30" s="10">
        <v>37.590000000000003</v>
      </c>
      <c r="Y30" s="10">
        <v>37.79</v>
      </c>
      <c r="Z30" s="10">
        <v>37.200000000000003</v>
      </c>
      <c r="AA30" s="10">
        <v>37.479999999999997</v>
      </c>
      <c r="AB30" s="95">
        <v>8619800</v>
      </c>
      <c r="AC30" s="10">
        <v>37.380000000000003</v>
      </c>
      <c r="AD30">
        <f t="shared" si="3"/>
        <v>0.58999999999999631</v>
      </c>
      <c r="AE30" s="138">
        <f t="shared" si="4"/>
        <v>-2.0953378732320505E-2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2"/>
        <v>-219.40199999999962</v>
      </c>
      <c r="G31" s="40">
        <f t="shared" ref="G31:G32" si="21">D31*C31</f>
        <v>6507.7020000000002</v>
      </c>
      <c r="H31" s="231">
        <f t="shared" ref="H31:H32" si="22">(E31-D31)/D31</f>
        <v>-3.3714205106502977E-2</v>
      </c>
      <c r="I31" s="40"/>
      <c r="W31" s="133">
        <v>42577</v>
      </c>
      <c r="X31" s="10">
        <v>37.81</v>
      </c>
      <c r="Y31" s="10">
        <v>38.299999999999997</v>
      </c>
      <c r="Z31" s="10">
        <v>37.51</v>
      </c>
      <c r="AA31" s="10">
        <v>38.28</v>
      </c>
      <c r="AB31" s="95">
        <v>10525600</v>
      </c>
      <c r="AC31" s="10">
        <v>38.18</v>
      </c>
      <c r="AD31">
        <f t="shared" si="3"/>
        <v>0.78999999999999915</v>
      </c>
      <c r="AE31" s="138">
        <f t="shared" si="4"/>
        <v>2.4691358024691468E-2</v>
      </c>
    </row>
    <row r="32" spans="1:31" x14ac:dyDescent="0.25">
      <c r="B32" s="193">
        <v>42598</v>
      </c>
      <c r="C32" s="516">
        <v>200</v>
      </c>
      <c r="D32" s="520">
        <v>38.025500000000001</v>
      </c>
      <c r="E32" s="40">
        <v>36.520000000000003</v>
      </c>
      <c r="F32" s="40">
        <f t="shared" si="12"/>
        <v>-301.09999999999957</v>
      </c>
      <c r="G32" s="40">
        <f t="shared" si="21"/>
        <v>7605.1</v>
      </c>
      <c r="H32" s="231">
        <f t="shared" si="22"/>
        <v>-3.9591852835597109E-2</v>
      </c>
      <c r="I32" s="40"/>
      <c r="W32" s="133">
        <v>42576</v>
      </c>
      <c r="X32" s="10">
        <v>37.840000000000003</v>
      </c>
      <c r="Y32" s="10">
        <v>38</v>
      </c>
      <c r="Z32" s="10">
        <v>37.020000000000003</v>
      </c>
      <c r="AA32" s="10">
        <v>37.36</v>
      </c>
      <c r="AB32" s="95">
        <v>11389000</v>
      </c>
      <c r="AC32" s="10">
        <v>37.26</v>
      </c>
      <c r="AD32">
        <f t="shared" si="3"/>
        <v>0.97999999999999687</v>
      </c>
      <c r="AE32" s="138">
        <f t="shared" si="4"/>
        <v>-1.2456930824277679E-2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3">C33*(E33-D33)</f>
        <v>-235.09999999999991</v>
      </c>
      <c r="G33" s="40">
        <f t="shared" ref="G33" si="24">D33*C33</f>
        <v>7605.1</v>
      </c>
      <c r="H33" s="231">
        <f t="shared" ref="H33" si="25">(E33-D33)/D33</f>
        <v>-3.0913465963629656E-2</v>
      </c>
      <c r="I33" s="236"/>
      <c r="W33" s="133">
        <v>42573</v>
      </c>
      <c r="X33" s="10">
        <v>37.909999999999997</v>
      </c>
      <c r="Y33" s="10">
        <v>38.049999999999997</v>
      </c>
      <c r="Z33" s="10">
        <v>37.01</v>
      </c>
      <c r="AA33" s="10">
        <v>37.83</v>
      </c>
      <c r="AB33" s="95">
        <v>18313200</v>
      </c>
      <c r="AC33" s="10">
        <v>37.729999999999997</v>
      </c>
      <c r="AD33">
        <f t="shared" si="3"/>
        <v>1.0399999999999991</v>
      </c>
      <c r="AE33" s="138">
        <f t="shared" si="4"/>
        <v>1.370231058570659E-2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6">C34*(E34-D34)</f>
        <v>-335.09999999999991</v>
      </c>
      <c r="G34" s="40">
        <f t="shared" ref="G34" si="27">D34*C34</f>
        <v>7605.1</v>
      </c>
      <c r="H34" s="231">
        <f t="shared" ref="H34" si="28">(E34-D34)/D34</f>
        <v>-4.4062536981762226E-2</v>
      </c>
      <c r="I34" s="40"/>
      <c r="W34" s="133">
        <v>42572</v>
      </c>
      <c r="X34" s="10">
        <v>39.08</v>
      </c>
      <c r="Y34" s="10">
        <v>39.270000000000003</v>
      </c>
      <c r="Z34" s="10">
        <v>37.22</v>
      </c>
      <c r="AA34" s="10">
        <v>37.32</v>
      </c>
      <c r="AB34" s="95">
        <v>33749100</v>
      </c>
      <c r="AC34" s="10">
        <v>37.22</v>
      </c>
      <c r="AD34">
        <f t="shared" si="3"/>
        <v>2.0500000000000043</v>
      </c>
      <c r="AE34" s="138">
        <f t="shared" si="4"/>
        <v>-0.11211832061068705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9">C35*(E35-D35)</f>
        <v>-267.10000000000065</v>
      </c>
      <c r="G35" s="40">
        <f t="shared" ref="G35" si="30">D35*C35</f>
        <v>7605.1</v>
      </c>
      <c r="H35" s="231">
        <f t="shared" ref="H35" si="31">(E35-D35)/D35</f>
        <v>-3.5121168689432179E-2</v>
      </c>
      <c r="I35" s="40"/>
      <c r="W35" s="133">
        <v>42571</v>
      </c>
      <c r="X35" s="10">
        <v>43.02</v>
      </c>
      <c r="Y35" s="10">
        <v>43.03</v>
      </c>
      <c r="Z35" s="10">
        <v>41.94</v>
      </c>
      <c r="AA35" s="10">
        <v>42.03</v>
      </c>
      <c r="AB35" s="95">
        <v>8225100</v>
      </c>
      <c r="AC35" s="10">
        <v>41.92</v>
      </c>
      <c r="AD35">
        <f t="shared" si="3"/>
        <v>1.0900000000000034</v>
      </c>
      <c r="AE35" s="138">
        <f t="shared" si="4"/>
        <v>-1.5962441314553932E-2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2">C36*(E36-D36)</f>
        <v>-315.09999999999962</v>
      </c>
      <c r="G36" s="40">
        <f t="shared" ref="G36" si="33">D36*C36</f>
        <v>7605.1</v>
      </c>
      <c r="H36" s="231">
        <f t="shared" ref="H36" si="34">(E36-D36)/D36</f>
        <v>-4.1432722778135672E-2</v>
      </c>
      <c r="I36" s="40"/>
      <c r="W36" s="133">
        <v>42570</v>
      </c>
      <c r="X36" s="10">
        <v>42.88</v>
      </c>
      <c r="Y36" s="10">
        <v>43.17</v>
      </c>
      <c r="Z36" s="10">
        <v>42.57</v>
      </c>
      <c r="AA36" s="10">
        <v>42.72</v>
      </c>
      <c r="AB36" s="95">
        <v>5526300</v>
      </c>
      <c r="AC36" s="10">
        <v>42.6</v>
      </c>
      <c r="AD36">
        <f t="shared" si="3"/>
        <v>0.60000000000000142</v>
      </c>
      <c r="AE36" s="138">
        <f t="shared" si="4"/>
        <v>-1.0682768230376283E-2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5">C37*(E37-D37)</f>
        <v>-169.10000000000025</v>
      </c>
      <c r="G37" s="40">
        <f t="shared" ref="G37" si="36">D37*C37</f>
        <v>7605.1</v>
      </c>
      <c r="H37" s="231">
        <f t="shared" ref="H37" si="37">(E37-D37)/D37</f>
        <v>-2.2235079091662207E-2</v>
      </c>
      <c r="I37" s="40"/>
      <c r="W37" s="133">
        <v>42569</v>
      </c>
      <c r="X37" s="10">
        <v>43.29</v>
      </c>
      <c r="Y37" s="10">
        <v>43.56</v>
      </c>
      <c r="Z37" s="10">
        <v>43.12</v>
      </c>
      <c r="AA37" s="10">
        <v>43.18</v>
      </c>
      <c r="AB37" s="95">
        <v>4805700</v>
      </c>
      <c r="AC37" s="10">
        <v>43.06</v>
      </c>
      <c r="AD37">
        <f t="shared" si="3"/>
        <v>0.44000000000000483</v>
      </c>
      <c r="AE37" s="138">
        <f t="shared" si="4"/>
        <v>4.6468401486987609E-4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" si="38">C38*(E38-D38)</f>
        <v>-227.10000000000008</v>
      </c>
      <c r="G38" s="40">
        <f t="shared" ref="G38" si="39">D38*C38</f>
        <v>7605.1</v>
      </c>
      <c r="H38" s="231">
        <f t="shared" ref="H38" si="40">(E38-D38)/D38</f>
        <v>-2.9861540282179074E-2</v>
      </c>
      <c r="I38" s="40"/>
      <c r="W38" s="133">
        <v>42566</v>
      </c>
      <c r="X38" s="10">
        <v>43.12</v>
      </c>
      <c r="Y38" s="10">
        <v>43.57</v>
      </c>
      <c r="Z38" s="10">
        <v>42.7</v>
      </c>
      <c r="AA38" s="10">
        <v>43.16</v>
      </c>
      <c r="AB38" s="95">
        <v>5868500</v>
      </c>
      <c r="AC38" s="10">
        <v>43.04</v>
      </c>
      <c r="AD38">
        <f t="shared" si="3"/>
        <v>0.86999999999999744</v>
      </c>
      <c r="AE38" s="138">
        <f t="shared" si="4"/>
        <v>-2.3228803716601742E-4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42565</v>
      </c>
      <c r="X39" s="10">
        <v>42.87</v>
      </c>
      <c r="Y39" s="10">
        <v>43.34</v>
      </c>
      <c r="Z39" s="10">
        <v>42.43</v>
      </c>
      <c r="AA39" s="10">
        <v>43.17</v>
      </c>
      <c r="AB39" s="95">
        <v>6168700</v>
      </c>
      <c r="AC39" s="10">
        <v>43.05</v>
      </c>
      <c r="AD39">
        <f t="shared" si="3"/>
        <v>0.91000000000000369</v>
      </c>
      <c r="AE39" s="138">
        <f t="shared" si="4"/>
        <v>1.7971151572475641E-2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45" t="s">
        <v>78</v>
      </c>
      <c r="P40" s="545"/>
      <c r="W40" s="133">
        <v>42564</v>
      </c>
      <c r="X40" s="10">
        <v>43.22</v>
      </c>
      <c r="Y40" s="10">
        <v>43.3</v>
      </c>
      <c r="Z40" s="10">
        <v>42.16</v>
      </c>
      <c r="AA40" s="10">
        <v>42.4</v>
      </c>
      <c r="AB40" s="95">
        <v>6268000</v>
      </c>
      <c r="AC40" s="10">
        <v>42.29</v>
      </c>
      <c r="AD40">
        <f t="shared" si="3"/>
        <v>1.1400000000000006</v>
      </c>
      <c r="AE40" s="138">
        <f t="shared" si="4"/>
        <v>-1.0065543071161032E-2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40.645000000000003</v>
      </c>
      <c r="Q41" s="2"/>
      <c r="W41" s="133">
        <v>42563</v>
      </c>
      <c r="X41" s="10">
        <v>41.64</v>
      </c>
      <c r="Y41" s="10">
        <v>45</v>
      </c>
      <c r="Z41" s="10">
        <v>41.63</v>
      </c>
      <c r="AA41" s="10">
        <v>42.84</v>
      </c>
      <c r="AB41" s="95">
        <v>8662000</v>
      </c>
      <c r="AC41" s="10">
        <v>42.72</v>
      </c>
      <c r="AD41">
        <f t="shared" si="3"/>
        <v>3.3699999999999974</v>
      </c>
      <c r="AE41" s="138">
        <f t="shared" si="4"/>
        <v>4.3733203029562739E-2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1">O42*$Q$4</f>
        <v>40.275500000000008</v>
      </c>
      <c r="Q42" s="2"/>
      <c r="T42" s="91" t="s">
        <v>113</v>
      </c>
      <c r="W42" s="133">
        <v>42562</v>
      </c>
      <c r="X42" s="10">
        <v>40.94</v>
      </c>
      <c r="Y42" s="10">
        <v>41.34</v>
      </c>
      <c r="Z42" s="10">
        <v>40.81</v>
      </c>
      <c r="AA42" s="10">
        <v>41.04</v>
      </c>
      <c r="AB42" s="95">
        <v>5849200</v>
      </c>
      <c r="AC42" s="10">
        <v>40.93</v>
      </c>
      <c r="AD42">
        <f t="shared" si="3"/>
        <v>0.53000000000000114</v>
      </c>
      <c r="AE42" s="138">
        <f t="shared" si="4"/>
        <v>1.2367054167697233E-2</v>
      </c>
    </row>
    <row r="43" spans="2:31" ht="15.75" thickTop="1" x14ac:dyDescent="0.25">
      <c r="O43" s="83">
        <v>1.08</v>
      </c>
      <c r="P43" s="83">
        <f t="shared" si="41"/>
        <v>39.906000000000006</v>
      </c>
      <c r="Q43" s="2"/>
      <c r="T43" s="128" t="s">
        <v>98</v>
      </c>
      <c r="U43" s="129">
        <v>36.590000000000003</v>
      </c>
      <c r="W43" s="133">
        <v>42559</v>
      </c>
      <c r="X43" s="10">
        <v>40.06</v>
      </c>
      <c r="Y43" s="10">
        <v>40.909999999999997</v>
      </c>
      <c r="Z43" s="10">
        <v>40.049999999999997</v>
      </c>
      <c r="AA43" s="10">
        <v>40.54</v>
      </c>
      <c r="AB43" s="95">
        <v>4747700</v>
      </c>
      <c r="AC43" s="10">
        <v>40.43</v>
      </c>
      <c r="AD43">
        <f t="shared" si="3"/>
        <v>0.85999999999999943</v>
      </c>
      <c r="AE43" s="138">
        <f t="shared" si="4"/>
        <v>1.736285858077502E-2</v>
      </c>
    </row>
    <row r="44" spans="2:31" x14ac:dyDescent="0.25">
      <c r="O44" s="83">
        <v>1.07</v>
      </c>
      <c r="P44" s="83">
        <f t="shared" si="41"/>
        <v>39.536500000000004</v>
      </c>
      <c r="Q44" s="2"/>
      <c r="T44" s="93" t="s">
        <v>99</v>
      </c>
      <c r="U44" s="130">
        <v>36.57</v>
      </c>
      <c r="W44" s="133">
        <v>42558</v>
      </c>
      <c r="X44" s="10">
        <v>39</v>
      </c>
      <c r="Y44" s="10">
        <v>39.950000000000003</v>
      </c>
      <c r="Z44" s="10">
        <v>39</v>
      </c>
      <c r="AA44" s="10">
        <v>39.85</v>
      </c>
      <c r="AB44" s="95">
        <v>3774300</v>
      </c>
      <c r="AC44" s="10">
        <v>39.74</v>
      </c>
      <c r="AD44">
        <f t="shared" si="3"/>
        <v>0.95000000000000284</v>
      </c>
      <c r="AE44" s="138">
        <f t="shared" si="4"/>
        <v>1.8452075858534034E-2</v>
      </c>
    </row>
    <row r="45" spans="2:31" x14ac:dyDescent="0.25">
      <c r="O45" s="83">
        <v>1.06</v>
      </c>
      <c r="P45" s="83">
        <f t="shared" si="41"/>
        <v>39.167000000000002</v>
      </c>
      <c r="Q45" s="2"/>
      <c r="T45" s="93" t="s">
        <v>100</v>
      </c>
      <c r="U45" s="130" t="s">
        <v>509</v>
      </c>
      <c r="W45" s="133">
        <v>42557</v>
      </c>
      <c r="X45" s="10">
        <v>38.68</v>
      </c>
      <c r="Y45" s="10">
        <v>39.159999999999997</v>
      </c>
      <c r="Z45" s="10">
        <v>38.15</v>
      </c>
      <c r="AA45" s="10">
        <v>39.130000000000003</v>
      </c>
      <c r="AB45" s="95">
        <v>5409500</v>
      </c>
      <c r="AC45" s="10">
        <v>39.020000000000003</v>
      </c>
      <c r="AD45">
        <f t="shared" si="3"/>
        <v>1.009999999999998</v>
      </c>
      <c r="AE45" s="138">
        <f t="shared" si="4"/>
        <v>-2.0460358056265671E-3</v>
      </c>
    </row>
    <row r="46" spans="2:31" x14ac:dyDescent="0.25">
      <c r="O46" s="83">
        <v>1.05</v>
      </c>
      <c r="P46" s="83">
        <f t="shared" si="41"/>
        <v>38.797500000000007</v>
      </c>
      <c r="Q46" s="2"/>
      <c r="T46" s="93" t="s">
        <v>101</v>
      </c>
      <c r="U46" s="130" t="s">
        <v>510</v>
      </c>
      <c r="W46" s="133">
        <v>42556</v>
      </c>
      <c r="X46" s="10">
        <v>39.74</v>
      </c>
      <c r="Y46" s="10">
        <v>39.75</v>
      </c>
      <c r="Z46" s="10">
        <v>38.659999999999997</v>
      </c>
      <c r="AA46" s="10">
        <v>39.21</v>
      </c>
      <c r="AB46" s="95">
        <v>5302400</v>
      </c>
      <c r="AC46" s="10">
        <v>39.1</v>
      </c>
      <c r="AD46">
        <f t="shared" si="3"/>
        <v>1.0900000000000034</v>
      </c>
      <c r="AE46" s="138">
        <f t="shared" si="4"/>
        <v>-9.8759179539124053E-3</v>
      </c>
    </row>
    <row r="47" spans="2:31" x14ac:dyDescent="0.25">
      <c r="O47" s="83">
        <v>1.04</v>
      </c>
      <c r="P47" s="83">
        <f t="shared" si="41"/>
        <v>38.428000000000004</v>
      </c>
      <c r="Q47" s="2"/>
      <c r="T47" s="93" t="s">
        <v>102</v>
      </c>
      <c r="U47" s="130">
        <v>48.73</v>
      </c>
      <c r="W47" s="133">
        <v>42552</v>
      </c>
      <c r="X47" s="10">
        <v>39.26</v>
      </c>
      <c r="Y47" s="10">
        <v>39.770000000000003</v>
      </c>
      <c r="Z47" s="10">
        <v>39.21</v>
      </c>
      <c r="AA47" s="10">
        <v>39.6</v>
      </c>
      <c r="AB47" s="95">
        <v>6490500</v>
      </c>
      <c r="AC47" s="10">
        <v>39.49</v>
      </c>
      <c r="AD47">
        <f t="shared" si="3"/>
        <v>0.56000000000000227</v>
      </c>
      <c r="AE47" s="138">
        <f t="shared" si="4"/>
        <v>9.9744245524295838E-3</v>
      </c>
    </row>
    <row r="48" spans="2:31" x14ac:dyDescent="0.25">
      <c r="O48" s="83">
        <v>1.03</v>
      </c>
      <c r="P48" s="83">
        <f t="shared" si="41"/>
        <v>38.058500000000002</v>
      </c>
      <c r="Q48" s="2"/>
      <c r="T48" s="93" t="s">
        <v>103</v>
      </c>
      <c r="U48" s="130">
        <v>1.10381</v>
      </c>
      <c r="W48" s="133">
        <v>42551</v>
      </c>
      <c r="X48" s="10">
        <v>38.96</v>
      </c>
      <c r="Y48" s="10">
        <v>39.21</v>
      </c>
      <c r="Z48" s="10">
        <v>38.54</v>
      </c>
      <c r="AA48" s="10">
        <v>39.21</v>
      </c>
      <c r="AB48" s="95">
        <v>5333300</v>
      </c>
      <c r="AC48" s="10">
        <v>39.1</v>
      </c>
      <c r="AD48">
        <f t="shared" si="3"/>
        <v>0.67000000000000171</v>
      </c>
      <c r="AE48" s="138">
        <f t="shared" si="4"/>
        <v>8.2516761217121815E-3</v>
      </c>
    </row>
    <row r="49" spans="15:31" x14ac:dyDescent="0.25">
      <c r="O49" s="83">
        <v>1.02</v>
      </c>
      <c r="P49" s="83">
        <f t="shared" si="41"/>
        <v>37.689</v>
      </c>
      <c r="Q49" s="2"/>
      <c r="T49" s="93" t="s">
        <v>104</v>
      </c>
      <c r="U49" s="130" t="s">
        <v>314</v>
      </c>
      <c r="W49" s="133">
        <v>42550</v>
      </c>
      <c r="X49" s="10">
        <v>38.200000000000003</v>
      </c>
      <c r="Y49" s="10">
        <v>39.159999999999997</v>
      </c>
      <c r="Z49" s="10">
        <v>37.76</v>
      </c>
      <c r="AA49" s="10">
        <v>38.89</v>
      </c>
      <c r="AB49" s="95">
        <v>8616200</v>
      </c>
      <c r="AC49" s="10">
        <v>38.78</v>
      </c>
      <c r="AD49">
        <f t="shared" si="3"/>
        <v>1.3999999999999986</v>
      </c>
      <c r="AE49" s="138">
        <f t="shared" si="4"/>
        <v>3.8842753817305287E-2</v>
      </c>
    </row>
    <row r="50" spans="15:31" x14ac:dyDescent="0.25">
      <c r="O50" s="83">
        <v>1.01</v>
      </c>
      <c r="P50" s="83">
        <f t="shared" si="41"/>
        <v>37.319500000000005</v>
      </c>
      <c r="Q50" s="2"/>
      <c r="T50" s="93"/>
      <c r="U50" s="130"/>
      <c r="W50" s="133">
        <v>42549</v>
      </c>
      <c r="X50" s="10">
        <v>37.72</v>
      </c>
      <c r="Y50" s="10">
        <v>37.83</v>
      </c>
      <c r="Z50" s="10">
        <v>36.75</v>
      </c>
      <c r="AA50" s="10">
        <v>37.43</v>
      </c>
      <c r="AB50" s="95">
        <v>8281900</v>
      </c>
      <c r="AC50" s="10">
        <v>37.33</v>
      </c>
      <c r="AD50">
        <f t="shared" si="3"/>
        <v>1.0799999999999983</v>
      </c>
      <c r="AE50" s="138">
        <f t="shared" si="4"/>
        <v>1.8276050190943804E-2</v>
      </c>
    </row>
    <row r="51" spans="15:31" x14ac:dyDescent="0.25">
      <c r="O51" s="83">
        <v>1</v>
      </c>
      <c r="P51" s="83">
        <f t="shared" si="41"/>
        <v>36.950000000000003</v>
      </c>
      <c r="Q51" s="2"/>
      <c r="T51" s="93" t="s">
        <v>105</v>
      </c>
      <c r="U51" s="130" t="s">
        <v>511</v>
      </c>
      <c r="W51" s="133">
        <v>42548</v>
      </c>
      <c r="X51" s="10">
        <v>37.979999999999997</v>
      </c>
      <c r="Y51" s="10">
        <v>38.01</v>
      </c>
      <c r="Z51" s="10">
        <v>36.479999999999997</v>
      </c>
      <c r="AA51" s="10">
        <v>36.76</v>
      </c>
      <c r="AB51" s="95">
        <v>12934600</v>
      </c>
      <c r="AC51" s="10">
        <v>36.659999999999997</v>
      </c>
      <c r="AD51">
        <f t="shared" si="3"/>
        <v>1.5300000000000011</v>
      </c>
      <c r="AE51" s="138">
        <f t="shared" si="4"/>
        <v>-4.0565297042659099E-2</v>
      </c>
    </row>
    <row r="52" spans="15:31" x14ac:dyDescent="0.25">
      <c r="O52" s="83">
        <v>0.99</v>
      </c>
      <c r="P52" s="83">
        <f t="shared" si="41"/>
        <v>36.580500000000001</v>
      </c>
      <c r="Q52" s="2"/>
      <c r="T52" s="93" t="s">
        <v>106</v>
      </c>
      <c r="U52" s="130" t="s">
        <v>361</v>
      </c>
      <c r="W52" s="133">
        <v>42545</v>
      </c>
      <c r="X52" s="10">
        <v>37.880000000000003</v>
      </c>
      <c r="Y52" s="10">
        <v>39.24</v>
      </c>
      <c r="Z52" s="10">
        <v>37.74</v>
      </c>
      <c r="AA52" s="10">
        <v>38.31</v>
      </c>
      <c r="AB52" s="95">
        <v>19699900</v>
      </c>
      <c r="AC52" s="10">
        <v>38.21</v>
      </c>
      <c r="AD52">
        <f t="shared" si="3"/>
        <v>1.5</v>
      </c>
      <c r="AE52" s="138">
        <f t="shared" si="4"/>
        <v>-3.2168186423505496E-2</v>
      </c>
    </row>
    <row r="53" spans="15:31" x14ac:dyDescent="0.25">
      <c r="O53" s="83">
        <v>0.98</v>
      </c>
      <c r="P53" s="83">
        <f t="shared" si="41"/>
        <v>36.211000000000006</v>
      </c>
      <c r="Q53" s="2"/>
      <c r="T53" s="93" t="s">
        <v>107</v>
      </c>
      <c r="U53" s="131">
        <v>4456041</v>
      </c>
      <c r="W53" s="133">
        <v>42544</v>
      </c>
      <c r="X53" s="10">
        <v>40.72</v>
      </c>
      <c r="Y53" s="10">
        <v>40.75</v>
      </c>
      <c r="Z53" s="10">
        <v>38.200000000000003</v>
      </c>
      <c r="AA53" s="10">
        <v>39.590000000000003</v>
      </c>
      <c r="AB53" s="95">
        <v>16781900</v>
      </c>
      <c r="AC53" s="10">
        <v>39.479999999999997</v>
      </c>
      <c r="AD53">
        <f t="shared" si="3"/>
        <v>2.5499999999999972</v>
      </c>
      <c r="AE53" s="138">
        <f t="shared" si="4"/>
        <v>-1.6687422166874244E-2</v>
      </c>
    </row>
    <row r="54" spans="15:31" x14ac:dyDescent="0.25">
      <c r="O54" s="83">
        <v>0.97</v>
      </c>
      <c r="P54" s="83">
        <f t="shared" si="41"/>
        <v>35.841500000000003</v>
      </c>
      <c r="T54" s="93" t="s">
        <v>110</v>
      </c>
      <c r="U54" s="131">
        <v>7424270</v>
      </c>
      <c r="W54" s="133">
        <v>42543</v>
      </c>
      <c r="X54" s="10">
        <v>40.520000000000003</v>
      </c>
      <c r="Y54" s="10">
        <v>40.72</v>
      </c>
      <c r="Z54" s="10">
        <v>40</v>
      </c>
      <c r="AA54" s="10">
        <v>40.26</v>
      </c>
      <c r="AB54" s="95">
        <v>4816700</v>
      </c>
      <c r="AC54" s="10">
        <v>40.15</v>
      </c>
      <c r="AD54">
        <f t="shared" si="3"/>
        <v>0.71999999999999886</v>
      </c>
      <c r="AE54" s="138">
        <f t="shared" si="4"/>
        <v>-6.434050977480732E-3</v>
      </c>
    </row>
    <row r="55" spans="15:31" x14ac:dyDescent="0.25">
      <c r="O55" s="83">
        <v>0.96</v>
      </c>
      <c r="P55" s="83">
        <f t="shared" si="41"/>
        <v>35.472000000000001</v>
      </c>
      <c r="T55" s="93" t="s">
        <v>108</v>
      </c>
      <c r="U55" s="130" t="s">
        <v>512</v>
      </c>
      <c r="W55" s="133">
        <v>42542</v>
      </c>
      <c r="X55" s="10">
        <v>40.47</v>
      </c>
      <c r="Y55" s="10">
        <v>40.880000000000003</v>
      </c>
      <c r="Z55" s="10">
        <v>39.979999999999997</v>
      </c>
      <c r="AA55" s="10">
        <v>40.520000000000003</v>
      </c>
      <c r="AB55" s="95">
        <v>6376300</v>
      </c>
      <c r="AC55" s="10">
        <v>40.409999999999997</v>
      </c>
      <c r="AD55">
        <f t="shared" si="3"/>
        <v>0.90000000000000568</v>
      </c>
      <c r="AE55" s="138">
        <f t="shared" si="4"/>
        <v>1.2528188423953868E-2</v>
      </c>
    </row>
    <row r="56" spans="15:31" x14ac:dyDescent="0.25">
      <c r="O56" s="83">
        <v>0.95</v>
      </c>
      <c r="P56" s="83">
        <f t="shared" si="41"/>
        <v>35.102499999999999</v>
      </c>
      <c r="T56" s="93" t="s">
        <v>111</v>
      </c>
      <c r="U56" s="130">
        <v>9.7899999999999991</v>
      </c>
      <c r="W56" s="133">
        <v>42541</v>
      </c>
      <c r="X56" s="10">
        <v>40.049999999999997</v>
      </c>
      <c r="Y56" s="10">
        <v>40.479999999999997</v>
      </c>
      <c r="Z56" s="10">
        <v>39.9</v>
      </c>
      <c r="AA56" s="10">
        <v>40.020000000000003</v>
      </c>
      <c r="AB56" s="95">
        <v>4190600</v>
      </c>
      <c r="AC56" s="10">
        <v>39.909999999999997</v>
      </c>
      <c r="AD56">
        <f t="shared" si="3"/>
        <v>0.57999999999999829</v>
      </c>
      <c r="AE56" s="138">
        <f t="shared" si="4"/>
        <v>7.0653545293968278E-3</v>
      </c>
    </row>
    <row r="57" spans="15:31" x14ac:dyDescent="0.25">
      <c r="O57" s="83">
        <v>0.94</v>
      </c>
      <c r="P57" s="83">
        <f t="shared" si="41"/>
        <v>34.733000000000004</v>
      </c>
      <c r="T57" s="93" t="s">
        <v>112</v>
      </c>
      <c r="U57" s="130">
        <v>3.77</v>
      </c>
      <c r="W57" s="133">
        <v>42538</v>
      </c>
      <c r="X57" s="10">
        <v>39.6</v>
      </c>
      <c r="Y57" s="10">
        <v>40.18</v>
      </c>
      <c r="Z57" s="10">
        <v>39.58</v>
      </c>
      <c r="AA57" s="10">
        <v>39.74</v>
      </c>
      <c r="AB57" s="95">
        <v>5633700</v>
      </c>
      <c r="AC57" s="10">
        <v>39.630000000000003</v>
      </c>
      <c r="AD57">
        <f t="shared" si="3"/>
        <v>0.60000000000000142</v>
      </c>
      <c r="AE57" s="138">
        <f t="shared" si="4"/>
        <v>-1.0083186286866663E-3</v>
      </c>
    </row>
    <row r="58" spans="15:31" x14ac:dyDescent="0.25">
      <c r="O58" s="83">
        <v>0.93</v>
      </c>
      <c r="P58" s="83">
        <f t="shared" si="41"/>
        <v>34.363500000000002</v>
      </c>
      <c r="T58" s="93" t="s">
        <v>109</v>
      </c>
      <c r="U58" s="130" t="s">
        <v>513</v>
      </c>
      <c r="W58" s="133">
        <v>42537</v>
      </c>
      <c r="X58" s="10">
        <v>39.450000000000003</v>
      </c>
      <c r="Y58" s="10">
        <v>40.090000000000003</v>
      </c>
      <c r="Z58" s="10">
        <v>39.18</v>
      </c>
      <c r="AA58" s="10">
        <v>39.78</v>
      </c>
      <c r="AB58" s="95">
        <v>6621500</v>
      </c>
      <c r="AC58" s="10">
        <v>39.67</v>
      </c>
      <c r="AD58">
        <f t="shared" si="3"/>
        <v>0.91000000000000369</v>
      </c>
      <c r="AE58" s="138">
        <f t="shared" si="4"/>
        <v>-4.0170725583730249E-3</v>
      </c>
    </row>
    <row r="59" spans="15:31" x14ac:dyDescent="0.25">
      <c r="O59" s="83">
        <v>0.92</v>
      </c>
      <c r="P59" s="83">
        <f t="shared" si="41"/>
        <v>33.994000000000007</v>
      </c>
      <c r="W59" s="133">
        <v>42536</v>
      </c>
      <c r="X59" s="10">
        <v>40.25</v>
      </c>
      <c r="Y59" s="10">
        <v>40.67</v>
      </c>
      <c r="Z59" s="10">
        <v>39.76</v>
      </c>
      <c r="AA59" s="10">
        <v>39.94</v>
      </c>
      <c r="AB59" s="95">
        <v>7023400</v>
      </c>
      <c r="AC59" s="10">
        <v>39.83</v>
      </c>
      <c r="AD59">
        <f t="shared" si="3"/>
        <v>0.91000000000000369</v>
      </c>
      <c r="AE59" s="138">
        <f t="shared" si="4"/>
        <v>1.5086748805630545E-3</v>
      </c>
    </row>
    <row r="60" spans="15:31" x14ac:dyDescent="0.25">
      <c r="O60" s="83">
        <v>0.91</v>
      </c>
      <c r="P60" s="83">
        <f t="shared" si="41"/>
        <v>33.624500000000005</v>
      </c>
      <c r="W60" s="133">
        <v>42535</v>
      </c>
      <c r="X60" s="10">
        <v>41.95</v>
      </c>
      <c r="Y60" s="10">
        <v>42.22</v>
      </c>
      <c r="Z60" s="10">
        <v>39.6</v>
      </c>
      <c r="AA60" s="10">
        <v>39.880000000000003</v>
      </c>
      <c r="AB60" s="95">
        <v>15154200</v>
      </c>
      <c r="AC60" s="10">
        <v>39.770000000000003</v>
      </c>
      <c r="AD60">
        <f t="shared" si="3"/>
        <v>2.6199999999999974</v>
      </c>
      <c r="AE60" s="138">
        <f t="shared" si="4"/>
        <v>-5.4221165279429107E-2</v>
      </c>
    </row>
    <row r="61" spans="15:31" x14ac:dyDescent="0.25">
      <c r="O61" s="83">
        <v>0.9</v>
      </c>
      <c r="P61" s="83">
        <f t="shared" si="41"/>
        <v>33.255000000000003</v>
      </c>
      <c r="W61" s="133">
        <v>42534</v>
      </c>
      <c r="X61" s="10">
        <v>43.22</v>
      </c>
      <c r="Y61" s="10">
        <v>43.49</v>
      </c>
      <c r="Z61" s="10">
        <v>41.91</v>
      </c>
      <c r="AA61" s="10">
        <v>42.16</v>
      </c>
      <c r="AB61" s="95">
        <v>6586700</v>
      </c>
      <c r="AC61" s="10">
        <v>42.05</v>
      </c>
      <c r="AD61">
        <f t="shared" si="3"/>
        <v>1.5800000000000054</v>
      </c>
      <c r="AE61" s="138">
        <f t="shared" si="4"/>
        <v>-3.3555504481728393E-2</v>
      </c>
    </row>
    <row r="62" spans="15:31" x14ac:dyDescent="0.25">
      <c r="W62" s="133">
        <v>42531</v>
      </c>
      <c r="X62" s="10">
        <v>43.91</v>
      </c>
      <c r="Y62" s="10">
        <v>44.05</v>
      </c>
      <c r="Z62" s="10">
        <v>43.23</v>
      </c>
      <c r="AA62" s="10">
        <v>43.63</v>
      </c>
      <c r="AB62" s="95">
        <v>4661100</v>
      </c>
      <c r="AC62" s="10">
        <v>43.51</v>
      </c>
      <c r="AD62">
        <f t="shared" si="3"/>
        <v>0.82000000000000028</v>
      </c>
      <c r="AE62" s="138">
        <f t="shared" si="4"/>
        <v>-1.2707056954844642E-2</v>
      </c>
    </row>
    <row r="63" spans="15:31" x14ac:dyDescent="0.25">
      <c r="W63" s="133">
        <v>42530</v>
      </c>
      <c r="X63" s="10">
        <v>43.46</v>
      </c>
      <c r="Y63" s="10">
        <v>44.33</v>
      </c>
      <c r="Z63" s="10">
        <v>43.35</v>
      </c>
      <c r="AA63" s="10">
        <v>44.19</v>
      </c>
      <c r="AB63" s="95">
        <v>5605200</v>
      </c>
      <c r="AC63" s="10">
        <v>44.07</v>
      </c>
      <c r="AD63">
        <f t="shared" si="3"/>
        <v>0.97999999999999687</v>
      </c>
      <c r="AE63" s="138">
        <f t="shared" si="4"/>
        <v>1.5905947441217094E-2</v>
      </c>
    </row>
    <row r="64" spans="15:31" x14ac:dyDescent="0.25">
      <c r="W64" s="133">
        <v>42529</v>
      </c>
      <c r="X64" s="10">
        <v>43.27</v>
      </c>
      <c r="Y64" s="10">
        <v>43.9</v>
      </c>
      <c r="Z64" s="10">
        <v>43.05</v>
      </c>
      <c r="AA64" s="10">
        <v>43.5</v>
      </c>
      <c r="AB64" s="95">
        <v>6527000</v>
      </c>
      <c r="AC64" s="10">
        <v>43.38</v>
      </c>
      <c r="AD64">
        <f t="shared" si="3"/>
        <v>0.85000000000000142</v>
      </c>
      <c r="AE64" s="138">
        <f t="shared" si="4"/>
        <v>1.0011641443538943E-2</v>
      </c>
    </row>
    <row r="65" spans="23:31" x14ac:dyDescent="0.25">
      <c r="W65" s="133">
        <v>42528</v>
      </c>
      <c r="X65" s="10">
        <v>41.71</v>
      </c>
      <c r="Y65" s="10">
        <v>43.46</v>
      </c>
      <c r="Z65" s="10">
        <v>41.57</v>
      </c>
      <c r="AA65" s="10">
        <v>43.07</v>
      </c>
      <c r="AB65" s="95">
        <v>6401500</v>
      </c>
      <c r="AC65" s="10">
        <v>42.95</v>
      </c>
      <c r="AD65">
        <f t="shared" si="3"/>
        <v>1.8900000000000006</v>
      </c>
      <c r="AE65" s="138">
        <f t="shared" si="4"/>
        <v>3.0964954392703081E-2</v>
      </c>
    </row>
    <row r="66" spans="23:31" x14ac:dyDescent="0.25">
      <c r="W66" s="133">
        <v>42527</v>
      </c>
      <c r="X66" s="10">
        <v>41.5</v>
      </c>
      <c r="Y66" s="10">
        <v>41.86</v>
      </c>
      <c r="Z66" s="10">
        <v>41.21</v>
      </c>
      <c r="AA66" s="10">
        <v>41.77</v>
      </c>
      <c r="AB66" s="95">
        <v>3516500</v>
      </c>
      <c r="AC66" s="10">
        <v>41.66</v>
      </c>
      <c r="AD66">
        <f t="shared" si="3"/>
        <v>0.64999999999999858</v>
      </c>
      <c r="AE66" s="138" t="e">
        <f t="shared" si="4"/>
        <v>#DIV/0!</v>
      </c>
    </row>
    <row r="67" spans="23:31" x14ac:dyDescent="0.25">
      <c r="W67" s="133">
        <v>42527</v>
      </c>
      <c r="X67" s="10" t="s">
        <v>302</v>
      </c>
      <c r="Y67" s="10"/>
      <c r="Z67" s="10"/>
      <c r="AA67" s="10"/>
      <c r="AB67" s="95"/>
      <c r="AC67" s="10"/>
      <c r="AD67">
        <f t="shared" si="3"/>
        <v>0</v>
      </c>
      <c r="AE67" s="138">
        <f t="shared" si="4"/>
        <v>-1</v>
      </c>
    </row>
    <row r="68" spans="23:31" x14ac:dyDescent="0.25">
      <c r="W68" s="133">
        <v>42524</v>
      </c>
      <c r="X68" s="10">
        <v>41.91</v>
      </c>
      <c r="Y68" s="10">
        <v>41.97</v>
      </c>
      <c r="Z68" s="10">
        <v>41.11</v>
      </c>
      <c r="AA68" s="10">
        <v>41.69</v>
      </c>
      <c r="AB68" s="95">
        <v>5081800</v>
      </c>
      <c r="AC68" s="10">
        <v>41.48</v>
      </c>
      <c r="AD68">
        <f t="shared" si="3"/>
        <v>0.85999999999999943</v>
      </c>
      <c r="AE68" s="138" t="e">
        <f>AC68/AC70-1</f>
        <v>#DIV/0!</v>
      </c>
    </row>
    <row r="69" spans="23:31" x14ac:dyDescent="0.25">
      <c r="W69" s="133">
        <v>42523</v>
      </c>
      <c r="X69" s="10">
        <v>42.32</v>
      </c>
      <c r="Y69" s="10">
        <v>42.62</v>
      </c>
      <c r="Z69" s="10">
        <v>42.03</v>
      </c>
      <c r="AA69" s="10">
        <v>42.17</v>
      </c>
      <c r="AB69" s="95">
        <v>4390900</v>
      </c>
      <c r="AC69" s="10">
        <v>41.95</v>
      </c>
      <c r="AD69">
        <f t="shared" ref="AD69" si="42">Y70-Z70</f>
        <v>0</v>
      </c>
      <c r="AE69" s="138" t="e">
        <f t="shared" ref="AE69" si="43">AC70/AC71-1</f>
        <v>#DIV/0!</v>
      </c>
    </row>
    <row r="70" spans="23:31" x14ac:dyDescent="0.25">
      <c r="W70" s="133" t="s">
        <v>122</v>
      </c>
      <c r="X70" s="10"/>
      <c r="Y70" s="10"/>
      <c r="Z70" s="10"/>
      <c r="AA70" s="10"/>
      <c r="AB70" s="95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2 H39:H42">
    <cfRule type="expression" dxfId="630" priority="11">
      <formula>F39&gt;0</formula>
    </cfRule>
    <cfRule type="expression" dxfId="629" priority="12">
      <formula>F39&lt;0</formula>
    </cfRule>
  </conditionalFormatting>
  <conditionalFormatting sqref="Q7">
    <cfRule type="expression" dxfId="628" priority="9">
      <formula>Q7&gt;0</formula>
    </cfRule>
    <cfRule type="expression" dxfId="627" priority="10">
      <formula>Q7&lt;0</formula>
    </cfRule>
  </conditionalFormatting>
  <conditionalFormatting sqref="Q8">
    <cfRule type="expression" dxfId="626" priority="7">
      <formula>Q8&gt;0</formula>
    </cfRule>
    <cfRule type="expression" dxfId="625" priority="8">
      <formula>Q8&lt;0</formula>
    </cfRule>
  </conditionalFormatting>
  <conditionalFormatting sqref="F25:F38">
    <cfRule type="expression" dxfId="624" priority="5">
      <formula>F25&gt;0</formula>
    </cfRule>
    <cfRule type="expression" dxfId="623" priority="6">
      <formula>F25&lt;0</formula>
    </cfRule>
  </conditionalFormatting>
  <conditionalFormatting sqref="H25:H38">
    <cfRule type="expression" dxfId="622" priority="3">
      <formula>H25&gt;0</formula>
    </cfRule>
    <cfRule type="expression" dxfId="621" priority="4">
      <formula>H25&lt;0</formula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308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42615</v>
      </c>
      <c r="X2" s="10">
        <v>55.4</v>
      </c>
      <c r="Y2" s="10">
        <v>55.78</v>
      </c>
      <c r="Z2" s="10">
        <v>55.01</v>
      </c>
      <c r="AA2" s="10">
        <v>55.33</v>
      </c>
      <c r="AB2" s="95">
        <v>1149100</v>
      </c>
      <c r="AC2" s="10">
        <v>55.33</v>
      </c>
      <c r="AD2" s="2">
        <f>Y2-Z2</f>
        <v>0.77000000000000313</v>
      </c>
      <c r="AE2" s="138">
        <f>AC2/AC3-1</f>
        <v>4.7212638460141232E-3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55.5</v>
      </c>
      <c r="T3" s="1"/>
      <c r="W3" s="133">
        <v>42614</v>
      </c>
      <c r="X3" s="10">
        <v>54.82</v>
      </c>
      <c r="Y3" s="10">
        <v>55.08</v>
      </c>
      <c r="Z3" s="10">
        <v>54.16</v>
      </c>
      <c r="AA3" s="10">
        <v>55.07</v>
      </c>
      <c r="AB3" s="95">
        <v>1769500</v>
      </c>
      <c r="AC3" s="10">
        <v>55.07</v>
      </c>
      <c r="AD3" s="2">
        <f t="shared" ref="AD3:AD66" si="0">Y3-Z3</f>
        <v>0.92000000000000171</v>
      </c>
      <c r="AE3" s="138">
        <f t="shared" ref="AE3:AE66" si="1">AC3/AC4-1</f>
        <v>3.0965391621129434E-3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55.5</v>
      </c>
      <c r="T4" s="163"/>
      <c r="U4" s="1"/>
      <c r="W4" s="133">
        <v>42613</v>
      </c>
      <c r="X4" s="10">
        <v>54.97</v>
      </c>
      <c r="Y4" s="10">
        <v>55.14</v>
      </c>
      <c r="Z4" s="10">
        <v>54.29</v>
      </c>
      <c r="AA4" s="10">
        <v>54.9</v>
      </c>
      <c r="AB4" s="95">
        <v>1304200</v>
      </c>
      <c r="AC4" s="10">
        <v>54.9</v>
      </c>
      <c r="AD4" s="2">
        <f t="shared" si="0"/>
        <v>0.85000000000000142</v>
      </c>
      <c r="AE4" s="138">
        <f t="shared" si="1"/>
        <v>1.8218254691193536E-4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42612</v>
      </c>
      <c r="X5" s="10">
        <v>55.05</v>
      </c>
      <c r="Y5" s="10">
        <v>55.56</v>
      </c>
      <c r="Z5" s="10">
        <v>54.61</v>
      </c>
      <c r="AA5" s="10">
        <v>54.89</v>
      </c>
      <c r="AB5" s="95">
        <v>1168100</v>
      </c>
      <c r="AC5" s="10">
        <v>54.89</v>
      </c>
      <c r="AD5" s="2">
        <f t="shared" si="0"/>
        <v>0.95000000000000284</v>
      </c>
      <c r="AE5" s="138">
        <f t="shared" si="1"/>
        <v>-2.7252906976743541E-3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42611</v>
      </c>
      <c r="X6" s="10">
        <v>55.25</v>
      </c>
      <c r="Y6" s="10">
        <v>55.3</v>
      </c>
      <c r="Z6" s="10">
        <v>54.66</v>
      </c>
      <c r="AA6" s="10">
        <v>55.04</v>
      </c>
      <c r="AB6" s="95">
        <v>1169500</v>
      </c>
      <c r="AC6" s="10">
        <v>55.04</v>
      </c>
      <c r="AD6" s="2">
        <f t="shared" si="0"/>
        <v>0.64000000000000057</v>
      </c>
      <c r="AE6" s="138">
        <f t="shared" si="1"/>
        <v>-4.8815765684325774E-3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92.650000000000091</v>
      </c>
      <c r="R7">
        <v>0</v>
      </c>
      <c r="W7" s="133">
        <v>42608</v>
      </c>
      <c r="X7" s="10">
        <v>54.56</v>
      </c>
      <c r="Y7" s="10">
        <v>55.94</v>
      </c>
      <c r="Z7" s="10">
        <v>54.18</v>
      </c>
      <c r="AA7" s="10">
        <v>55.31</v>
      </c>
      <c r="AB7" s="95">
        <v>2221500</v>
      </c>
      <c r="AC7" s="10">
        <v>55.31</v>
      </c>
      <c r="AD7" s="2">
        <f t="shared" si="0"/>
        <v>1.759999999999998</v>
      </c>
      <c r="AE7" s="138">
        <f t="shared" si="1"/>
        <v>1.3746334310850372E-2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42607</v>
      </c>
      <c r="X8" s="10">
        <v>53.8</v>
      </c>
      <c r="Y8" s="10">
        <v>54.68</v>
      </c>
      <c r="Z8" s="10">
        <v>53.76</v>
      </c>
      <c r="AA8" s="10">
        <v>54.56</v>
      </c>
      <c r="AB8" s="95">
        <v>1969900</v>
      </c>
      <c r="AC8" s="10">
        <v>54.56</v>
      </c>
      <c r="AD8" s="2">
        <f t="shared" si="0"/>
        <v>0.92000000000000171</v>
      </c>
      <c r="AE8" s="138">
        <f t="shared" si="1"/>
        <v>1.0744720266765651E-2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224</v>
      </c>
      <c r="Q9" s="138">
        <f>IF(Q2=0, 0, Q8/Q6)</f>
        <v>0</v>
      </c>
      <c r="W9" s="133">
        <v>42606</v>
      </c>
      <c r="X9" s="10">
        <v>53.68</v>
      </c>
      <c r="Y9" s="10">
        <v>54.44</v>
      </c>
      <c r="Z9" s="10">
        <v>53.63</v>
      </c>
      <c r="AA9" s="10">
        <v>53.98</v>
      </c>
      <c r="AB9" s="95">
        <v>1984600</v>
      </c>
      <c r="AC9" s="10">
        <v>53.98</v>
      </c>
      <c r="AD9" s="2">
        <f t="shared" si="0"/>
        <v>0.80999999999999517</v>
      </c>
      <c r="AE9" s="138">
        <f t="shared" si="1"/>
        <v>7.0895522388059184E-3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223</v>
      </c>
      <c r="P10" s="34"/>
      <c r="Q10" s="2">
        <f>M46</f>
        <v>92.650000000000091</v>
      </c>
      <c r="W10" s="133">
        <v>42605</v>
      </c>
      <c r="X10" s="10">
        <v>53.06</v>
      </c>
      <c r="Y10" s="10">
        <v>54.28</v>
      </c>
      <c r="Z10" s="10">
        <v>52.95</v>
      </c>
      <c r="AA10" s="10">
        <v>53.6</v>
      </c>
      <c r="AB10" s="95">
        <v>1379100</v>
      </c>
      <c r="AC10" s="10">
        <v>53.6</v>
      </c>
      <c r="AD10" s="2">
        <f t="shared" si="0"/>
        <v>1.3299999999999983</v>
      </c>
      <c r="AE10" s="138">
        <f t="shared" si="1"/>
        <v>1.1702529256323313E-2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42604</v>
      </c>
      <c r="X11" s="10">
        <v>52.81</v>
      </c>
      <c r="Y11" s="10">
        <v>53</v>
      </c>
      <c r="Z11" s="10">
        <v>52.25</v>
      </c>
      <c r="AA11" s="10">
        <v>52.98</v>
      </c>
      <c r="AB11" s="95">
        <v>1286100</v>
      </c>
      <c r="AC11" s="10">
        <v>52.98</v>
      </c>
      <c r="AD11" s="2">
        <f t="shared" si="0"/>
        <v>0.75</v>
      </c>
      <c r="AE11" s="138">
        <f t="shared" si="1"/>
        <v>5.6657223796019451E-4</v>
      </c>
    </row>
    <row r="12" spans="1:31" x14ac:dyDescent="0.25">
      <c r="H12" s="72"/>
      <c r="W12" s="133">
        <v>42601</v>
      </c>
      <c r="X12" s="10">
        <v>52.3</v>
      </c>
      <c r="Y12" s="10">
        <v>52.96</v>
      </c>
      <c r="Z12" s="10">
        <v>52</v>
      </c>
      <c r="AA12" s="10">
        <v>52.95</v>
      </c>
      <c r="AB12" s="95">
        <v>1390800</v>
      </c>
      <c r="AC12" s="10">
        <v>52.95</v>
      </c>
      <c r="AD12" s="2">
        <f t="shared" si="0"/>
        <v>0.96000000000000085</v>
      </c>
      <c r="AE12" s="138">
        <f t="shared" si="1"/>
        <v>1.1461318051575908E-2</v>
      </c>
    </row>
    <row r="13" spans="1:31" x14ac:dyDescent="0.25">
      <c r="H13" s="72"/>
      <c r="W13" s="133">
        <v>42600</v>
      </c>
      <c r="X13" s="10">
        <v>52.35</v>
      </c>
      <c r="Y13" s="10">
        <v>52.64</v>
      </c>
      <c r="Z13" s="10">
        <v>52</v>
      </c>
      <c r="AA13" s="10">
        <v>52.35</v>
      </c>
      <c r="AB13" s="95">
        <v>1108100</v>
      </c>
      <c r="AC13" s="10">
        <v>52.35</v>
      </c>
      <c r="AD13" s="2">
        <f t="shared" si="0"/>
        <v>0.64000000000000057</v>
      </c>
      <c r="AE13" s="138">
        <f t="shared" si="1"/>
        <v>1.9105846389000369E-4</v>
      </c>
    </row>
    <row r="14" spans="1:31" x14ac:dyDescent="0.25">
      <c r="H14" s="72"/>
      <c r="W14" s="133">
        <v>42599</v>
      </c>
      <c r="X14" s="10">
        <v>52.24</v>
      </c>
      <c r="Y14" s="10">
        <v>52.4</v>
      </c>
      <c r="Z14" s="10">
        <v>51.98</v>
      </c>
      <c r="AA14" s="10">
        <v>52.34</v>
      </c>
      <c r="AB14" s="95">
        <v>1608500</v>
      </c>
      <c r="AC14" s="10">
        <v>52.34</v>
      </c>
      <c r="AD14" s="2">
        <f t="shared" si="0"/>
        <v>0.42000000000000171</v>
      </c>
      <c r="AE14" s="138">
        <f t="shared" si="1"/>
        <v>6.5384615384616041E-3</v>
      </c>
    </row>
    <row r="15" spans="1:31" x14ac:dyDescent="0.25">
      <c r="H15" s="72"/>
      <c r="W15" s="133">
        <v>42598</v>
      </c>
      <c r="X15" s="10">
        <v>52.07</v>
      </c>
      <c r="Y15" s="10">
        <v>52.63</v>
      </c>
      <c r="Z15" s="10">
        <v>52</v>
      </c>
      <c r="AA15" s="10">
        <v>52</v>
      </c>
      <c r="AB15" s="95">
        <v>1241000</v>
      </c>
      <c r="AC15" s="10">
        <v>52</v>
      </c>
      <c r="AD15" s="2">
        <f t="shared" si="0"/>
        <v>0.63000000000000256</v>
      </c>
      <c r="AE15" s="138">
        <f t="shared" si="1"/>
        <v>-9.6061479346776224E-4</v>
      </c>
    </row>
    <row r="16" spans="1:31" x14ac:dyDescent="0.25">
      <c r="H16" s="72"/>
      <c r="W16" s="133">
        <v>42597</v>
      </c>
      <c r="X16" s="10">
        <v>52.05</v>
      </c>
      <c r="Y16" s="10">
        <v>53.01</v>
      </c>
      <c r="Z16" s="10">
        <v>52.02</v>
      </c>
      <c r="AA16" s="10">
        <v>52.05</v>
      </c>
      <c r="AB16" s="95">
        <v>1960700</v>
      </c>
      <c r="AC16" s="10">
        <v>52.05</v>
      </c>
      <c r="AD16" s="2">
        <f t="shared" si="0"/>
        <v>0.98999999999999488</v>
      </c>
      <c r="AE16" s="138">
        <f t="shared" si="1"/>
        <v>1.5393496247835259E-3</v>
      </c>
    </row>
    <row r="17" spans="1:31" x14ac:dyDescent="0.25">
      <c r="W17" s="133">
        <v>42594</v>
      </c>
      <c r="X17" s="10">
        <v>52.19</v>
      </c>
      <c r="Y17" s="10">
        <v>52.57</v>
      </c>
      <c r="Z17" s="10">
        <v>51.96</v>
      </c>
      <c r="AA17" s="10">
        <v>51.97</v>
      </c>
      <c r="AB17" s="95">
        <v>1978800</v>
      </c>
      <c r="AC17" s="10">
        <v>51.97</v>
      </c>
      <c r="AD17" s="2">
        <f t="shared" si="0"/>
        <v>0.60999999999999943</v>
      </c>
      <c r="AE17" s="138">
        <f t="shared" si="1"/>
        <v>1.0892822408091751E-2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42593</v>
      </c>
      <c r="X18" s="10">
        <v>52.15</v>
      </c>
      <c r="Y18" s="10">
        <v>52.3</v>
      </c>
      <c r="Z18" s="10">
        <v>51.3</v>
      </c>
      <c r="AA18" s="10">
        <v>51.41</v>
      </c>
      <c r="AB18" s="95">
        <v>1580400</v>
      </c>
      <c r="AC18" s="10">
        <v>51.41</v>
      </c>
      <c r="AD18" s="2">
        <f t="shared" si="0"/>
        <v>1</v>
      </c>
      <c r="AE18" s="138">
        <f t="shared" si="1"/>
        <v>-1.1726259131103589E-2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42592</v>
      </c>
      <c r="X19" s="10">
        <v>50.35</v>
      </c>
      <c r="Y19" s="10">
        <v>52.06</v>
      </c>
      <c r="Z19" s="10">
        <v>50.35</v>
      </c>
      <c r="AA19" s="10">
        <v>52.02</v>
      </c>
      <c r="AB19" s="95">
        <v>2996400</v>
      </c>
      <c r="AC19" s="10">
        <v>52.02</v>
      </c>
      <c r="AD19" s="2">
        <f t="shared" si="0"/>
        <v>1.7100000000000009</v>
      </c>
      <c r="AE19" s="138">
        <f t="shared" si="1"/>
        <v>3.5842293906810152E-2</v>
      </c>
    </row>
    <row r="20" spans="1:31" x14ac:dyDescent="0.25">
      <c r="W20" s="133">
        <v>42591</v>
      </c>
      <c r="X20" s="10">
        <v>50.17</v>
      </c>
      <c r="Y20" s="10">
        <v>50.95</v>
      </c>
      <c r="Z20" s="10">
        <v>50.16</v>
      </c>
      <c r="AA20" s="10">
        <v>50.22</v>
      </c>
      <c r="AB20" s="95">
        <v>1800900</v>
      </c>
      <c r="AC20" s="10">
        <v>50.22</v>
      </c>
      <c r="AD20" s="2">
        <f t="shared" si="0"/>
        <v>0.79000000000000625</v>
      </c>
      <c r="AE20" s="138">
        <f t="shared" si="1"/>
        <v>1.9916351324433812E-4</v>
      </c>
    </row>
    <row r="21" spans="1:31" x14ac:dyDescent="0.25">
      <c r="W21" s="133">
        <v>42590</v>
      </c>
      <c r="X21" s="10">
        <v>50.78</v>
      </c>
      <c r="Y21" s="10">
        <v>50.94</v>
      </c>
      <c r="Z21" s="10">
        <v>50.05</v>
      </c>
      <c r="AA21" s="10">
        <v>50.21</v>
      </c>
      <c r="AB21" s="95">
        <v>1405300</v>
      </c>
      <c r="AC21" s="10">
        <v>50.21</v>
      </c>
      <c r="AD21" s="2">
        <f t="shared" si="0"/>
        <v>0.89000000000000057</v>
      </c>
      <c r="AE21" s="138">
        <f t="shared" si="1"/>
        <v>-8.8827477299643354E-3</v>
      </c>
    </row>
    <row r="22" spans="1:31" x14ac:dyDescent="0.25">
      <c r="W22" s="133">
        <v>42587</v>
      </c>
      <c r="X22" s="10">
        <v>49.73</v>
      </c>
      <c r="Y22" s="10">
        <v>50.87</v>
      </c>
      <c r="Z22" s="10">
        <v>49.16</v>
      </c>
      <c r="AA22" s="10">
        <v>50.66</v>
      </c>
      <c r="AB22" s="95">
        <v>2085000</v>
      </c>
      <c r="AC22" s="10">
        <v>50.66</v>
      </c>
      <c r="AD22" s="2">
        <f t="shared" si="0"/>
        <v>1.7100000000000009</v>
      </c>
      <c r="AE22" s="138">
        <f t="shared" si="1"/>
        <v>2.4883673882257762E-2</v>
      </c>
    </row>
    <row r="23" spans="1:31" x14ac:dyDescent="0.25">
      <c r="W23" s="133">
        <v>42586</v>
      </c>
      <c r="X23" s="10">
        <v>49.28</v>
      </c>
      <c r="Y23" s="10">
        <v>49.71</v>
      </c>
      <c r="Z23" s="10">
        <v>48.92</v>
      </c>
      <c r="AA23" s="10">
        <v>49.43</v>
      </c>
      <c r="AB23" s="95">
        <v>1938500</v>
      </c>
      <c r="AC23" s="10">
        <v>49.43</v>
      </c>
      <c r="AD23" s="2">
        <f t="shared" si="0"/>
        <v>0.78999999999999915</v>
      </c>
      <c r="AE23" s="138">
        <f t="shared" si="1"/>
        <v>-2.0226537216827545E-4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42585</v>
      </c>
      <c r="X24" s="10">
        <v>49.86</v>
      </c>
      <c r="Y24" s="10">
        <v>49.98</v>
      </c>
      <c r="Z24" s="10">
        <v>49.16</v>
      </c>
      <c r="AA24" s="10">
        <v>49.44</v>
      </c>
      <c r="AB24" s="95">
        <v>1909000</v>
      </c>
      <c r="AC24" s="10">
        <v>49.44</v>
      </c>
      <c r="AD24" s="2">
        <f t="shared" si="0"/>
        <v>0.82000000000000028</v>
      </c>
      <c r="AE24" s="138">
        <f t="shared" si="1"/>
        <v>-1.040832666132907E-2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309</v>
      </c>
      <c r="W25" s="133">
        <v>42584</v>
      </c>
      <c r="X25" s="10">
        <v>50.46</v>
      </c>
      <c r="Y25" s="10">
        <v>50.69</v>
      </c>
      <c r="Z25" s="10">
        <v>49.21</v>
      </c>
      <c r="AA25" s="10">
        <v>49.96</v>
      </c>
      <c r="AB25" s="95">
        <v>3083500</v>
      </c>
      <c r="AC25" s="10">
        <v>49.96</v>
      </c>
      <c r="AD25" s="2">
        <f t="shared" si="0"/>
        <v>1.4799999999999969</v>
      </c>
      <c r="AE25" s="138">
        <f t="shared" si="1"/>
        <v>-1.2648221343873556E-2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42583</v>
      </c>
      <c r="X26" s="10">
        <v>50.56</v>
      </c>
      <c r="Y26" s="10">
        <v>50.71</v>
      </c>
      <c r="Z26" s="10">
        <v>50.19</v>
      </c>
      <c r="AA26" s="10">
        <v>50.6</v>
      </c>
      <c r="AB26" s="95">
        <v>3028300</v>
      </c>
      <c r="AC26" s="10">
        <v>50.6</v>
      </c>
      <c r="AD26" s="2">
        <f t="shared" si="0"/>
        <v>0.52000000000000313</v>
      </c>
      <c r="AE26" s="138">
        <f t="shared" si="1"/>
        <v>1.3853156540668543E-3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315</v>
      </c>
      <c r="W27" s="133">
        <v>42580</v>
      </c>
      <c r="X27" s="10">
        <v>50.64</v>
      </c>
      <c r="Y27" s="10">
        <v>50.83</v>
      </c>
      <c r="Z27" s="10">
        <v>49.76</v>
      </c>
      <c r="AA27" s="10">
        <v>50.53</v>
      </c>
      <c r="AB27" s="95">
        <v>3622500</v>
      </c>
      <c r="AC27" s="10">
        <v>50.53</v>
      </c>
      <c r="AD27" s="2">
        <f t="shared" si="0"/>
        <v>1.0700000000000003</v>
      </c>
      <c r="AE27" s="138">
        <f t="shared" si="1"/>
        <v>-3.1564411126454583E-3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42579</v>
      </c>
      <c r="X28" s="10">
        <v>50.45</v>
      </c>
      <c r="Y28" s="10">
        <v>51.13</v>
      </c>
      <c r="Z28" s="10">
        <v>50.21</v>
      </c>
      <c r="AA28" s="10">
        <v>50.69</v>
      </c>
      <c r="AB28" s="95">
        <v>4725000</v>
      </c>
      <c r="AC28" s="10">
        <v>50.69</v>
      </c>
      <c r="AD28" s="2">
        <f t="shared" si="0"/>
        <v>0.92000000000000171</v>
      </c>
      <c r="AE28" s="138">
        <f t="shared" si="1"/>
        <v>3.5636507622252012E-3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42578</v>
      </c>
      <c r="X29" s="10">
        <v>51.23</v>
      </c>
      <c r="Y29" s="10">
        <v>51.44</v>
      </c>
      <c r="Z29" s="10">
        <v>47.8</v>
      </c>
      <c r="AA29" s="10">
        <v>50.51</v>
      </c>
      <c r="AB29" s="95">
        <v>19372300</v>
      </c>
      <c r="AC29" s="10">
        <v>50.51</v>
      </c>
      <c r="AD29" s="2">
        <f t="shared" si="0"/>
        <v>3.6400000000000006</v>
      </c>
      <c r="AE29" s="138">
        <f t="shared" si="1"/>
        <v>-0.13048717507316243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42577</v>
      </c>
      <c r="X30" s="10">
        <v>58</v>
      </c>
      <c r="Y30" s="10">
        <v>58.47</v>
      </c>
      <c r="Z30" s="10">
        <v>57.69</v>
      </c>
      <c r="AA30" s="10">
        <v>58.09</v>
      </c>
      <c r="AB30" s="95">
        <v>3896200</v>
      </c>
      <c r="AC30" s="10">
        <v>58.09</v>
      </c>
      <c r="AD30" s="2">
        <f t="shared" si="0"/>
        <v>0.78000000000000114</v>
      </c>
      <c r="AE30" s="138">
        <f t="shared" si="1"/>
        <v>3.2815198618307839E-3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42576</v>
      </c>
      <c r="X31" s="10">
        <v>57.83</v>
      </c>
      <c r="Y31" s="10">
        <v>58.33</v>
      </c>
      <c r="Z31" s="10">
        <v>57.57</v>
      </c>
      <c r="AA31" s="10">
        <v>57.9</v>
      </c>
      <c r="AB31" s="95">
        <v>1676800</v>
      </c>
      <c r="AC31" s="10">
        <v>57.9</v>
      </c>
      <c r="AD31" s="2">
        <f t="shared" si="0"/>
        <v>0.75999999999999801</v>
      </c>
      <c r="AE31" s="138">
        <f t="shared" si="1"/>
        <v>1.7274140611500677E-4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42573</v>
      </c>
      <c r="X32" s="10">
        <v>57.45</v>
      </c>
      <c r="Y32" s="10">
        <v>58.14</v>
      </c>
      <c r="Z32" s="10">
        <v>57.24</v>
      </c>
      <c r="AA32" s="10">
        <v>57.89</v>
      </c>
      <c r="AB32" s="95">
        <v>1047900</v>
      </c>
      <c r="AC32" s="10">
        <v>57.89</v>
      </c>
      <c r="AD32" s="2">
        <f t="shared" si="0"/>
        <v>0.89999999999999858</v>
      </c>
      <c r="AE32" s="138">
        <f t="shared" si="1"/>
        <v>1.206293706293704E-2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42572</v>
      </c>
      <c r="X33" s="10">
        <v>57.89</v>
      </c>
      <c r="Y33" s="10">
        <v>58.12</v>
      </c>
      <c r="Z33" s="10">
        <v>57.01</v>
      </c>
      <c r="AA33" s="10">
        <v>57.2</v>
      </c>
      <c r="AB33" s="95">
        <v>1486500</v>
      </c>
      <c r="AC33" s="10">
        <v>57.2</v>
      </c>
      <c r="AD33" s="2">
        <f t="shared" si="0"/>
        <v>1.1099999999999994</v>
      </c>
      <c r="AE33" s="138">
        <f t="shared" si="1"/>
        <v>-1.0893999654158715E-2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42571</v>
      </c>
      <c r="X34" s="10">
        <v>57.71</v>
      </c>
      <c r="Y34" s="10">
        <v>57.89</v>
      </c>
      <c r="Z34" s="10">
        <v>57.42</v>
      </c>
      <c r="AA34" s="10">
        <v>57.83</v>
      </c>
      <c r="AB34" s="95">
        <v>1164600</v>
      </c>
      <c r="AC34" s="10">
        <v>57.83</v>
      </c>
      <c r="AD34" s="2">
        <f t="shared" si="0"/>
        <v>0.46999999999999886</v>
      </c>
      <c r="AE34" s="138">
        <f t="shared" si="1"/>
        <v>6.6144473455178598E-3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42570</v>
      </c>
      <c r="X35" s="10">
        <v>57.24</v>
      </c>
      <c r="Y35" s="10">
        <v>57.96</v>
      </c>
      <c r="Z35" s="10">
        <v>57.24</v>
      </c>
      <c r="AA35" s="10">
        <v>57.45</v>
      </c>
      <c r="AB35" s="95">
        <v>1000100</v>
      </c>
      <c r="AC35" s="10">
        <v>57.45</v>
      </c>
      <c r="AD35" s="2">
        <f t="shared" si="0"/>
        <v>0.71999999999999886</v>
      </c>
      <c r="AE35" s="138">
        <f t="shared" si="1"/>
        <v>-3.4800765616838092E-4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42569</v>
      </c>
      <c r="X36" s="10">
        <v>57.39</v>
      </c>
      <c r="Y36" s="10">
        <v>57.86</v>
      </c>
      <c r="Z36" s="10">
        <v>57.28</v>
      </c>
      <c r="AA36" s="10">
        <v>57.47</v>
      </c>
      <c r="AB36" s="95">
        <v>937900</v>
      </c>
      <c r="AC36" s="10">
        <v>57.47</v>
      </c>
      <c r="AD36" s="2">
        <f t="shared" si="0"/>
        <v>0.57999999999999829</v>
      </c>
      <c r="AE36" s="138">
        <f t="shared" si="1"/>
        <v>3.8427947598254075E-3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42566</v>
      </c>
      <c r="X37" s="10">
        <v>57.7</v>
      </c>
      <c r="Y37" s="10">
        <v>57.91</v>
      </c>
      <c r="Z37" s="10">
        <v>57.03</v>
      </c>
      <c r="AA37" s="10">
        <v>57.25</v>
      </c>
      <c r="AB37" s="95">
        <v>1138000</v>
      </c>
      <c r="AC37" s="10">
        <v>57.25</v>
      </c>
      <c r="AD37" s="2">
        <f t="shared" si="0"/>
        <v>0.87999999999999545</v>
      </c>
      <c r="AE37" s="138">
        <f t="shared" si="1"/>
        <v>-3.1342503917812792E-3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42565</v>
      </c>
      <c r="X38" s="10">
        <v>57.72</v>
      </c>
      <c r="Y38" s="10">
        <v>58.01</v>
      </c>
      <c r="Z38" s="10">
        <v>57.11</v>
      </c>
      <c r="AA38" s="10">
        <v>57.43</v>
      </c>
      <c r="AB38" s="95">
        <v>1611000</v>
      </c>
      <c r="AC38" s="10">
        <v>57.43</v>
      </c>
      <c r="AD38" s="2">
        <f t="shared" si="0"/>
        <v>0.89999999999999858</v>
      </c>
      <c r="AE38" s="138">
        <f t="shared" si="1"/>
        <v>1.0024621878297557E-2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42564</v>
      </c>
      <c r="X39" s="10">
        <v>56.7</v>
      </c>
      <c r="Y39" s="10">
        <v>57.69</v>
      </c>
      <c r="Z39" s="10">
        <v>56.5</v>
      </c>
      <c r="AA39" s="10">
        <v>56.86</v>
      </c>
      <c r="AB39" s="95">
        <v>1789600</v>
      </c>
      <c r="AC39" s="10">
        <v>56.86</v>
      </c>
      <c r="AD39" s="2">
        <f t="shared" si="0"/>
        <v>1.1899999999999977</v>
      </c>
      <c r="AE39" s="138">
        <f t="shared" si="1"/>
        <v>1.2464387464387494E-2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45" t="s">
        <v>78</v>
      </c>
      <c r="P40" s="545"/>
      <c r="W40" s="133">
        <v>42563</v>
      </c>
      <c r="X40" s="10">
        <v>56.74</v>
      </c>
      <c r="Y40" s="10">
        <v>56.9</v>
      </c>
      <c r="Z40" s="10">
        <v>56.11</v>
      </c>
      <c r="AA40" s="10">
        <v>56.16</v>
      </c>
      <c r="AB40" s="95">
        <v>2017300</v>
      </c>
      <c r="AC40" s="10">
        <v>56.16</v>
      </c>
      <c r="AD40" s="2">
        <f t="shared" si="0"/>
        <v>0.78999999999999915</v>
      </c>
      <c r="AE40" s="138">
        <f t="shared" si="1"/>
        <v>-1.4224751066856944E-3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61.050000000000004</v>
      </c>
      <c r="Q41" s="2"/>
      <c r="W41" s="133">
        <v>42562</v>
      </c>
      <c r="X41" s="10">
        <v>56.66</v>
      </c>
      <c r="Y41" s="10">
        <v>57.4</v>
      </c>
      <c r="Z41" s="10">
        <v>55.89</v>
      </c>
      <c r="AA41" s="10">
        <v>56.24</v>
      </c>
      <c r="AB41" s="95">
        <v>1498000</v>
      </c>
      <c r="AC41" s="10">
        <v>56.24</v>
      </c>
      <c r="AD41" s="2">
        <f t="shared" si="0"/>
        <v>1.509999999999998</v>
      </c>
      <c r="AE41" s="138">
        <f t="shared" si="1"/>
        <v>-2.4831500532103146E-3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60.495000000000005</v>
      </c>
      <c r="Q42" s="2"/>
      <c r="T42" s="91" t="s">
        <v>113</v>
      </c>
      <c r="W42" s="133">
        <v>42559</v>
      </c>
      <c r="X42" s="10">
        <v>55.5</v>
      </c>
      <c r="Y42" s="10">
        <v>56.64</v>
      </c>
      <c r="Z42" s="10">
        <v>54.86</v>
      </c>
      <c r="AA42" s="10">
        <v>56.38</v>
      </c>
      <c r="AB42" s="95">
        <v>1919200</v>
      </c>
      <c r="AC42" s="10">
        <v>56.38</v>
      </c>
      <c r="AD42" s="2">
        <f t="shared" si="0"/>
        <v>1.7800000000000011</v>
      </c>
      <c r="AE42" s="138">
        <f t="shared" si="1"/>
        <v>2.6210411357844965E-2</v>
      </c>
    </row>
    <row r="43" spans="1:31" ht="15.75" thickTop="1" x14ac:dyDescent="0.25">
      <c r="O43" s="83">
        <v>1.08</v>
      </c>
      <c r="P43" s="83">
        <f t="shared" si="30"/>
        <v>59.940000000000005</v>
      </c>
      <c r="Q43" s="2"/>
      <c r="T43" s="128" t="s">
        <v>98</v>
      </c>
      <c r="U43" s="129">
        <v>55.07</v>
      </c>
      <c r="W43" s="133">
        <v>42558</v>
      </c>
      <c r="X43" s="10">
        <v>55</v>
      </c>
      <c r="Y43" s="10">
        <v>55.39</v>
      </c>
      <c r="Z43" s="10">
        <v>54.68</v>
      </c>
      <c r="AA43" s="10">
        <v>54.94</v>
      </c>
      <c r="AB43" s="95">
        <v>989600</v>
      </c>
      <c r="AC43" s="10">
        <v>54.94</v>
      </c>
      <c r="AD43" s="2">
        <f t="shared" si="0"/>
        <v>0.71000000000000085</v>
      </c>
      <c r="AE43" s="138">
        <f t="shared" si="1"/>
        <v>-3.639010189229186E-4</v>
      </c>
    </row>
    <row r="44" spans="1:31" x14ac:dyDescent="0.25">
      <c r="O44" s="83">
        <v>1.07</v>
      </c>
      <c r="P44" s="83">
        <f t="shared" si="30"/>
        <v>59.385000000000005</v>
      </c>
      <c r="Q44" s="2"/>
      <c r="T44" s="93" t="s">
        <v>99</v>
      </c>
      <c r="U44" s="130">
        <v>55.4</v>
      </c>
      <c r="W44" s="133">
        <v>42557</v>
      </c>
      <c r="X44" s="10">
        <v>54.18</v>
      </c>
      <c r="Y44" s="10">
        <v>55.03</v>
      </c>
      <c r="Z44" s="10">
        <v>53.72</v>
      </c>
      <c r="AA44" s="10">
        <v>54.96</v>
      </c>
      <c r="AB44" s="95">
        <v>1443500</v>
      </c>
      <c r="AC44" s="10">
        <v>54.96</v>
      </c>
      <c r="AD44" s="2">
        <f t="shared" si="0"/>
        <v>1.3100000000000023</v>
      </c>
      <c r="AE44" s="138">
        <f t="shared" si="1"/>
        <v>1.3087557603686628E-2</v>
      </c>
    </row>
    <row r="45" spans="1:31" x14ac:dyDescent="0.25">
      <c r="O45" s="83">
        <v>1.06</v>
      </c>
      <c r="P45" s="83">
        <f t="shared" si="30"/>
        <v>58.830000000000005</v>
      </c>
      <c r="Q45" s="2"/>
      <c r="T45" s="93" t="s">
        <v>100</v>
      </c>
      <c r="U45" s="130" t="s">
        <v>514</v>
      </c>
      <c r="W45" s="133">
        <v>42556</v>
      </c>
      <c r="X45" s="10">
        <v>55.1</v>
      </c>
      <c r="Y45" s="10">
        <v>55.5</v>
      </c>
      <c r="Z45" s="10">
        <v>53.81</v>
      </c>
      <c r="AA45" s="10">
        <v>54.25</v>
      </c>
      <c r="AB45" s="95">
        <v>1327200</v>
      </c>
      <c r="AC45" s="10">
        <v>54.25</v>
      </c>
      <c r="AD45" s="2">
        <f t="shared" si="0"/>
        <v>1.6899999999999977</v>
      </c>
      <c r="AE45" s="138">
        <f t="shared" si="1"/>
        <v>-2.2522522522522515E-2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58.275000000000006</v>
      </c>
      <c r="Q46" s="2"/>
      <c r="T46" s="93" t="s">
        <v>101</v>
      </c>
      <c r="U46" s="130" t="s">
        <v>515</v>
      </c>
      <c r="W46" s="133">
        <v>42552</v>
      </c>
      <c r="X46" s="10">
        <v>55.81</v>
      </c>
      <c r="Y46" s="10">
        <v>56.33</v>
      </c>
      <c r="Z46" s="10">
        <v>55.2</v>
      </c>
      <c r="AA46" s="10">
        <v>55.5</v>
      </c>
      <c r="AB46" s="95">
        <v>1242400</v>
      </c>
      <c r="AC46" s="10">
        <v>55.5</v>
      </c>
      <c r="AD46" s="2">
        <f t="shared" si="0"/>
        <v>1.1299999999999955</v>
      </c>
      <c r="AE46" s="138">
        <f t="shared" si="1"/>
        <v>-7.6881816556410021E-3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57.72</v>
      </c>
      <c r="Q47" s="2"/>
      <c r="T47" s="93" t="s">
        <v>102</v>
      </c>
      <c r="U47" s="130">
        <v>60.28</v>
      </c>
      <c r="W47" s="133">
        <v>42551</v>
      </c>
      <c r="X47" s="10">
        <v>54.79</v>
      </c>
      <c r="Y47" s="10">
        <v>55.94</v>
      </c>
      <c r="Z47" s="10">
        <v>53.99</v>
      </c>
      <c r="AA47" s="10">
        <v>55.93</v>
      </c>
      <c r="AB47" s="95">
        <v>1957600</v>
      </c>
      <c r="AC47" s="10">
        <v>55.93</v>
      </c>
      <c r="AD47" s="2">
        <f t="shared" si="0"/>
        <v>1.9499999999999957</v>
      </c>
      <c r="AE47" s="138">
        <f t="shared" si="1"/>
        <v>2.5109970674486837E-2</v>
      </c>
    </row>
    <row r="48" spans="1:31" x14ac:dyDescent="0.25">
      <c r="A48" s="265" t="s">
        <v>308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57.164999999999999</v>
      </c>
      <c r="Q48" s="2"/>
      <c r="T48" s="93" t="s">
        <v>103</v>
      </c>
      <c r="U48" s="130">
        <v>0.95650999999999997</v>
      </c>
      <c r="W48" s="133">
        <v>42550</v>
      </c>
      <c r="X48" s="10">
        <v>53.09</v>
      </c>
      <c r="Y48" s="10">
        <v>54.84</v>
      </c>
      <c r="Z48" s="10">
        <v>52.8</v>
      </c>
      <c r="AA48" s="10">
        <v>54.56</v>
      </c>
      <c r="AB48" s="95">
        <v>1780200</v>
      </c>
      <c r="AC48" s="10">
        <v>54.56</v>
      </c>
      <c r="AD48" s="2">
        <f t="shared" si="0"/>
        <v>2.0400000000000063</v>
      </c>
      <c r="AE48" s="138">
        <f t="shared" si="1"/>
        <v>2.8463713477851149E-2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56.61</v>
      </c>
      <c r="Q49" s="2"/>
      <c r="T49" s="93" t="s">
        <v>123</v>
      </c>
      <c r="U49" s="130" t="s">
        <v>312</v>
      </c>
      <c r="W49" s="133">
        <v>42549</v>
      </c>
      <c r="X49" s="10">
        <v>51.96</v>
      </c>
      <c r="Y49" s="10">
        <v>53.43</v>
      </c>
      <c r="Z49" s="10">
        <v>51.88</v>
      </c>
      <c r="AA49" s="10">
        <v>53.05</v>
      </c>
      <c r="AB49" s="95">
        <v>1965700</v>
      </c>
      <c r="AC49" s="10">
        <v>53.05</v>
      </c>
      <c r="AD49" s="2">
        <f t="shared" si="0"/>
        <v>1.5499999999999972</v>
      </c>
      <c r="AE49" s="138">
        <f t="shared" si="1"/>
        <v>3.6942924159499624E-2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56.055</v>
      </c>
      <c r="Q50" s="2"/>
      <c r="T50" s="93"/>
      <c r="U50" s="130"/>
      <c r="W50" s="133">
        <v>42548</v>
      </c>
      <c r="X50" s="10">
        <v>52.7</v>
      </c>
      <c r="Y50" s="10">
        <v>52.88</v>
      </c>
      <c r="Z50" s="10">
        <v>50.91</v>
      </c>
      <c r="AA50" s="10">
        <v>51.16</v>
      </c>
      <c r="AB50" s="95">
        <v>2436900</v>
      </c>
      <c r="AC50" s="10">
        <v>51.16</v>
      </c>
      <c r="AD50" s="2">
        <f t="shared" si="0"/>
        <v>1.970000000000006</v>
      </c>
      <c r="AE50" s="138">
        <f t="shared" si="1"/>
        <v>-4.1049671977507085E-2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55.5</v>
      </c>
      <c r="Q51" s="2"/>
      <c r="T51" s="93" t="s">
        <v>105</v>
      </c>
      <c r="U51" s="130" t="s">
        <v>516</v>
      </c>
      <c r="W51" s="133">
        <v>42545</v>
      </c>
      <c r="X51" s="10">
        <v>54.96</v>
      </c>
      <c r="Y51" s="10">
        <v>55.74</v>
      </c>
      <c r="Z51" s="10">
        <v>53.17</v>
      </c>
      <c r="AA51" s="10">
        <v>53.35</v>
      </c>
      <c r="AB51" s="95">
        <v>3494500</v>
      </c>
      <c r="AC51" s="10">
        <v>53.35</v>
      </c>
      <c r="AD51" s="2">
        <f t="shared" si="0"/>
        <v>2.5700000000000003</v>
      </c>
      <c r="AE51" s="138">
        <f t="shared" si="1"/>
        <v>-6.681826132587021E-2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54.945</v>
      </c>
      <c r="Q52" s="2"/>
      <c r="T52" s="93" t="s">
        <v>106</v>
      </c>
      <c r="U52" s="130" t="s">
        <v>335</v>
      </c>
      <c r="W52" s="133">
        <v>42544</v>
      </c>
      <c r="X52" s="10">
        <v>55.24</v>
      </c>
      <c r="Y52" s="10">
        <v>57.17</v>
      </c>
      <c r="Z52" s="10">
        <v>55.13</v>
      </c>
      <c r="AA52" s="10">
        <v>57.17</v>
      </c>
      <c r="AB52" s="95">
        <v>2517300</v>
      </c>
      <c r="AC52" s="10">
        <v>57.17</v>
      </c>
      <c r="AD52" s="2">
        <f t="shared" si="0"/>
        <v>2.0399999999999991</v>
      </c>
      <c r="AE52" s="138">
        <f t="shared" si="1"/>
        <v>4.5155393053016413E-2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54.39</v>
      </c>
      <c r="Q53" s="2"/>
      <c r="T53" s="93" t="s">
        <v>107</v>
      </c>
      <c r="U53" s="131">
        <v>1149828</v>
      </c>
      <c r="W53" s="133">
        <v>42543</v>
      </c>
      <c r="X53" s="10">
        <v>54.66</v>
      </c>
      <c r="Y53" s="10">
        <v>55.24</v>
      </c>
      <c r="Z53" s="10">
        <v>54.57</v>
      </c>
      <c r="AA53" s="10">
        <v>54.7</v>
      </c>
      <c r="AB53" s="95">
        <v>1495900</v>
      </c>
      <c r="AC53" s="10">
        <v>54.7</v>
      </c>
      <c r="AD53" s="2">
        <f t="shared" si="0"/>
        <v>0.67000000000000171</v>
      </c>
      <c r="AE53" s="138">
        <f t="shared" si="1"/>
        <v>0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53.835000000000001</v>
      </c>
      <c r="T54" s="93" t="s">
        <v>110</v>
      </c>
      <c r="U54" s="131">
        <v>2031640</v>
      </c>
      <c r="W54" s="133">
        <v>42542</v>
      </c>
      <c r="X54" s="10">
        <v>54.42</v>
      </c>
      <c r="Y54" s="10">
        <v>54.74</v>
      </c>
      <c r="Z54" s="10">
        <v>54.14</v>
      </c>
      <c r="AA54" s="10">
        <v>54.7</v>
      </c>
      <c r="AB54" s="95">
        <v>1132200</v>
      </c>
      <c r="AC54" s="10">
        <v>54.7</v>
      </c>
      <c r="AD54" s="2">
        <f t="shared" si="0"/>
        <v>0.60000000000000142</v>
      </c>
      <c r="AE54" s="138">
        <f t="shared" si="1"/>
        <v>1.0343553749538215E-2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53.28</v>
      </c>
      <c r="T55" s="93" t="s">
        <v>108</v>
      </c>
      <c r="U55" s="130" t="s">
        <v>517</v>
      </c>
      <c r="W55" s="133">
        <v>42541</v>
      </c>
      <c r="X55" s="10">
        <v>54.04</v>
      </c>
      <c r="Y55" s="10">
        <v>54.82</v>
      </c>
      <c r="Z55" s="10">
        <v>53.5</v>
      </c>
      <c r="AA55" s="10">
        <v>54.14</v>
      </c>
      <c r="AB55" s="95">
        <v>1806900</v>
      </c>
      <c r="AC55" s="10">
        <v>54.14</v>
      </c>
      <c r="AD55" s="2">
        <f t="shared" si="0"/>
        <v>1.3200000000000003</v>
      </c>
      <c r="AE55" s="138">
        <f t="shared" si="1"/>
        <v>1.786050009400264E-2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52.724999999999994</v>
      </c>
      <c r="T56" s="93" t="s">
        <v>111</v>
      </c>
      <c r="U56" s="130">
        <v>30.37</v>
      </c>
      <c r="W56" s="133">
        <v>42538</v>
      </c>
      <c r="X56" s="10">
        <v>53.73</v>
      </c>
      <c r="Y56" s="10">
        <v>53.99</v>
      </c>
      <c r="Z56" s="10">
        <v>53.16</v>
      </c>
      <c r="AA56" s="10">
        <v>53.19</v>
      </c>
      <c r="AB56" s="95">
        <v>2330300</v>
      </c>
      <c r="AC56" s="10">
        <v>53.19</v>
      </c>
      <c r="AD56" s="2">
        <f t="shared" si="0"/>
        <v>0.8300000000000054</v>
      </c>
      <c r="AE56" s="138">
        <f t="shared" si="1"/>
        <v>-9.6816235337926493E-3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52.169999999999995</v>
      </c>
      <c r="T57" s="93" t="s">
        <v>112</v>
      </c>
      <c r="U57" s="130">
        <v>1.82</v>
      </c>
      <c r="W57" s="133">
        <v>42537</v>
      </c>
      <c r="X57" s="10">
        <v>52.8</v>
      </c>
      <c r="Y57" s="10">
        <v>53.81</v>
      </c>
      <c r="Z57" s="10">
        <v>52.35</v>
      </c>
      <c r="AA57" s="10">
        <v>53.71</v>
      </c>
      <c r="AB57" s="95">
        <v>1281200</v>
      </c>
      <c r="AC57" s="10">
        <v>53.71</v>
      </c>
      <c r="AD57" s="2">
        <f t="shared" si="0"/>
        <v>1.4600000000000009</v>
      </c>
      <c r="AE57" s="138">
        <f t="shared" si="1"/>
        <v>8.2598085226206486E-3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51.615000000000002</v>
      </c>
      <c r="T58" s="93" t="s">
        <v>109</v>
      </c>
      <c r="U58" s="130" t="s">
        <v>124</v>
      </c>
      <c r="W58" s="133">
        <v>42536</v>
      </c>
      <c r="X58" s="10">
        <v>52.66</v>
      </c>
      <c r="Y58" s="10">
        <v>54.06</v>
      </c>
      <c r="Z58" s="10">
        <v>52.66</v>
      </c>
      <c r="AA58" s="10">
        <v>53.27</v>
      </c>
      <c r="AB58" s="95">
        <v>1471600</v>
      </c>
      <c r="AC58" s="10">
        <v>53.27</v>
      </c>
      <c r="AD58" s="2">
        <f t="shared" si="0"/>
        <v>1.4000000000000057</v>
      </c>
      <c r="AE58" s="138">
        <f t="shared" si="1"/>
        <v>1.1583744777820204E-2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51.06</v>
      </c>
      <c r="W59" s="133">
        <v>42535</v>
      </c>
      <c r="X59" s="10">
        <v>52.09</v>
      </c>
      <c r="Y59" s="10">
        <v>52.69</v>
      </c>
      <c r="Z59" s="10">
        <v>51.97</v>
      </c>
      <c r="AA59" s="10">
        <v>52.66</v>
      </c>
      <c r="AB59" s="95">
        <v>1185000</v>
      </c>
      <c r="AC59" s="10">
        <v>52.66</v>
      </c>
      <c r="AD59" s="2">
        <f t="shared" si="0"/>
        <v>0.71999999999999886</v>
      </c>
      <c r="AE59" s="138">
        <f t="shared" si="1"/>
        <v>8.6190384983719781E-3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50.505000000000003</v>
      </c>
      <c r="W60" s="133">
        <v>42534</v>
      </c>
      <c r="X60" s="10">
        <v>52.47</v>
      </c>
      <c r="Y60" s="10">
        <v>53.16</v>
      </c>
      <c r="Z60" s="10">
        <v>52.18</v>
      </c>
      <c r="AA60" s="10">
        <v>52.21</v>
      </c>
      <c r="AB60" s="95">
        <v>1245500</v>
      </c>
      <c r="AC60" s="10">
        <v>52.21</v>
      </c>
      <c r="AD60" s="2">
        <f t="shared" si="0"/>
        <v>0.97999999999999687</v>
      </c>
      <c r="AE60" s="138">
        <f t="shared" si="1"/>
        <v>-9.8615588848851576E-3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49.95</v>
      </c>
      <c r="W61" s="133">
        <v>42531</v>
      </c>
      <c r="X61" s="10">
        <v>54.65</v>
      </c>
      <c r="Y61" s="10">
        <v>55.24</v>
      </c>
      <c r="Z61" s="10">
        <v>52.67</v>
      </c>
      <c r="AA61" s="10">
        <v>52.73</v>
      </c>
      <c r="AB61" s="95">
        <v>1434100</v>
      </c>
      <c r="AC61" s="10">
        <v>52.73</v>
      </c>
      <c r="AD61" s="2">
        <f t="shared" si="0"/>
        <v>2.5700000000000003</v>
      </c>
      <c r="AE61" s="138">
        <f t="shared" si="1"/>
        <v>-4.8881673881673859E-2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42530</v>
      </c>
      <c r="X62" s="10">
        <v>54.63</v>
      </c>
      <c r="Y62" s="10">
        <v>55.5</v>
      </c>
      <c r="Z62" s="10">
        <v>54.16</v>
      </c>
      <c r="AA62" s="10">
        <v>55.44</v>
      </c>
      <c r="AB62" s="95">
        <v>1424100</v>
      </c>
      <c r="AC62" s="10">
        <v>55.44</v>
      </c>
      <c r="AD62" s="2">
        <f t="shared" si="0"/>
        <v>1.3400000000000034</v>
      </c>
      <c r="AE62" s="138">
        <f t="shared" si="1"/>
        <v>9.4683175528040842E-3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42529</v>
      </c>
      <c r="X63" s="10">
        <v>54.99</v>
      </c>
      <c r="Y63" s="10">
        <v>55.4</v>
      </c>
      <c r="Z63" s="10">
        <v>54.81</v>
      </c>
      <c r="AA63" s="10">
        <v>54.92</v>
      </c>
      <c r="AB63" s="95">
        <v>1237400</v>
      </c>
      <c r="AC63" s="10">
        <v>54.92</v>
      </c>
      <c r="AD63" s="2">
        <f t="shared" si="0"/>
        <v>0.58999999999999631</v>
      </c>
      <c r="AE63" s="138">
        <f t="shared" si="1"/>
        <v>1.2762078395625043E-3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42528</v>
      </c>
      <c r="X64" s="10">
        <v>54.5</v>
      </c>
      <c r="Y64" s="10">
        <v>54.89</v>
      </c>
      <c r="Z64" s="10">
        <v>53.92</v>
      </c>
      <c r="AA64" s="10">
        <v>54.85</v>
      </c>
      <c r="AB64" s="95">
        <v>1238200</v>
      </c>
      <c r="AC64" s="10">
        <v>54.85</v>
      </c>
      <c r="AD64" s="2">
        <f t="shared" si="0"/>
        <v>0.96999999999999886</v>
      </c>
      <c r="AE64" s="138">
        <f t="shared" si="1"/>
        <v>5.8683293599852693E-3</v>
      </c>
    </row>
    <row r="65" spans="1:31" ht="15.75" thickBot="1" x14ac:dyDescent="0.3">
      <c r="A65" s="488" t="s">
        <v>204</v>
      </c>
      <c r="B65" s="489"/>
      <c r="C65" s="490">
        <f>SumByColor($A$19,C48:C63)</f>
        <v>0</v>
      </c>
      <c r="D65" s="490"/>
      <c r="E65" s="490"/>
      <c r="F65" s="491">
        <f>SumByColor($A$19,F48:F63)</f>
        <v>0</v>
      </c>
      <c r="G65" s="490"/>
      <c r="H65" s="490">
        <f>SumByColor($A$19,H48:H63)</f>
        <v>0</v>
      </c>
      <c r="I65" s="490"/>
      <c r="J65" s="490"/>
      <c r="K65" s="491">
        <f>SumByColor($A$19,K48:K63)</f>
        <v>0</v>
      </c>
      <c r="L65" s="490"/>
      <c r="M65" s="491">
        <f t="shared" ref="M65" si="31">SumByColor($A$19,M48:M63)</f>
        <v>0</v>
      </c>
      <c r="W65" s="133">
        <v>42527</v>
      </c>
      <c r="X65" s="10">
        <v>53.77</v>
      </c>
      <c r="Y65" s="10">
        <v>54.73</v>
      </c>
      <c r="Z65" s="10">
        <v>53.17</v>
      </c>
      <c r="AA65" s="10">
        <v>54.53</v>
      </c>
      <c r="AB65" s="95">
        <v>909300</v>
      </c>
      <c r="AC65" s="10">
        <v>54.53</v>
      </c>
      <c r="AD65" s="2">
        <f t="shared" si="0"/>
        <v>1.5599999999999952</v>
      </c>
      <c r="AE65" s="138">
        <f t="shared" si="1"/>
        <v>1.8300653594771399E-2</v>
      </c>
    </row>
    <row r="66" spans="1:31" x14ac:dyDescent="0.25">
      <c r="W66" s="133">
        <v>42524</v>
      </c>
      <c r="X66" s="10">
        <v>54.46</v>
      </c>
      <c r="Y66" s="10">
        <v>54.58</v>
      </c>
      <c r="Z66" s="10">
        <v>52.99</v>
      </c>
      <c r="AA66" s="10">
        <v>53.55</v>
      </c>
      <c r="AB66" s="95">
        <v>1280200</v>
      </c>
      <c r="AC66" s="10">
        <v>53.55</v>
      </c>
      <c r="AD66" s="2">
        <f t="shared" si="0"/>
        <v>1.5899999999999963</v>
      </c>
      <c r="AE66" s="138">
        <f t="shared" si="1"/>
        <v>-2.4590163934426257E-2</v>
      </c>
    </row>
    <row r="67" spans="1:31" x14ac:dyDescent="0.25">
      <c r="W67" s="133">
        <v>42523</v>
      </c>
      <c r="X67" s="10">
        <v>54.1</v>
      </c>
      <c r="Y67" s="10">
        <v>54.97</v>
      </c>
      <c r="Z67" s="10">
        <v>54.1</v>
      </c>
      <c r="AA67" s="10">
        <v>54.9</v>
      </c>
      <c r="AB67" s="95">
        <v>707400</v>
      </c>
      <c r="AC67" s="10">
        <v>54.9</v>
      </c>
      <c r="AD67" s="2">
        <f>Y67-Z67</f>
        <v>0.86999999999999744</v>
      </c>
      <c r="AE67" s="138" t="e">
        <f>AC67/#REF!-1</f>
        <v>#REF!</v>
      </c>
    </row>
    <row r="68" spans="1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620" priority="11">
      <formula>F34&gt;0</formula>
    </cfRule>
    <cfRule type="expression" dxfId="619" priority="12">
      <formula>F34&lt;0</formula>
    </cfRule>
  </conditionalFormatting>
  <conditionalFormatting sqref="Q7">
    <cfRule type="expression" dxfId="618" priority="9">
      <formula>Q7&gt;0</formula>
    </cfRule>
    <cfRule type="expression" dxfId="617" priority="10">
      <formula>Q7&lt;0</formula>
    </cfRule>
  </conditionalFormatting>
  <conditionalFormatting sqref="Q8">
    <cfRule type="expression" dxfId="616" priority="7">
      <formula>Q8&gt;0</formula>
    </cfRule>
    <cfRule type="expression" dxfId="615" priority="8">
      <formula>Q8&lt;0</formula>
    </cfRule>
  </conditionalFormatting>
  <conditionalFormatting sqref="F25:F33">
    <cfRule type="expression" dxfId="614" priority="5">
      <formula>F25&gt;0</formula>
    </cfRule>
    <cfRule type="expression" dxfId="613" priority="6">
      <formula>F25&lt;0</formula>
    </cfRule>
  </conditionalFormatting>
  <conditionalFormatting sqref="H25:H33">
    <cfRule type="expression" dxfId="612" priority="3">
      <formula>H25&gt;0</formula>
    </cfRule>
    <cfRule type="expression" dxfId="611" priority="4">
      <formula>H25&lt;0</formula>
    </cfRule>
  </conditionalFormatting>
  <conditionalFormatting sqref="M46">
    <cfRule type="expression" dxfId="610" priority="1">
      <formula>M46&gt;0</formula>
    </cfRule>
    <cfRule type="expression" dxfId="609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358"/>
  <sheetViews>
    <sheetView topLeftCell="O1" zoomScaleNormal="100" workbookViewId="0">
      <pane ySplit="1" topLeftCell="A2" activePane="bottomLeft" state="frozen"/>
      <selection pane="bottomLeft" activeCell="W2" sqref="W2"/>
    </sheetView>
  </sheetViews>
  <sheetFormatPr defaultRowHeight="15" x14ac:dyDescent="0.25"/>
  <cols>
    <col min="1" max="1" width="9.5703125" bestFit="1" customWidth="1"/>
    <col min="2" max="2" width="10.7109375" style="30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5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17.8554687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41" x14ac:dyDescent="0.25">
      <c r="A2" s="6" t="s">
        <v>50</v>
      </c>
      <c r="B2" s="536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75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C185-H185</f>
        <v>7678</v>
      </c>
      <c r="T2" s="42">
        <v>42620</v>
      </c>
      <c r="U2" s="34" t="s">
        <v>371</v>
      </c>
      <c r="W2" s="133">
        <v>42614</v>
      </c>
      <c r="X2" s="10">
        <v>14.96</v>
      </c>
      <c r="Y2" s="10">
        <v>15.26</v>
      </c>
      <c r="Z2" s="10">
        <v>14.82</v>
      </c>
      <c r="AA2" s="10">
        <v>15.11</v>
      </c>
      <c r="AB2" s="95">
        <v>14846800</v>
      </c>
      <c r="AC2" s="10">
        <v>15.11</v>
      </c>
      <c r="AE2" s="138">
        <f t="shared" ref="AE2:AE14" si="0">AC2/AC3-1</f>
        <v>5.9920106524633532E-3</v>
      </c>
    </row>
    <row r="3" spans="1:41" x14ac:dyDescent="0.25">
      <c r="A3" s="23" t="s">
        <v>71</v>
      </c>
      <c r="B3" s="536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75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230">
        <f>IF(Q2=0, Q4, (F185-K185-M185)/Q2)</f>
        <v>16.528087913518966</v>
      </c>
      <c r="W3" s="133">
        <v>42613</v>
      </c>
      <c r="X3" s="10">
        <v>15.4</v>
      </c>
      <c r="Y3" s="10">
        <v>15.51</v>
      </c>
      <c r="Z3" s="10">
        <v>14.92</v>
      </c>
      <c r="AA3" s="10">
        <v>15.02</v>
      </c>
      <c r="AB3" s="95">
        <v>17317200</v>
      </c>
      <c r="AC3" s="10">
        <v>15.02</v>
      </c>
      <c r="AE3" s="138">
        <f t="shared" si="0"/>
        <v>-3.4083601286173715E-2</v>
      </c>
      <c r="AL3" s="234"/>
      <c r="AO3" s="234"/>
    </row>
    <row r="4" spans="1:41" x14ac:dyDescent="0.25">
      <c r="B4" s="536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75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15.64</v>
      </c>
      <c r="W4" s="133">
        <v>42612</v>
      </c>
      <c r="X4" s="10">
        <v>15.99</v>
      </c>
      <c r="Y4" s="10">
        <v>16.16</v>
      </c>
      <c r="Z4" s="10">
        <v>15.42</v>
      </c>
      <c r="AA4" s="10">
        <v>15.55</v>
      </c>
      <c r="AB4" s="95">
        <v>15529300</v>
      </c>
      <c r="AC4" s="10">
        <v>15.55</v>
      </c>
      <c r="AE4" s="138">
        <f t="shared" si="0"/>
        <v>-2.7517198248905528E-2</v>
      </c>
      <c r="AJ4" s="235"/>
      <c r="AL4" s="234"/>
      <c r="AO4" s="234"/>
    </row>
    <row r="5" spans="1:41" x14ac:dyDescent="0.25">
      <c r="B5" s="548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75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t="s">
        <v>341</v>
      </c>
      <c r="O5" s="11" t="s">
        <v>67</v>
      </c>
      <c r="Q5" s="3">
        <f>Q4*Q2</f>
        <v>120083.92</v>
      </c>
      <c r="T5" s="67"/>
      <c r="W5" s="133">
        <v>42611</v>
      </c>
      <c r="X5" s="10">
        <v>15.84</v>
      </c>
      <c r="Y5" s="10">
        <v>16.079999999999998</v>
      </c>
      <c r="Z5" s="10">
        <v>15.73</v>
      </c>
      <c r="AA5" s="10">
        <v>15.99</v>
      </c>
      <c r="AB5" s="95">
        <v>9884400</v>
      </c>
      <c r="AC5" s="10">
        <v>15.99</v>
      </c>
      <c r="AE5" s="138">
        <f t="shared" si="0"/>
        <v>2.5078369905957576E-3</v>
      </c>
    </row>
    <row r="6" spans="1:41" x14ac:dyDescent="0.25">
      <c r="B6" s="548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75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L6" t="s">
        <v>342</v>
      </c>
      <c r="O6" s="11" t="s">
        <v>64</v>
      </c>
      <c r="Q6" s="2">
        <f>Q3*Q2</f>
        <v>126902.65899999862</v>
      </c>
      <c r="W6" s="133">
        <v>42608</v>
      </c>
      <c r="X6" s="10">
        <v>16.07</v>
      </c>
      <c r="Y6" s="10">
        <v>16.32</v>
      </c>
      <c r="Z6" s="10">
        <v>15.75</v>
      </c>
      <c r="AA6" s="10">
        <v>15.95</v>
      </c>
      <c r="AB6" s="95">
        <v>15538800</v>
      </c>
      <c r="AC6" s="10">
        <v>15.95</v>
      </c>
      <c r="AE6" s="138">
        <f t="shared" si="0"/>
        <v>-3.7476577139289313E-3</v>
      </c>
    </row>
    <row r="7" spans="1:41" x14ac:dyDescent="0.25">
      <c r="B7" s="548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549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187</v>
      </c>
      <c r="Q7" s="2">
        <f>Q10+Q8</f>
        <v>-6818.7389999985899</v>
      </c>
      <c r="R7">
        <v>2000</v>
      </c>
      <c r="U7" s="184"/>
      <c r="W7" s="133">
        <v>42607</v>
      </c>
      <c r="X7" s="10">
        <v>16.02</v>
      </c>
      <c r="Y7" s="10">
        <v>16.28</v>
      </c>
      <c r="Z7" s="10">
        <v>15.91</v>
      </c>
      <c r="AA7" s="10">
        <v>16.010000000000002</v>
      </c>
      <c r="AB7" s="95">
        <v>11531900</v>
      </c>
      <c r="AC7" s="10">
        <v>16.010000000000002</v>
      </c>
      <c r="AE7" s="138">
        <f t="shared" si="0"/>
        <v>-3.1133250311330407E-3</v>
      </c>
    </row>
    <row r="8" spans="1:41" x14ac:dyDescent="0.25">
      <c r="B8" s="548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549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190</v>
      </c>
      <c r="P8" s="34"/>
      <c r="Q8" s="2">
        <f>K185+M185-F185+Q2*Q4</f>
        <v>-6818.7389999985899</v>
      </c>
      <c r="W8" s="133">
        <v>42606</v>
      </c>
      <c r="X8" s="10">
        <v>16.34</v>
      </c>
      <c r="Y8" s="10">
        <v>16.53</v>
      </c>
      <c r="Z8" s="10">
        <v>15.97</v>
      </c>
      <c r="AA8" s="10">
        <v>16.059999999999999</v>
      </c>
      <c r="AB8" s="95">
        <v>16495700</v>
      </c>
      <c r="AC8" s="10">
        <v>16.059999999999999</v>
      </c>
      <c r="AE8" s="138">
        <f t="shared" si="0"/>
        <v>-2.251978088861839E-2</v>
      </c>
    </row>
    <row r="9" spans="1:41" x14ac:dyDescent="0.25">
      <c r="B9" s="548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75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224</v>
      </c>
      <c r="Q9" s="138">
        <f>IF(Q2=0, 0, Q8/Q6)</f>
        <v>-5.3732041973987829E-2</v>
      </c>
      <c r="W9" s="133">
        <v>42605</v>
      </c>
      <c r="X9" s="10">
        <v>15.73</v>
      </c>
      <c r="Y9" s="10">
        <v>16.55</v>
      </c>
      <c r="Z9" s="10">
        <v>15.67</v>
      </c>
      <c r="AA9" s="10">
        <v>16.43</v>
      </c>
      <c r="AB9" s="95">
        <v>29790900</v>
      </c>
      <c r="AC9" s="10">
        <v>16.43</v>
      </c>
      <c r="AE9" s="138">
        <f t="shared" si="0"/>
        <v>5.0511508951406547E-2</v>
      </c>
    </row>
    <row r="10" spans="1:41" ht="15" customHeight="1" x14ac:dyDescent="0.25">
      <c r="B10" s="536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550" t="s">
        <v>143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223</v>
      </c>
      <c r="P10" s="34"/>
      <c r="Q10" s="2">
        <f>M30</f>
        <v>0</v>
      </c>
      <c r="W10" s="133">
        <v>42604</v>
      </c>
      <c r="X10" s="10">
        <v>16.2</v>
      </c>
      <c r="Y10" s="10">
        <v>16.25</v>
      </c>
      <c r="Z10" s="10">
        <v>15.45</v>
      </c>
      <c r="AA10" s="10">
        <v>15.64</v>
      </c>
      <c r="AB10" s="95">
        <v>26338000</v>
      </c>
      <c r="AC10" s="10">
        <v>15.64</v>
      </c>
      <c r="AE10" s="138">
        <f t="shared" si="0"/>
        <v>-6.9047619047619024E-2</v>
      </c>
    </row>
    <row r="11" spans="1:41" x14ac:dyDescent="0.25">
      <c r="B11" s="536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550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184</v>
      </c>
      <c r="P11" s="34"/>
      <c r="Q11" s="138">
        <f>VALUE(TRIM(CLEAN(MID(U58, FIND("(", U58)+1, 5))))</f>
        <v>1.29E-2</v>
      </c>
      <c r="W11" s="133">
        <v>42601</v>
      </c>
      <c r="X11" s="10">
        <v>16.52</v>
      </c>
      <c r="Y11" s="10">
        <v>16.850000000000001</v>
      </c>
      <c r="Z11" s="10">
        <v>16.48</v>
      </c>
      <c r="AA11" s="10">
        <v>16.8</v>
      </c>
      <c r="AB11" s="95">
        <v>16932800</v>
      </c>
      <c r="AC11" s="10">
        <v>16.8</v>
      </c>
      <c r="AE11" s="138">
        <f t="shared" si="0"/>
        <v>7.194244604316502E-3</v>
      </c>
    </row>
    <row r="12" spans="1:41" x14ac:dyDescent="0.25">
      <c r="B12" s="536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550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42600</v>
      </c>
      <c r="X12" s="10">
        <v>15.87</v>
      </c>
      <c r="Y12" s="10">
        <v>16.73</v>
      </c>
      <c r="Z12" s="10">
        <v>15.8</v>
      </c>
      <c r="AA12" s="10">
        <v>16.68</v>
      </c>
      <c r="AB12" s="95">
        <v>26906000</v>
      </c>
      <c r="AC12" s="10">
        <v>16.68</v>
      </c>
      <c r="AE12" s="138">
        <f t="shared" si="0"/>
        <v>6.2420382165605082E-2</v>
      </c>
    </row>
    <row r="13" spans="1:41" x14ac:dyDescent="0.25">
      <c r="B13" s="536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550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42599</v>
      </c>
      <c r="X13" s="10">
        <v>15.07</v>
      </c>
      <c r="Y13" s="10">
        <v>15.75</v>
      </c>
      <c r="Z13" s="10">
        <v>14.93</v>
      </c>
      <c r="AA13" s="10">
        <v>15.7</v>
      </c>
      <c r="AB13" s="95">
        <v>20862600</v>
      </c>
      <c r="AC13" s="10">
        <v>15.7</v>
      </c>
      <c r="AE13" s="138">
        <f t="shared" si="0"/>
        <v>3.4937376400790976E-2</v>
      </c>
    </row>
    <row r="14" spans="1:41" x14ac:dyDescent="0.25">
      <c r="B14" s="536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550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42598</v>
      </c>
      <c r="X14" s="10">
        <v>15.12</v>
      </c>
      <c r="Y14" s="10">
        <v>15.25</v>
      </c>
      <c r="Z14" s="10">
        <v>14.71</v>
      </c>
      <c r="AA14" s="10">
        <v>15.17</v>
      </c>
      <c r="AB14" s="95">
        <v>18354900</v>
      </c>
      <c r="AC14" s="10">
        <v>15.17</v>
      </c>
      <c r="AE14" s="138">
        <f t="shared" si="0"/>
        <v>1.8120805369127524E-2</v>
      </c>
    </row>
    <row r="15" spans="1:41" x14ac:dyDescent="0.25">
      <c r="B15" s="536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550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42597</v>
      </c>
      <c r="X15" s="10">
        <v>14.94</v>
      </c>
      <c r="Y15" s="10">
        <v>15.06</v>
      </c>
      <c r="Z15" s="10">
        <v>14.78</v>
      </c>
      <c r="AA15" s="10">
        <v>14.9</v>
      </c>
      <c r="AB15" s="95">
        <v>12045700</v>
      </c>
      <c r="AC15" s="10">
        <v>14.9</v>
      </c>
      <c r="AE15" s="138" t="e">
        <f>AC15/AC16-1</f>
        <v>#DIV/0!</v>
      </c>
    </row>
    <row r="16" spans="1:41" x14ac:dyDescent="0.25">
      <c r="B16" s="536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550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42597</v>
      </c>
      <c r="X16" s="10" t="s">
        <v>160</v>
      </c>
      <c r="Y16" s="10"/>
      <c r="Z16" s="10"/>
      <c r="AA16" s="10"/>
      <c r="AB16" s="95"/>
      <c r="AC16" s="10"/>
      <c r="AE16" s="138">
        <f t="shared" ref="AE16:AE67" si="4">AC16/AC17-1</f>
        <v>-1</v>
      </c>
    </row>
    <row r="17" spans="1:31" x14ac:dyDescent="0.25">
      <c r="A17" s="2"/>
      <c r="B17" s="536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550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42594</v>
      </c>
      <c r="X17" s="10">
        <v>14.6</v>
      </c>
      <c r="Y17" s="10">
        <v>14.92</v>
      </c>
      <c r="Z17" s="10">
        <v>14.55</v>
      </c>
      <c r="AA17" s="10">
        <v>14.72</v>
      </c>
      <c r="AB17" s="95">
        <v>13455700</v>
      </c>
      <c r="AC17" s="10">
        <v>14.67</v>
      </c>
      <c r="AE17" s="138">
        <f t="shared" si="4"/>
        <v>1.8750000000000044E-2</v>
      </c>
    </row>
    <row r="18" spans="1:31" x14ac:dyDescent="0.25">
      <c r="B18" s="536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75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42593</v>
      </c>
      <c r="X18" s="10">
        <v>14.15</v>
      </c>
      <c r="Y18" s="10">
        <v>14.63</v>
      </c>
      <c r="Z18" s="10">
        <v>14.01</v>
      </c>
      <c r="AA18" s="10">
        <v>14.45</v>
      </c>
      <c r="AB18" s="95">
        <v>13615900</v>
      </c>
      <c r="AC18" s="10">
        <v>14.4</v>
      </c>
      <c r="AE18" s="138">
        <f t="shared" si="4"/>
        <v>3.3740129217516124E-2</v>
      </c>
    </row>
    <row r="19" spans="1:31" x14ac:dyDescent="0.25">
      <c r="A19" s="2"/>
      <c r="B19" s="536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75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42592</v>
      </c>
      <c r="X19" s="10">
        <v>14.48</v>
      </c>
      <c r="Y19" s="10">
        <v>14.59</v>
      </c>
      <c r="Z19" s="10">
        <v>13.95</v>
      </c>
      <c r="AA19" s="10">
        <v>13.98</v>
      </c>
      <c r="AB19" s="95">
        <v>13540000</v>
      </c>
      <c r="AC19" s="10">
        <v>13.93</v>
      </c>
      <c r="AE19" s="138">
        <f t="shared" si="4"/>
        <v>-3.0619345859429381E-2</v>
      </c>
    </row>
    <row r="20" spans="1:31" x14ac:dyDescent="0.25">
      <c r="B20" s="536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75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42591</v>
      </c>
      <c r="X20" s="10">
        <v>14.35</v>
      </c>
      <c r="Y20" s="10">
        <v>14.52</v>
      </c>
      <c r="Z20" s="10">
        <v>14.22</v>
      </c>
      <c r="AA20" s="10">
        <v>14.42</v>
      </c>
      <c r="AB20" s="95">
        <v>15450800</v>
      </c>
      <c r="AC20" s="10">
        <v>14.37</v>
      </c>
      <c r="AE20" s="138">
        <f t="shared" si="4"/>
        <v>1.1971830985915588E-2</v>
      </c>
    </row>
    <row r="21" spans="1:31" x14ac:dyDescent="0.25">
      <c r="B21" s="536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75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42590</v>
      </c>
      <c r="X21" s="10">
        <v>14.1</v>
      </c>
      <c r="Y21" s="10">
        <v>14.68</v>
      </c>
      <c r="Z21" s="10">
        <v>14.1</v>
      </c>
      <c r="AA21" s="10">
        <v>14.25</v>
      </c>
      <c r="AB21" s="95">
        <v>18392000</v>
      </c>
      <c r="AC21" s="10">
        <v>14.2</v>
      </c>
      <c r="AE21" s="138">
        <f t="shared" si="4"/>
        <v>2.7496382054992718E-2</v>
      </c>
    </row>
    <row r="22" spans="1:31" x14ac:dyDescent="0.25">
      <c r="B22" s="536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75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42587</v>
      </c>
      <c r="X22" s="10">
        <v>13.47</v>
      </c>
      <c r="Y22" s="10">
        <v>13.94</v>
      </c>
      <c r="Z22" s="10">
        <v>13.3</v>
      </c>
      <c r="AA22" s="10">
        <v>13.87</v>
      </c>
      <c r="AB22" s="95">
        <v>16909700</v>
      </c>
      <c r="AC22" s="10">
        <v>13.82</v>
      </c>
      <c r="AE22" s="138">
        <f t="shared" si="4"/>
        <v>3.4431137724550975E-2</v>
      </c>
    </row>
    <row r="23" spans="1:31" x14ac:dyDescent="0.25">
      <c r="B23" s="536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75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42586</v>
      </c>
      <c r="X23" s="10">
        <v>13.6</v>
      </c>
      <c r="Y23" s="10">
        <v>13.9</v>
      </c>
      <c r="Z23" s="10">
        <v>13.05</v>
      </c>
      <c r="AA23" s="10">
        <v>13.41</v>
      </c>
      <c r="AB23" s="95">
        <v>24445600</v>
      </c>
      <c r="AC23" s="10">
        <v>13.36</v>
      </c>
      <c r="AE23" s="138">
        <f t="shared" si="4"/>
        <v>-7.4794315632009667E-4</v>
      </c>
    </row>
    <row r="24" spans="1:31" x14ac:dyDescent="0.25">
      <c r="B24" s="536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75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42585</v>
      </c>
      <c r="X24" s="10">
        <v>12.97</v>
      </c>
      <c r="Y24" s="10">
        <v>13.42</v>
      </c>
      <c r="Z24" s="10">
        <v>12.67</v>
      </c>
      <c r="AA24" s="10">
        <v>13.42</v>
      </c>
      <c r="AB24" s="95">
        <v>17171100</v>
      </c>
      <c r="AC24" s="10">
        <v>13.37</v>
      </c>
      <c r="AE24" s="138">
        <f t="shared" si="4"/>
        <v>3.9657853810264321E-2</v>
      </c>
    </row>
    <row r="25" spans="1:31" x14ac:dyDescent="0.25">
      <c r="B25" s="536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75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42584</v>
      </c>
      <c r="X25" s="10">
        <v>13.12</v>
      </c>
      <c r="Y25" s="10">
        <v>13.23</v>
      </c>
      <c r="Z25" s="10">
        <v>12.47</v>
      </c>
      <c r="AA25" s="10">
        <v>12.9</v>
      </c>
      <c r="AB25" s="95">
        <v>17163600</v>
      </c>
      <c r="AC25" s="10">
        <v>12.86</v>
      </c>
      <c r="AE25" s="138">
        <f t="shared" si="4"/>
        <v>-1.5527950310559868E-3</v>
      </c>
    </row>
    <row r="26" spans="1:31" x14ac:dyDescent="0.25">
      <c r="B26" s="536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75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42583</v>
      </c>
      <c r="X26" s="10">
        <v>13.42</v>
      </c>
      <c r="Y26" s="10">
        <v>13.43</v>
      </c>
      <c r="Z26" s="10">
        <v>12.84</v>
      </c>
      <c r="AA26" s="10">
        <v>12.92</v>
      </c>
      <c r="AB26" s="95">
        <v>20926700</v>
      </c>
      <c r="AC26" s="10">
        <v>12.88</v>
      </c>
      <c r="AE26" s="138">
        <f t="shared" si="4"/>
        <v>-5.2244297277409757E-2</v>
      </c>
    </row>
    <row r="27" spans="1:31" x14ac:dyDescent="0.25">
      <c r="B27" s="536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75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42580</v>
      </c>
      <c r="X27" s="10">
        <v>13.21</v>
      </c>
      <c r="Y27" s="10">
        <v>13.74</v>
      </c>
      <c r="Z27" s="10">
        <v>13.11</v>
      </c>
      <c r="AA27" s="10">
        <v>13.64</v>
      </c>
      <c r="AB27" s="95">
        <v>13855600</v>
      </c>
      <c r="AC27" s="10">
        <v>13.59</v>
      </c>
      <c r="AE27" s="138">
        <f t="shared" si="4"/>
        <v>2.1804511278195493E-2</v>
      </c>
    </row>
    <row r="28" spans="1:31" x14ac:dyDescent="0.25">
      <c r="B28" s="536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75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42579</v>
      </c>
      <c r="X28" s="10">
        <v>13.19</v>
      </c>
      <c r="Y28" s="10">
        <v>13.45</v>
      </c>
      <c r="Z28" s="10">
        <v>13.08</v>
      </c>
      <c r="AA28" s="10">
        <v>13.35</v>
      </c>
      <c r="AB28" s="95">
        <v>16668900</v>
      </c>
      <c r="AC28" s="10">
        <v>13.3</v>
      </c>
      <c r="AE28" s="138">
        <f t="shared" si="4"/>
        <v>1.6042780748663166E-2</v>
      </c>
    </row>
    <row r="29" spans="1:31" x14ac:dyDescent="0.25">
      <c r="B29" s="536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75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42578</v>
      </c>
      <c r="X29" s="10">
        <v>13.89</v>
      </c>
      <c r="Y29" s="10">
        <v>14.09</v>
      </c>
      <c r="Z29" s="10">
        <v>13.06</v>
      </c>
      <c r="AA29" s="10">
        <v>13.13</v>
      </c>
      <c r="AB29" s="95">
        <v>22775700</v>
      </c>
      <c r="AC29" s="10">
        <v>13.09</v>
      </c>
      <c r="AE29" s="138">
        <f t="shared" si="4"/>
        <v>-4.661325564457397E-2</v>
      </c>
    </row>
    <row r="30" spans="1:31" x14ac:dyDescent="0.25">
      <c r="B30" s="536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75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42577</v>
      </c>
      <c r="X30" s="10">
        <v>13.49</v>
      </c>
      <c r="Y30" s="10">
        <v>13.83</v>
      </c>
      <c r="Z30" s="10">
        <v>13.41</v>
      </c>
      <c r="AA30" s="10">
        <v>13.78</v>
      </c>
      <c r="AB30" s="95">
        <v>14112600</v>
      </c>
      <c r="AC30" s="10">
        <v>13.73</v>
      </c>
      <c r="AE30" s="138">
        <f t="shared" si="4"/>
        <v>1.4781966001478297E-2</v>
      </c>
    </row>
    <row r="31" spans="1:31" x14ac:dyDescent="0.25">
      <c r="B31" s="536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75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42576</v>
      </c>
      <c r="X31" s="10">
        <v>13.94</v>
      </c>
      <c r="Y31" s="10">
        <v>14.06</v>
      </c>
      <c r="Z31" s="10">
        <v>13.5</v>
      </c>
      <c r="AA31" s="10">
        <v>13.58</v>
      </c>
      <c r="AB31" s="95">
        <v>17377400</v>
      </c>
      <c r="AC31" s="10">
        <v>13.53</v>
      </c>
      <c r="AE31" s="138">
        <f t="shared" si="4"/>
        <v>-3.7695590327169404E-2</v>
      </c>
    </row>
    <row r="32" spans="1:31" x14ac:dyDescent="0.25">
      <c r="B32" s="536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75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42573</v>
      </c>
      <c r="X32" s="10">
        <v>14.49</v>
      </c>
      <c r="Y32" s="10">
        <v>14.52</v>
      </c>
      <c r="Z32" s="10">
        <v>14.03</v>
      </c>
      <c r="AA32" s="10">
        <v>14.11</v>
      </c>
      <c r="AB32" s="95">
        <v>19805400</v>
      </c>
      <c r="AC32" s="10">
        <v>14.06</v>
      </c>
      <c r="AE32" s="138">
        <f t="shared" si="4"/>
        <v>-2.1572720946416046E-2</v>
      </c>
    </row>
    <row r="33" spans="2:31" x14ac:dyDescent="0.25">
      <c r="B33" s="536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30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42572</v>
      </c>
      <c r="X33" s="10">
        <v>14.8</v>
      </c>
      <c r="Y33" s="10">
        <v>15.08</v>
      </c>
      <c r="Z33" s="10">
        <v>14.37</v>
      </c>
      <c r="AA33" s="10">
        <v>14.42</v>
      </c>
      <c r="AB33" s="95">
        <v>18026500</v>
      </c>
      <c r="AC33" s="10">
        <v>14.37</v>
      </c>
      <c r="AE33" s="138">
        <f t="shared" si="4"/>
        <v>-2.8397565922920864E-2</v>
      </c>
    </row>
    <row r="34" spans="2:31" x14ac:dyDescent="0.25">
      <c r="B34" s="536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75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42571</v>
      </c>
      <c r="X34" s="10">
        <v>14.62</v>
      </c>
      <c r="Y34" s="10">
        <v>14.94</v>
      </c>
      <c r="Z34" s="10">
        <v>14.14</v>
      </c>
      <c r="AA34" s="10">
        <v>14.84</v>
      </c>
      <c r="AB34" s="95">
        <v>17544800</v>
      </c>
      <c r="AC34" s="10">
        <v>14.79</v>
      </c>
      <c r="AE34" s="138">
        <f t="shared" si="4"/>
        <v>6.1224489795919101E-3</v>
      </c>
    </row>
    <row r="35" spans="2:31" x14ac:dyDescent="0.25">
      <c r="B35" s="536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75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42570</v>
      </c>
      <c r="X35" s="10">
        <v>15.06</v>
      </c>
      <c r="Y35" s="10">
        <v>15.13</v>
      </c>
      <c r="Z35" s="10">
        <v>14.65</v>
      </c>
      <c r="AA35" s="10">
        <v>14.75</v>
      </c>
      <c r="AB35" s="95">
        <v>12830500</v>
      </c>
      <c r="AC35" s="10">
        <v>14.7</v>
      </c>
      <c r="AE35" s="138">
        <f t="shared" si="4"/>
        <v>-2.8420356906807775E-2</v>
      </c>
    </row>
    <row r="36" spans="2:31" x14ac:dyDescent="0.25">
      <c r="B36" s="536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75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42569</v>
      </c>
      <c r="X36" s="10">
        <v>15.04</v>
      </c>
      <c r="Y36" s="10">
        <v>15.21</v>
      </c>
      <c r="Z36" s="10">
        <v>14.73</v>
      </c>
      <c r="AA36" s="10">
        <v>15.18</v>
      </c>
      <c r="AB36" s="95">
        <v>14617600</v>
      </c>
      <c r="AC36" s="10">
        <v>15.13</v>
      </c>
      <c r="AE36" s="138">
        <f t="shared" si="4"/>
        <v>-1.9788918205804196E-3</v>
      </c>
    </row>
    <row r="37" spans="2:31" x14ac:dyDescent="0.25">
      <c r="B37" s="536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75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42566</v>
      </c>
      <c r="X37" s="10">
        <v>15.41</v>
      </c>
      <c r="Y37" s="10">
        <v>15.51</v>
      </c>
      <c r="Z37" s="10">
        <v>15.1</v>
      </c>
      <c r="AA37" s="10">
        <v>15.21</v>
      </c>
      <c r="AB37" s="95">
        <v>15297900</v>
      </c>
      <c r="AC37" s="10">
        <v>15.16</v>
      </c>
      <c r="AE37" s="138">
        <f t="shared" si="4"/>
        <v>-3.9421813403416328E-3</v>
      </c>
    </row>
    <row r="38" spans="2:31" x14ac:dyDescent="0.25">
      <c r="B38" s="536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75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42565</v>
      </c>
      <c r="X38" s="10">
        <v>15.55</v>
      </c>
      <c r="Y38" s="10">
        <v>15.76</v>
      </c>
      <c r="Z38" s="10">
        <v>15.21</v>
      </c>
      <c r="AA38" s="10">
        <v>15.27</v>
      </c>
      <c r="AB38" s="95">
        <v>12174900</v>
      </c>
      <c r="AC38" s="10">
        <v>15.22</v>
      </c>
      <c r="AE38" s="138">
        <f t="shared" si="4"/>
        <v>-1.312335958005173E-3</v>
      </c>
    </row>
    <row r="39" spans="2:31" x14ac:dyDescent="0.25">
      <c r="B39" s="536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75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42564</v>
      </c>
      <c r="X39" s="10">
        <v>15.44</v>
      </c>
      <c r="Y39" s="10">
        <v>15.74</v>
      </c>
      <c r="Z39" s="10">
        <v>15.13</v>
      </c>
      <c r="AA39" s="10">
        <v>15.29</v>
      </c>
      <c r="AB39" s="95">
        <v>22648400</v>
      </c>
      <c r="AC39" s="10">
        <v>15.24</v>
      </c>
      <c r="AE39" s="138">
        <f t="shared" si="4"/>
        <v>-1.9935691318327953E-2</v>
      </c>
    </row>
    <row r="40" spans="2:31" x14ac:dyDescent="0.25">
      <c r="B40" s="536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75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42563</v>
      </c>
      <c r="X40" s="10">
        <v>15.03</v>
      </c>
      <c r="Y40" s="10">
        <v>15.73</v>
      </c>
      <c r="Z40" s="10">
        <v>15.01</v>
      </c>
      <c r="AA40" s="10">
        <v>15.6</v>
      </c>
      <c r="AB40" s="95">
        <v>21959700</v>
      </c>
      <c r="AC40" s="10">
        <v>15.55</v>
      </c>
      <c r="AE40" s="138">
        <f t="shared" si="4"/>
        <v>6.2158469945355233E-2</v>
      </c>
    </row>
    <row r="41" spans="2:31" ht="20.25" thickBot="1" x14ac:dyDescent="0.35">
      <c r="B41" s="548">
        <v>42306</v>
      </c>
      <c r="C41" s="4">
        <v>660</v>
      </c>
      <c r="D41" s="240">
        <v>17.8</v>
      </c>
      <c r="E41" s="3">
        <v>0</v>
      </c>
      <c r="F41" s="3">
        <f t="shared" si="1"/>
        <v>11748</v>
      </c>
      <c r="G41" s="475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545" t="s">
        <v>78</v>
      </c>
      <c r="P41" s="545"/>
      <c r="W41" s="133">
        <v>42562</v>
      </c>
      <c r="X41" s="10">
        <v>15</v>
      </c>
      <c r="Y41" s="10">
        <v>15.14</v>
      </c>
      <c r="Z41" s="10">
        <v>14.66</v>
      </c>
      <c r="AA41" s="10">
        <v>14.69</v>
      </c>
      <c r="AB41" s="95">
        <v>12502900</v>
      </c>
      <c r="AC41" s="10">
        <v>14.64</v>
      </c>
      <c r="AE41" s="138">
        <f t="shared" si="4"/>
        <v>-1.5467383994619999E-2</v>
      </c>
    </row>
    <row r="42" spans="2:31" ht="21" thickTop="1" thickBot="1" x14ac:dyDescent="0.35">
      <c r="B42" s="548"/>
      <c r="C42" s="4">
        <v>340</v>
      </c>
      <c r="D42" s="240">
        <v>17.8</v>
      </c>
      <c r="E42" s="3">
        <v>0</v>
      </c>
      <c r="F42" s="3">
        <f t="shared" si="1"/>
        <v>6052</v>
      </c>
      <c r="G42" s="552" t="s">
        <v>191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19.0808</v>
      </c>
      <c r="T42" s="134" t="s">
        <v>92</v>
      </c>
      <c r="W42" s="133">
        <v>42559</v>
      </c>
      <c r="X42" s="10">
        <v>15.06</v>
      </c>
      <c r="Y42" s="10">
        <v>15.17</v>
      </c>
      <c r="Z42" s="10">
        <v>14.68</v>
      </c>
      <c r="AA42" s="10">
        <v>14.92</v>
      </c>
      <c r="AB42" s="95">
        <v>17321300</v>
      </c>
      <c r="AC42" s="10">
        <v>14.87</v>
      </c>
      <c r="AE42" s="138">
        <f t="shared" si="4"/>
        <v>1.2253233492171445E-2</v>
      </c>
    </row>
    <row r="43" spans="2:31" ht="15.75" thickTop="1" x14ac:dyDescent="0.25">
      <c r="B43" s="536">
        <v>42312</v>
      </c>
      <c r="C43" s="17">
        <v>500</v>
      </c>
      <c r="D43" s="483">
        <v>17.559999999999999</v>
      </c>
      <c r="E43" s="75">
        <v>6.95</v>
      </c>
      <c r="F43" s="75">
        <f t="shared" si="1"/>
        <v>8786.9500000000007</v>
      </c>
      <c r="G43" s="552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18.924399999999999</v>
      </c>
      <c r="T43" s="135" t="s">
        <v>98</v>
      </c>
      <c r="U43" s="129">
        <v>15.11</v>
      </c>
      <c r="W43" s="133">
        <v>42558</v>
      </c>
      <c r="X43" s="10">
        <v>15.2</v>
      </c>
      <c r="Y43" s="10">
        <v>15.4</v>
      </c>
      <c r="Z43" s="10">
        <v>14.56</v>
      </c>
      <c r="AA43" s="10">
        <v>14.74</v>
      </c>
      <c r="AB43" s="95">
        <v>18822000</v>
      </c>
      <c r="AC43" s="10">
        <v>14.69</v>
      </c>
      <c r="AE43" s="138">
        <f t="shared" si="4"/>
        <v>-6.7613252197430418E-3</v>
      </c>
    </row>
    <row r="44" spans="2:31" x14ac:dyDescent="0.25">
      <c r="B44" s="536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552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18.768000000000001</v>
      </c>
      <c r="T44" s="136" t="s">
        <v>99</v>
      </c>
      <c r="U44" s="130">
        <v>15.37</v>
      </c>
      <c r="W44" s="133">
        <v>42557</v>
      </c>
      <c r="X44" s="10">
        <v>14.56</v>
      </c>
      <c r="Y44" s="10">
        <v>15</v>
      </c>
      <c r="Z44" s="10">
        <v>14.43</v>
      </c>
      <c r="AA44" s="10">
        <v>14.84</v>
      </c>
      <c r="AB44" s="95">
        <v>15754800</v>
      </c>
      <c r="AC44" s="10">
        <v>14.79</v>
      </c>
      <c r="AE44" s="138">
        <f t="shared" si="4"/>
        <v>8.1799591002045258E-3</v>
      </c>
    </row>
    <row r="45" spans="2:31" x14ac:dyDescent="0.25">
      <c r="B45" s="536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552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18.611599999999999</v>
      </c>
      <c r="T45" s="136" t="s">
        <v>100</v>
      </c>
      <c r="U45" s="130" t="s">
        <v>518</v>
      </c>
      <c r="W45" s="133">
        <v>42556</v>
      </c>
      <c r="X45" s="10">
        <v>15.21</v>
      </c>
      <c r="Y45" s="10">
        <v>15.45</v>
      </c>
      <c r="Z45" s="10">
        <v>14.45</v>
      </c>
      <c r="AA45" s="10">
        <v>14.72</v>
      </c>
      <c r="AB45" s="95">
        <v>21129200</v>
      </c>
      <c r="AC45" s="10">
        <v>14.67</v>
      </c>
      <c r="AE45" s="138">
        <f t="shared" si="4"/>
        <v>-6.1420345489443418E-2</v>
      </c>
    </row>
    <row r="46" spans="2:31" x14ac:dyDescent="0.25">
      <c r="B46" s="536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75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18.455200000000001</v>
      </c>
      <c r="T46" s="136" t="s">
        <v>101</v>
      </c>
      <c r="U46" s="130" t="s">
        <v>519</v>
      </c>
      <c r="W46" s="133">
        <v>42552</v>
      </c>
      <c r="X46" s="10">
        <v>14.88</v>
      </c>
      <c r="Y46" s="10">
        <v>15.84</v>
      </c>
      <c r="Z46" s="10">
        <v>14.85</v>
      </c>
      <c r="AA46" s="10">
        <v>15.68</v>
      </c>
      <c r="AB46" s="95">
        <v>19890800</v>
      </c>
      <c r="AC46" s="10">
        <v>15.63</v>
      </c>
      <c r="AE46" s="138">
        <f t="shared" si="4"/>
        <v>4.4786096256684393E-2</v>
      </c>
    </row>
    <row r="47" spans="2:31" x14ac:dyDescent="0.25">
      <c r="B47" s="536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75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18.2988</v>
      </c>
      <c r="T47" s="136" t="s">
        <v>102</v>
      </c>
      <c r="U47" s="130">
        <v>18.170000000000002</v>
      </c>
      <c r="W47" s="133">
        <v>42551</v>
      </c>
      <c r="X47" s="10">
        <v>15.02</v>
      </c>
      <c r="Y47" s="10">
        <v>15.15</v>
      </c>
      <c r="Z47" s="10">
        <v>14.76</v>
      </c>
      <c r="AA47" s="10">
        <v>15.01</v>
      </c>
      <c r="AB47" s="95">
        <v>15331700</v>
      </c>
      <c r="AC47" s="10">
        <v>14.96</v>
      </c>
      <c r="AE47" s="138">
        <f t="shared" si="4"/>
        <v>-8.6149768058315646E-3</v>
      </c>
    </row>
    <row r="48" spans="2:31" x14ac:dyDescent="0.25">
      <c r="B48" s="536">
        <v>42328</v>
      </c>
      <c r="C48" s="4">
        <v>3078</v>
      </c>
      <c r="D48" s="240">
        <v>17.47</v>
      </c>
      <c r="E48" s="3">
        <v>0</v>
      </c>
      <c r="F48" s="3">
        <f t="shared" si="1"/>
        <v>53772.659999999996</v>
      </c>
      <c r="G48" s="475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18.142399999999999</v>
      </c>
      <c r="T48" s="136" t="s">
        <v>103</v>
      </c>
      <c r="U48" s="130">
        <v>2.32464</v>
      </c>
      <c r="W48" s="133">
        <v>42550</v>
      </c>
      <c r="X48" s="10">
        <v>15.02</v>
      </c>
      <c r="Y48" s="10">
        <v>15.45</v>
      </c>
      <c r="Z48" s="10">
        <v>14.84</v>
      </c>
      <c r="AA48" s="10">
        <v>15.14</v>
      </c>
      <c r="AB48" s="95">
        <v>24163800</v>
      </c>
      <c r="AC48" s="10">
        <v>15.09</v>
      </c>
      <c r="AE48" s="138">
        <f t="shared" si="4"/>
        <v>2.4439918533604832E-2</v>
      </c>
    </row>
    <row r="49" spans="2:31" x14ac:dyDescent="0.25">
      <c r="B49" s="536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75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17.986000000000001</v>
      </c>
      <c r="T49" s="136" t="s">
        <v>123</v>
      </c>
      <c r="U49" s="130" t="s">
        <v>334</v>
      </c>
      <c r="W49" s="133">
        <v>42549</v>
      </c>
      <c r="X49" s="10">
        <v>14.28</v>
      </c>
      <c r="Y49" s="10">
        <v>14.83</v>
      </c>
      <c r="Z49" s="10">
        <v>14.17</v>
      </c>
      <c r="AA49" s="10">
        <v>14.78</v>
      </c>
      <c r="AB49" s="95">
        <v>19105300</v>
      </c>
      <c r="AC49" s="10">
        <v>14.73</v>
      </c>
      <c r="AE49" s="138">
        <f t="shared" si="4"/>
        <v>8.2292432035268259E-2</v>
      </c>
    </row>
    <row r="50" spans="2:31" x14ac:dyDescent="0.25">
      <c r="B50" s="536">
        <v>42340</v>
      </c>
      <c r="C50" s="4">
        <v>500</v>
      </c>
      <c r="D50" s="240">
        <v>17.5</v>
      </c>
      <c r="E50" s="3">
        <v>0</v>
      </c>
      <c r="F50" s="3">
        <f t="shared" si="1"/>
        <v>8750</v>
      </c>
      <c r="G50" s="475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17.829599999999999</v>
      </c>
      <c r="T50" s="136"/>
      <c r="U50" s="130"/>
      <c r="W50" s="133">
        <v>42548</v>
      </c>
      <c r="X50" s="10">
        <v>14.3</v>
      </c>
      <c r="Y50" s="10">
        <v>14.42</v>
      </c>
      <c r="Z50" s="10">
        <v>13.12</v>
      </c>
      <c r="AA50" s="10">
        <v>13.66</v>
      </c>
      <c r="AB50" s="95">
        <v>23889600</v>
      </c>
      <c r="AC50" s="10">
        <v>13.61</v>
      </c>
      <c r="AE50" s="138">
        <f t="shared" si="4"/>
        <v>-6.3961485557083919E-2</v>
      </c>
    </row>
    <row r="51" spans="2:31" x14ac:dyDescent="0.25">
      <c r="B51" s="536">
        <v>42345</v>
      </c>
      <c r="C51" s="4">
        <v>100</v>
      </c>
      <c r="D51" s="240">
        <v>16.7</v>
      </c>
      <c r="E51" s="3">
        <v>0</v>
      </c>
      <c r="F51" s="3">
        <f t="shared" si="1"/>
        <v>1670</v>
      </c>
      <c r="G51" s="475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17.673199999999998</v>
      </c>
      <c r="T51" s="136" t="s">
        <v>105</v>
      </c>
      <c r="U51" s="130" t="s">
        <v>520</v>
      </c>
      <c r="W51" s="133">
        <v>42545</v>
      </c>
      <c r="X51" s="10">
        <v>14.31</v>
      </c>
      <c r="Y51" s="10">
        <v>14.94</v>
      </c>
      <c r="Z51" s="10">
        <v>14.28</v>
      </c>
      <c r="AA51" s="10">
        <v>14.59</v>
      </c>
      <c r="AB51" s="95">
        <v>33429500</v>
      </c>
      <c r="AC51" s="10">
        <v>14.54</v>
      </c>
      <c r="AE51" s="138">
        <f t="shared" si="4"/>
        <v>-4.4678055190538912E-2</v>
      </c>
    </row>
    <row r="52" spans="2:31" x14ac:dyDescent="0.25">
      <c r="B52" s="536">
        <v>42345</v>
      </c>
      <c r="C52" s="4">
        <v>500</v>
      </c>
      <c r="D52" s="240">
        <v>16.850000000000001</v>
      </c>
      <c r="E52" s="3">
        <v>0</v>
      </c>
      <c r="F52" s="3">
        <f t="shared" si="1"/>
        <v>8425</v>
      </c>
      <c r="G52" s="475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17.516800000000003</v>
      </c>
      <c r="T52" s="136" t="s">
        <v>106</v>
      </c>
      <c r="U52" s="130" t="s">
        <v>373</v>
      </c>
      <c r="W52" s="133">
        <v>42544</v>
      </c>
      <c r="X52" s="10">
        <v>15.02</v>
      </c>
      <c r="Y52" s="10">
        <v>15.28</v>
      </c>
      <c r="Z52" s="10">
        <v>14.78</v>
      </c>
      <c r="AA52" s="10">
        <v>15.27</v>
      </c>
      <c r="AB52" s="95">
        <v>19494000</v>
      </c>
      <c r="AC52" s="10">
        <v>15.22</v>
      </c>
      <c r="AE52" s="138">
        <f t="shared" si="4"/>
        <v>3.5374149659864074E-2</v>
      </c>
    </row>
    <row r="53" spans="2:31" ht="15" customHeight="1" x14ac:dyDescent="0.25">
      <c r="B53" s="536">
        <v>42347</v>
      </c>
      <c r="C53" s="4">
        <v>500</v>
      </c>
      <c r="D53" s="240">
        <v>15.84</v>
      </c>
      <c r="E53" s="3">
        <v>0</v>
      </c>
      <c r="F53" s="3">
        <f t="shared" si="1"/>
        <v>7920</v>
      </c>
      <c r="G53" s="550" t="s">
        <v>193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17.360400000000002</v>
      </c>
      <c r="T53" s="136" t="s">
        <v>107</v>
      </c>
      <c r="U53" s="131">
        <v>12584570</v>
      </c>
      <c r="W53" s="133">
        <v>42543</v>
      </c>
      <c r="X53" s="10">
        <v>15.13</v>
      </c>
      <c r="Y53" s="10">
        <v>15.32</v>
      </c>
      <c r="Z53" s="10">
        <v>14.56</v>
      </c>
      <c r="AA53" s="10">
        <v>14.75</v>
      </c>
      <c r="AB53" s="95">
        <v>21281100</v>
      </c>
      <c r="AC53" s="10">
        <v>14.7</v>
      </c>
      <c r="AE53" s="138">
        <f t="shared" si="4"/>
        <v>-2.2606382978723416E-2</v>
      </c>
    </row>
    <row r="54" spans="2:31" x14ac:dyDescent="0.25">
      <c r="B54" s="536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550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17.204000000000001</v>
      </c>
      <c r="T54" s="136" t="s">
        <v>110</v>
      </c>
      <c r="U54" s="131">
        <v>18442700</v>
      </c>
      <c r="W54" s="133">
        <v>42542</v>
      </c>
      <c r="X54" s="10">
        <v>14.74</v>
      </c>
      <c r="Y54" s="10">
        <v>15.18</v>
      </c>
      <c r="Z54" s="10">
        <v>14.2</v>
      </c>
      <c r="AA54" s="10">
        <v>15.09</v>
      </c>
      <c r="AB54" s="95">
        <v>34467400</v>
      </c>
      <c r="AC54" s="10">
        <v>15.04</v>
      </c>
      <c r="AE54" s="138">
        <f t="shared" si="4"/>
        <v>4.2273042273042183E-2</v>
      </c>
    </row>
    <row r="55" spans="2:31" x14ac:dyDescent="0.25">
      <c r="B55" s="536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550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17.047600000000003</v>
      </c>
      <c r="T55" s="136" t="s">
        <v>108</v>
      </c>
      <c r="U55" s="130" t="s">
        <v>521</v>
      </c>
      <c r="W55" s="133">
        <v>42541</v>
      </c>
      <c r="X55" s="10">
        <v>13.85</v>
      </c>
      <c r="Y55" s="10">
        <v>14.73</v>
      </c>
      <c r="Z55" s="10">
        <v>13.83</v>
      </c>
      <c r="AA55" s="10">
        <v>14.48</v>
      </c>
      <c r="AB55" s="95">
        <v>39534000</v>
      </c>
      <c r="AC55" s="10">
        <v>14.43</v>
      </c>
      <c r="AE55" s="138">
        <f t="shared" si="4"/>
        <v>9.9847560975609762E-2</v>
      </c>
    </row>
    <row r="56" spans="2:31" x14ac:dyDescent="0.25">
      <c r="B56" s="536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75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16.891200000000001</v>
      </c>
      <c r="T56" s="136" t="s">
        <v>111</v>
      </c>
      <c r="U56" s="130" t="s">
        <v>130</v>
      </c>
      <c r="W56" s="133">
        <v>42538</v>
      </c>
      <c r="X56" s="10">
        <v>12.98</v>
      </c>
      <c r="Y56" s="10">
        <v>13.38</v>
      </c>
      <c r="Z56" s="10">
        <v>12.93</v>
      </c>
      <c r="AA56" s="10">
        <v>13.16</v>
      </c>
      <c r="AB56" s="95">
        <v>17879400</v>
      </c>
      <c r="AC56" s="10">
        <v>13.12</v>
      </c>
      <c r="AE56" s="138">
        <f t="shared" si="4"/>
        <v>3.8796516231195399E-2</v>
      </c>
    </row>
    <row r="57" spans="2:31" x14ac:dyDescent="0.25">
      <c r="B57" s="536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75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16.7348</v>
      </c>
      <c r="T57" s="136" t="s">
        <v>112</v>
      </c>
      <c r="U57" s="130">
        <v>-2.89</v>
      </c>
      <c r="W57" s="133">
        <v>42537</v>
      </c>
      <c r="X57" s="10">
        <v>12.9</v>
      </c>
      <c r="Y57" s="10">
        <v>12.91</v>
      </c>
      <c r="Z57" s="10">
        <v>12.22</v>
      </c>
      <c r="AA57" s="10">
        <v>12.67</v>
      </c>
      <c r="AB57" s="95">
        <v>16743700</v>
      </c>
      <c r="AC57" s="10">
        <v>12.63</v>
      </c>
      <c r="AE57" s="138">
        <f t="shared" si="4"/>
        <v>-2.995391705069117E-2</v>
      </c>
    </row>
    <row r="58" spans="2:31" x14ac:dyDescent="0.25">
      <c r="B58" s="536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75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16.578400000000002</v>
      </c>
      <c r="T58" s="136" t="s">
        <v>109</v>
      </c>
      <c r="U58" s="130" t="s">
        <v>587</v>
      </c>
      <c r="W58" s="133">
        <v>42536</v>
      </c>
      <c r="X58" s="10">
        <v>13.06</v>
      </c>
      <c r="Y58" s="10">
        <v>13.49</v>
      </c>
      <c r="Z58" s="10">
        <v>12.89</v>
      </c>
      <c r="AA58" s="10">
        <v>13.06</v>
      </c>
      <c r="AB58" s="95">
        <v>13088100</v>
      </c>
      <c r="AC58" s="10">
        <v>13.02</v>
      </c>
      <c r="AE58" s="138">
        <f t="shared" si="4"/>
        <v>-1.2888551933282755E-2</v>
      </c>
    </row>
    <row r="59" spans="2:31" x14ac:dyDescent="0.25">
      <c r="B59" s="536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75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16.422000000000001</v>
      </c>
      <c r="W59" s="133">
        <v>42535</v>
      </c>
      <c r="X59" s="10">
        <v>13.26</v>
      </c>
      <c r="Y59" s="10">
        <v>13.5</v>
      </c>
      <c r="Z59" s="10">
        <v>12.84</v>
      </c>
      <c r="AA59" s="10">
        <v>13.23</v>
      </c>
      <c r="AB59" s="95">
        <v>12107600</v>
      </c>
      <c r="AC59" s="10">
        <v>13.19</v>
      </c>
      <c r="AE59" s="138">
        <f t="shared" si="4"/>
        <v>-3.023431594860182E-3</v>
      </c>
    </row>
    <row r="60" spans="2:31" x14ac:dyDescent="0.25">
      <c r="B60" s="536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75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16.265600000000003</v>
      </c>
      <c r="W60" s="133">
        <v>42534</v>
      </c>
      <c r="X60" s="10">
        <v>13.24</v>
      </c>
      <c r="Y60" s="10">
        <v>13.71</v>
      </c>
      <c r="Z60" s="10">
        <v>13.15</v>
      </c>
      <c r="AA60" s="10">
        <v>13.28</v>
      </c>
      <c r="AB60" s="95">
        <v>17032300</v>
      </c>
      <c r="AC60" s="10">
        <v>13.23</v>
      </c>
      <c r="AE60" s="138">
        <f t="shared" si="4"/>
        <v>-1.0471204188481575E-2</v>
      </c>
    </row>
    <row r="61" spans="2:31" x14ac:dyDescent="0.25">
      <c r="B61" s="536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75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16.109200000000001</v>
      </c>
      <c r="W61" s="133">
        <v>42531</v>
      </c>
      <c r="X61" s="10">
        <v>13.97</v>
      </c>
      <c r="Y61" s="10">
        <v>13.99</v>
      </c>
      <c r="Z61" s="10">
        <v>13.4</v>
      </c>
      <c r="AA61" s="10">
        <v>13.42</v>
      </c>
      <c r="AB61" s="95">
        <v>16791200</v>
      </c>
      <c r="AC61" s="10">
        <v>13.37</v>
      </c>
      <c r="AE61" s="138">
        <f t="shared" si="4"/>
        <v>-5.9113300492610987E-2</v>
      </c>
    </row>
    <row r="62" spans="2:31" x14ac:dyDescent="0.25">
      <c r="B62" s="536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549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15.952800000000002</v>
      </c>
      <c r="W62" s="133">
        <v>42530</v>
      </c>
      <c r="X62" s="10">
        <v>14.18</v>
      </c>
      <c r="Y62" s="10">
        <v>14.47</v>
      </c>
      <c r="Z62" s="10">
        <v>14.1</v>
      </c>
      <c r="AA62" s="10">
        <v>14.26</v>
      </c>
      <c r="AB62" s="95">
        <v>14134300</v>
      </c>
      <c r="AC62" s="10">
        <v>14.21</v>
      </c>
      <c r="AE62" s="138">
        <f t="shared" si="4"/>
        <v>-1.8646408839778972E-2</v>
      </c>
    </row>
    <row r="63" spans="2:31" x14ac:dyDescent="0.25">
      <c r="B63" s="536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549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15.7964</v>
      </c>
      <c r="W63" s="133">
        <v>42529</v>
      </c>
      <c r="X63" s="10">
        <v>15</v>
      </c>
      <c r="Y63" s="10">
        <v>15.15</v>
      </c>
      <c r="Z63" s="10">
        <v>14.42</v>
      </c>
      <c r="AA63" s="10">
        <v>14.53</v>
      </c>
      <c r="AB63" s="95">
        <v>20238300</v>
      </c>
      <c r="AC63" s="10">
        <v>14.48</v>
      </c>
      <c r="AE63" s="138">
        <f t="shared" si="4"/>
        <v>-6.1770761839395893E-3</v>
      </c>
    </row>
    <row r="64" spans="2:31" x14ac:dyDescent="0.25">
      <c r="B64" s="536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75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15.64</v>
      </c>
      <c r="W64" s="133">
        <v>42528</v>
      </c>
      <c r="X64" s="10">
        <v>14.15</v>
      </c>
      <c r="Y64" s="10">
        <v>14.75</v>
      </c>
      <c r="Z64" s="10">
        <v>13.97</v>
      </c>
      <c r="AA64" s="10">
        <v>14.62</v>
      </c>
      <c r="AB64" s="95">
        <v>24184000</v>
      </c>
      <c r="AC64" s="10">
        <v>14.57</v>
      </c>
      <c r="AE64" s="138">
        <f t="shared" si="4"/>
        <v>4.7447879223580181E-2</v>
      </c>
    </row>
    <row r="65" spans="1:31" x14ac:dyDescent="0.25">
      <c r="B65" s="536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75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15.483600000000001</v>
      </c>
      <c r="W65" s="133">
        <v>42527</v>
      </c>
      <c r="X65" s="10">
        <v>13.65</v>
      </c>
      <c r="Y65" s="10">
        <v>14</v>
      </c>
      <c r="Z65" s="10">
        <v>13.52</v>
      </c>
      <c r="AA65" s="10">
        <v>13.96</v>
      </c>
      <c r="AB65" s="95">
        <v>16295400</v>
      </c>
      <c r="AC65" s="10">
        <v>13.91</v>
      </c>
      <c r="AE65" s="138">
        <f t="shared" si="4"/>
        <v>4.8229088168801892E-2</v>
      </c>
    </row>
    <row r="66" spans="1:31" x14ac:dyDescent="0.25">
      <c r="B66" s="536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75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15.327199999999999</v>
      </c>
      <c r="W66" s="133">
        <v>42524</v>
      </c>
      <c r="X66" s="10">
        <v>13.36</v>
      </c>
      <c r="Y66" s="10">
        <v>13.57</v>
      </c>
      <c r="Z66" s="10">
        <v>13.07</v>
      </c>
      <c r="AA66" s="10">
        <v>13.32</v>
      </c>
      <c r="AB66" s="95">
        <v>14767900</v>
      </c>
      <c r="AC66" s="10">
        <v>13.27</v>
      </c>
      <c r="AE66" s="138">
        <f t="shared" si="4"/>
        <v>-4.5011252813204061E-3</v>
      </c>
    </row>
    <row r="67" spans="1:31" x14ac:dyDescent="0.25">
      <c r="B67" s="537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75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15.1708</v>
      </c>
      <c r="W67" s="133">
        <v>42523</v>
      </c>
      <c r="X67" s="10">
        <v>13.01</v>
      </c>
      <c r="Y67" s="10">
        <v>13.47</v>
      </c>
      <c r="Z67" s="10">
        <v>12.96</v>
      </c>
      <c r="AA67" s="10">
        <v>13.38</v>
      </c>
      <c r="AB67" s="95">
        <v>13965100</v>
      </c>
      <c r="AC67" s="10">
        <v>13.33</v>
      </c>
      <c r="AE67" s="138">
        <f t="shared" si="4"/>
        <v>1.0614101592115288E-2</v>
      </c>
    </row>
    <row r="68" spans="1:31" x14ac:dyDescent="0.25">
      <c r="B68" s="536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75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15.0144</v>
      </c>
      <c r="W68" s="133">
        <v>42522</v>
      </c>
      <c r="X68" s="10">
        <v>12.88</v>
      </c>
      <c r="Y68" s="10">
        <v>13.32</v>
      </c>
      <c r="Z68" s="10">
        <v>12.68</v>
      </c>
      <c r="AA68" s="10">
        <v>13.23</v>
      </c>
      <c r="AB68" s="95">
        <v>17141800</v>
      </c>
      <c r="AC68" s="10">
        <v>13.19</v>
      </c>
      <c r="AE68" s="138" t="e">
        <f>AC68/AC69-1</f>
        <v>#DIV/0!</v>
      </c>
    </row>
    <row r="69" spans="1:31" x14ac:dyDescent="0.25">
      <c r="B69" s="536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75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14.858000000000001</v>
      </c>
      <c r="W69" s="133" t="s">
        <v>122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36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75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14.701599999999999</v>
      </c>
    </row>
    <row r="71" spans="1:31" x14ac:dyDescent="0.25">
      <c r="B71" s="536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75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14.545200000000001</v>
      </c>
    </row>
    <row r="72" spans="1:31" x14ac:dyDescent="0.25">
      <c r="B72" s="536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75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14.388800000000002</v>
      </c>
    </row>
    <row r="73" spans="1:31" x14ac:dyDescent="0.25">
      <c r="B73" s="536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549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14.2324</v>
      </c>
    </row>
    <row r="74" spans="1:31" ht="15" customHeight="1" x14ac:dyDescent="0.25">
      <c r="B74" s="547" t="s">
        <v>188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549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14.076000000000001</v>
      </c>
    </row>
    <row r="75" spans="1:31" x14ac:dyDescent="0.25">
      <c r="B75" s="547"/>
      <c r="C75" s="7">
        <v>500</v>
      </c>
      <c r="D75" s="79">
        <v>6.75</v>
      </c>
      <c r="E75" s="44">
        <v>0</v>
      </c>
      <c r="F75" s="44">
        <f t="shared" si="10"/>
        <v>3375</v>
      </c>
      <c r="G75" s="475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13.919600000000001</v>
      </c>
    </row>
    <row r="76" spans="1:31" x14ac:dyDescent="0.25">
      <c r="B76" s="547"/>
      <c r="C76" s="7">
        <v>300</v>
      </c>
      <c r="D76" s="79">
        <v>6.75</v>
      </c>
      <c r="E76" s="44">
        <v>0</v>
      </c>
      <c r="F76" s="44">
        <f t="shared" si="10"/>
        <v>2025</v>
      </c>
      <c r="G76" s="475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13.763200000000001</v>
      </c>
    </row>
    <row r="77" spans="1:31" x14ac:dyDescent="0.25">
      <c r="B77" s="536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75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13.6068</v>
      </c>
    </row>
    <row r="78" spans="1:31" x14ac:dyDescent="0.25">
      <c r="B78" s="536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75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13.4504</v>
      </c>
    </row>
    <row r="79" spans="1:31" x14ac:dyDescent="0.25">
      <c r="B79" s="536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75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13.294</v>
      </c>
    </row>
    <row r="80" spans="1:31" x14ac:dyDescent="0.25">
      <c r="A80" s="2"/>
      <c r="B80" s="536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75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36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75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36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75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36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75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36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75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36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75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36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75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36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75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36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75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548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75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551"/>
      <c r="C90" s="7">
        <v>500</v>
      </c>
      <c r="D90" s="79">
        <v>11.42</v>
      </c>
      <c r="E90" s="44">
        <v>0</v>
      </c>
      <c r="F90" s="44">
        <f t="shared" si="10"/>
        <v>5710</v>
      </c>
      <c r="G90" s="475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36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75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36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75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36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75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548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75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548"/>
      <c r="C95" s="7">
        <v>350</v>
      </c>
      <c r="D95" s="79">
        <v>11.22</v>
      </c>
      <c r="E95" s="44">
        <v>0</v>
      </c>
      <c r="F95" s="44">
        <f t="shared" si="10"/>
        <v>3927</v>
      </c>
      <c r="G95" s="475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547" t="s">
        <v>203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75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547"/>
      <c r="C97" s="7">
        <v>500</v>
      </c>
      <c r="D97" s="79">
        <v>11.01</v>
      </c>
      <c r="E97" s="44">
        <v>0</v>
      </c>
      <c r="F97" s="44">
        <f t="shared" si="10"/>
        <v>5505</v>
      </c>
      <c r="G97" s="475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547"/>
      <c r="C98" s="7">
        <v>500</v>
      </c>
      <c r="D98" s="79">
        <v>10.75</v>
      </c>
      <c r="E98" s="44">
        <v>0</v>
      </c>
      <c r="F98" s="44">
        <f t="shared" si="10"/>
        <v>5375</v>
      </c>
      <c r="G98" s="475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547"/>
      <c r="C99" s="7">
        <v>1000</v>
      </c>
      <c r="D99" s="79">
        <v>10.4</v>
      </c>
      <c r="E99" s="44">
        <v>0</v>
      </c>
      <c r="F99" s="44">
        <f t="shared" si="10"/>
        <v>10400</v>
      </c>
      <c r="G99" s="475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547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75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36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75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36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75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36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546" t="s">
        <v>250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36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546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36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546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36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75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36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75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36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74"/>
      <c r="H108" s="82"/>
      <c r="I108" s="79"/>
      <c r="J108" s="44"/>
      <c r="K108" s="44"/>
    </row>
    <row r="109" spans="2:14" x14ac:dyDescent="0.25">
      <c r="B109" s="536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74"/>
      <c r="H109" s="82"/>
      <c r="I109" s="79"/>
      <c r="J109" s="44"/>
      <c r="K109" s="44"/>
    </row>
    <row r="110" spans="2:14" x14ac:dyDescent="0.25">
      <c r="B110" s="536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74"/>
      <c r="H110" s="82"/>
      <c r="I110" s="79"/>
      <c r="J110" s="44"/>
      <c r="K110" s="44"/>
      <c r="N110" s="72"/>
    </row>
    <row r="111" spans="2:14" x14ac:dyDescent="0.25">
      <c r="B111" s="536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74"/>
      <c r="H111" s="82"/>
      <c r="I111" s="79"/>
      <c r="J111" s="44"/>
      <c r="K111" s="44"/>
    </row>
    <row r="112" spans="2:14" x14ac:dyDescent="0.25">
      <c r="B112" s="536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74"/>
      <c r="H112" s="82"/>
      <c r="I112" s="79"/>
      <c r="J112" s="44"/>
      <c r="K112" s="44"/>
    </row>
    <row r="113" spans="1:11" x14ac:dyDescent="0.25">
      <c r="A113" s="554" t="s">
        <v>209</v>
      </c>
      <c r="B113" s="536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74"/>
      <c r="H113" s="82"/>
      <c r="I113" s="79"/>
      <c r="J113" s="44"/>
      <c r="K113" s="44"/>
    </row>
    <row r="114" spans="1:11" x14ac:dyDescent="0.25">
      <c r="A114" s="554"/>
      <c r="B114" s="536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74"/>
      <c r="H114" s="82"/>
      <c r="I114" s="79"/>
      <c r="J114" s="44"/>
      <c r="K114" s="44"/>
    </row>
    <row r="115" spans="1:11" x14ac:dyDescent="0.25">
      <c r="A115" s="554"/>
      <c r="B115" s="536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74"/>
      <c r="H115" s="82"/>
      <c r="I115" s="79"/>
      <c r="J115" s="44"/>
      <c r="K115" s="44"/>
    </row>
    <row r="116" spans="1:11" x14ac:dyDescent="0.25">
      <c r="A116" s="554"/>
      <c r="B116" s="536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74"/>
      <c r="H116" s="82"/>
      <c r="I116" s="79"/>
      <c r="J116" s="44"/>
      <c r="K116" s="44"/>
    </row>
    <row r="117" spans="1:11" x14ac:dyDescent="0.25">
      <c r="B117" s="536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74"/>
      <c r="H117" s="82"/>
      <c r="I117" s="79"/>
      <c r="J117" s="44"/>
      <c r="K117" s="44"/>
    </row>
    <row r="118" spans="1:11" x14ac:dyDescent="0.25">
      <c r="B118" s="536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74"/>
      <c r="H118" s="82"/>
      <c r="I118" s="79"/>
      <c r="J118" s="44"/>
      <c r="K118" s="44"/>
    </row>
    <row r="119" spans="1:11" x14ac:dyDescent="0.25">
      <c r="B119" s="536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74"/>
      <c r="H119" s="82"/>
      <c r="I119" s="79"/>
      <c r="J119" s="44"/>
      <c r="K119" s="44"/>
    </row>
    <row r="120" spans="1:11" x14ac:dyDescent="0.25">
      <c r="A120" s="555" t="s">
        <v>214</v>
      </c>
      <c r="B120" s="536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74"/>
      <c r="H120" s="82"/>
      <c r="I120" s="79"/>
      <c r="J120" s="44"/>
      <c r="K120" s="44"/>
    </row>
    <row r="121" spans="1:11" x14ac:dyDescent="0.25">
      <c r="A121" s="555"/>
      <c r="B121" s="536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74"/>
      <c r="H121" s="82"/>
      <c r="I121" s="79"/>
      <c r="J121" s="44"/>
      <c r="K121" s="44"/>
    </row>
    <row r="122" spans="1:11" x14ac:dyDescent="0.25">
      <c r="A122" s="555"/>
      <c r="B122" s="536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74"/>
      <c r="H122" s="82"/>
      <c r="I122" s="79"/>
      <c r="J122" s="44"/>
      <c r="K122" s="44"/>
    </row>
    <row r="123" spans="1:11" x14ac:dyDescent="0.25">
      <c r="B123" s="536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74"/>
      <c r="H123" s="82"/>
      <c r="I123" s="79"/>
      <c r="J123" s="44"/>
      <c r="K123" s="44"/>
    </row>
    <row r="124" spans="1:11" x14ac:dyDescent="0.25">
      <c r="B124" s="536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74"/>
      <c r="H124" s="82"/>
      <c r="I124" s="79"/>
      <c r="J124" s="44"/>
      <c r="K124" s="44"/>
    </row>
    <row r="125" spans="1:11" x14ac:dyDescent="0.25">
      <c r="B125" s="536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74"/>
      <c r="H125" s="82"/>
      <c r="I125" s="79"/>
      <c r="J125" s="44"/>
      <c r="K125" s="44"/>
    </row>
    <row r="126" spans="1:11" x14ac:dyDescent="0.25">
      <c r="A126" s="554" t="s">
        <v>219</v>
      </c>
      <c r="B126" s="536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74"/>
      <c r="H126" s="82"/>
      <c r="I126" s="79"/>
      <c r="J126" s="44"/>
      <c r="K126" s="44"/>
    </row>
    <row r="127" spans="1:11" x14ac:dyDescent="0.25">
      <c r="A127" s="554"/>
      <c r="B127" s="536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74"/>
      <c r="H127" s="82"/>
      <c r="I127" s="79"/>
      <c r="J127" s="44"/>
      <c r="K127" s="44"/>
    </row>
    <row r="128" spans="1:11" x14ac:dyDescent="0.25">
      <c r="A128" s="554"/>
      <c r="B128" s="536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74"/>
      <c r="H128" s="82"/>
      <c r="I128" s="79"/>
      <c r="J128" s="44"/>
      <c r="K128" s="44"/>
    </row>
    <row r="129" spans="2:11" x14ac:dyDescent="0.25">
      <c r="B129" s="536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74"/>
      <c r="H129" s="82"/>
      <c r="I129" s="79"/>
      <c r="J129" s="44"/>
      <c r="K129" s="44"/>
    </row>
    <row r="130" spans="2:11" x14ac:dyDescent="0.25">
      <c r="B130" s="536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74"/>
      <c r="H130" s="82"/>
      <c r="I130" s="79"/>
      <c r="J130" s="44"/>
      <c r="K130" s="44"/>
    </row>
    <row r="131" spans="2:11" x14ac:dyDescent="0.25">
      <c r="B131" s="536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74"/>
      <c r="H131" s="82"/>
      <c r="I131" s="79"/>
      <c r="J131" s="44"/>
      <c r="K131" s="44"/>
    </row>
    <row r="132" spans="2:11" x14ac:dyDescent="0.25">
      <c r="B132" s="536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74"/>
      <c r="H132" s="82"/>
      <c r="I132" s="79"/>
      <c r="J132" s="44"/>
      <c r="K132" s="44"/>
    </row>
    <row r="133" spans="2:11" x14ac:dyDescent="0.25">
      <c r="B133" s="536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74"/>
      <c r="H133" s="82"/>
      <c r="I133" s="79"/>
      <c r="J133" s="44"/>
      <c r="K133" s="44"/>
    </row>
    <row r="134" spans="2:11" x14ac:dyDescent="0.25">
      <c r="B134" s="536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74"/>
      <c r="H134" s="82"/>
      <c r="I134" s="79"/>
      <c r="J134" s="44"/>
      <c r="K134" s="44"/>
    </row>
    <row r="135" spans="2:11" x14ac:dyDescent="0.25">
      <c r="B135" s="536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74"/>
      <c r="H135" s="82"/>
      <c r="I135" s="79"/>
      <c r="J135" s="44"/>
      <c r="K135" s="44"/>
    </row>
    <row r="136" spans="2:11" x14ac:dyDescent="0.25">
      <c r="B136" s="536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74"/>
      <c r="H136" s="82"/>
      <c r="I136" s="79"/>
      <c r="J136" s="44"/>
      <c r="K136" s="44"/>
    </row>
    <row r="137" spans="2:11" ht="15" customHeight="1" x14ac:dyDescent="0.25">
      <c r="B137" s="536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74"/>
      <c r="H137" s="82"/>
      <c r="I137" s="79"/>
      <c r="J137" s="44"/>
      <c r="K137" s="44"/>
    </row>
    <row r="138" spans="2:11" x14ac:dyDescent="0.25">
      <c r="B138" s="536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74"/>
      <c r="H138" s="82"/>
      <c r="I138" s="79"/>
      <c r="J138" s="44"/>
      <c r="K138" s="44"/>
    </row>
    <row r="139" spans="2:11" x14ac:dyDescent="0.25">
      <c r="B139" s="536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74"/>
      <c r="H139" s="82"/>
      <c r="I139" s="79"/>
      <c r="J139" s="44"/>
      <c r="K139" s="44"/>
    </row>
    <row r="140" spans="2:11" x14ac:dyDescent="0.25">
      <c r="B140" s="536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74"/>
      <c r="H140" s="82"/>
      <c r="I140" s="79"/>
      <c r="J140" s="44"/>
      <c r="K140" s="44"/>
    </row>
    <row r="141" spans="2:11" x14ac:dyDescent="0.25">
      <c r="B141" s="536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74"/>
      <c r="H141" s="82"/>
      <c r="I141" s="79"/>
      <c r="J141" s="44"/>
      <c r="K141" s="44"/>
    </row>
    <row r="142" spans="2:11" x14ac:dyDescent="0.25">
      <c r="B142" s="536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75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36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74"/>
      <c r="H143" s="82"/>
      <c r="I143" s="79"/>
      <c r="J143" s="44"/>
      <c r="K143" s="44"/>
    </row>
    <row r="144" spans="2:11" x14ac:dyDescent="0.25">
      <c r="B144" s="536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74"/>
      <c r="H144" s="82"/>
      <c r="I144" s="79"/>
      <c r="J144" s="44"/>
      <c r="K144" s="44"/>
    </row>
    <row r="145" spans="1:14" x14ac:dyDescent="0.25">
      <c r="B145" s="536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74"/>
      <c r="H145" s="82"/>
      <c r="I145" s="79"/>
      <c r="J145" s="44"/>
      <c r="K145" s="44"/>
    </row>
    <row r="146" spans="1:14" x14ac:dyDescent="0.25">
      <c r="B146" s="536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75">
        <v>42549</v>
      </c>
      <c r="H146" s="82">
        <v>1100</v>
      </c>
      <c r="I146" s="79">
        <v>14.68</v>
      </c>
      <c r="J146" s="44">
        <v>0.35</v>
      </c>
      <c r="K146" s="44">
        <f t="shared" ref="K146:K175" si="13">H146*I146-J146</f>
        <v>16147.65</v>
      </c>
    </row>
    <row r="147" spans="1:14" x14ac:dyDescent="0.25">
      <c r="B147" s="536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552" t="s">
        <v>270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36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552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36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552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38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552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31"/>
      <c r="B151" s="538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75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31"/>
      <c r="B152" s="536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75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31"/>
      <c r="B153" s="539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75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39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75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39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75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36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75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39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75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39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75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39">
        <v>42578</v>
      </c>
      <c r="C159" s="7">
        <v>200</v>
      </c>
      <c r="D159" s="79">
        <v>13.18</v>
      </c>
      <c r="E159" s="44">
        <v>0</v>
      </c>
      <c r="F159" s="44">
        <f t="shared" ref="F159:F164" si="16">C159*D159+E159</f>
        <v>2636</v>
      </c>
      <c r="G159" s="475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39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75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1" x14ac:dyDescent="0.25">
      <c r="B161" s="539">
        <v>42583</v>
      </c>
      <c r="C161" s="7">
        <v>200</v>
      </c>
      <c r="D161" s="79">
        <v>13.02</v>
      </c>
      <c r="E161" s="44">
        <v>0</v>
      </c>
      <c r="F161" s="44">
        <f t="shared" si="16"/>
        <v>2604</v>
      </c>
      <c r="G161" s="475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1" x14ac:dyDescent="0.25">
      <c r="B162" s="539">
        <v>42584</v>
      </c>
      <c r="C162" s="7">
        <v>200</v>
      </c>
      <c r="D162" s="79">
        <v>12.68</v>
      </c>
      <c r="E162" s="44">
        <v>0</v>
      </c>
      <c r="F162" s="44">
        <f t="shared" si="16"/>
        <v>2536</v>
      </c>
      <c r="G162" s="475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1" x14ac:dyDescent="0.25">
      <c r="B163" s="539">
        <v>42585</v>
      </c>
      <c r="C163" s="7">
        <v>400</v>
      </c>
      <c r="D163" s="79">
        <v>13.38</v>
      </c>
      <c r="E163" s="44">
        <v>0</v>
      </c>
      <c r="F163" s="44">
        <f t="shared" si="16"/>
        <v>5352</v>
      </c>
      <c r="G163" s="475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1" x14ac:dyDescent="0.25">
      <c r="B164" s="540">
        <v>42594</v>
      </c>
      <c r="C164" s="7">
        <v>500</v>
      </c>
      <c r="D164" s="79">
        <v>14.65</v>
      </c>
      <c r="E164" s="44">
        <v>0</v>
      </c>
      <c r="F164" s="44">
        <f t="shared" si="16"/>
        <v>7325</v>
      </c>
      <c r="G164" s="475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1" x14ac:dyDescent="0.25">
      <c r="B165" s="540">
        <v>42599</v>
      </c>
      <c r="C165" s="7">
        <v>500</v>
      </c>
      <c r="D165" s="79">
        <v>14.95</v>
      </c>
      <c r="E165" s="44">
        <v>0</v>
      </c>
      <c r="F165" s="44">
        <f t="shared" ref="F165:F174" si="17">C165*D165+E165</f>
        <v>7475</v>
      </c>
      <c r="G165" s="475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1" x14ac:dyDescent="0.25">
      <c r="B166" s="540">
        <v>42604</v>
      </c>
      <c r="C166" s="7">
        <v>1000</v>
      </c>
      <c r="D166" s="79">
        <v>15.68</v>
      </c>
      <c r="E166" s="44">
        <v>0</v>
      </c>
      <c r="F166" s="44">
        <f t="shared" si="17"/>
        <v>15680</v>
      </c>
      <c r="G166" s="475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1" x14ac:dyDescent="0.25">
      <c r="B167" s="540">
        <v>42604</v>
      </c>
      <c r="C167" s="7">
        <v>500</v>
      </c>
      <c r="D167" s="79">
        <v>15.48</v>
      </c>
      <c r="E167" s="44">
        <v>0</v>
      </c>
      <c r="F167" s="44">
        <f t="shared" si="17"/>
        <v>7740</v>
      </c>
      <c r="G167" s="553" t="s">
        <v>354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1" x14ac:dyDescent="0.25">
      <c r="B168" s="540">
        <v>42606</v>
      </c>
      <c r="C168" s="7">
        <v>178</v>
      </c>
      <c r="D168" s="79">
        <v>16.059999999999999</v>
      </c>
      <c r="E168" s="44">
        <v>0</v>
      </c>
      <c r="F168" s="44">
        <f t="shared" si="17"/>
        <v>2858.68</v>
      </c>
      <c r="G168" s="553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1" x14ac:dyDescent="0.25">
      <c r="B169" s="540">
        <v>42608</v>
      </c>
      <c r="C169" s="7">
        <v>500</v>
      </c>
      <c r="D169" s="79">
        <v>15.98</v>
      </c>
      <c r="E169" s="44">
        <v>0</v>
      </c>
      <c r="F169" s="44">
        <f t="shared" si="17"/>
        <v>7990</v>
      </c>
      <c r="G169" s="553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1" x14ac:dyDescent="0.25">
      <c r="B170" s="540">
        <v>42608</v>
      </c>
      <c r="C170" s="7">
        <v>500</v>
      </c>
      <c r="D170" s="79">
        <v>15.85</v>
      </c>
      <c r="E170" s="44">
        <v>0</v>
      </c>
      <c r="F170" s="44">
        <f t="shared" si="17"/>
        <v>7925</v>
      </c>
      <c r="G170" s="553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1" x14ac:dyDescent="0.25">
      <c r="B171" s="540">
        <v>42612</v>
      </c>
      <c r="C171" s="4">
        <v>500</v>
      </c>
      <c r="D171" s="240">
        <v>15.68</v>
      </c>
      <c r="E171" s="3">
        <v>0</v>
      </c>
      <c r="F171" s="3">
        <f t="shared" si="17"/>
        <v>7840</v>
      </c>
      <c r="G171" s="475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1" x14ac:dyDescent="0.25">
      <c r="B172" s="540">
        <v>42612</v>
      </c>
      <c r="C172" s="7">
        <v>500</v>
      </c>
      <c r="D172" s="79">
        <v>15.55</v>
      </c>
      <c r="E172" s="44">
        <v>0</v>
      </c>
      <c r="F172" s="44">
        <f t="shared" si="17"/>
        <v>7775</v>
      </c>
      <c r="G172" s="475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1" x14ac:dyDescent="0.25">
      <c r="B173" s="540">
        <v>42613</v>
      </c>
      <c r="C173" s="4">
        <v>500</v>
      </c>
      <c r="D173" s="240">
        <v>15.244999999999999</v>
      </c>
      <c r="E173" s="3">
        <v>0</v>
      </c>
      <c r="F173" s="3">
        <f t="shared" si="17"/>
        <v>7622.5</v>
      </c>
      <c r="G173" s="475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1" x14ac:dyDescent="0.25">
      <c r="B174" s="540">
        <v>42613</v>
      </c>
      <c r="C174" s="4">
        <v>500</v>
      </c>
      <c r="D174" s="80">
        <v>15.08</v>
      </c>
      <c r="E174" s="2">
        <v>0</v>
      </c>
      <c r="F174" s="2">
        <f t="shared" si="17"/>
        <v>7540</v>
      </c>
      <c r="G174" s="475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1" x14ac:dyDescent="0.25">
      <c r="C175" s="4"/>
      <c r="G175" s="475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1" x14ac:dyDescent="0.25">
      <c r="C176" s="4"/>
    </row>
    <row r="177" spans="1:13" x14ac:dyDescent="0.25">
      <c r="C177" s="4"/>
    </row>
    <row r="178" spans="1:13" x14ac:dyDescent="0.25">
      <c r="C178" s="4"/>
    </row>
    <row r="179" spans="1:13" x14ac:dyDescent="0.25">
      <c r="C179" s="4"/>
    </row>
    <row r="180" spans="1:13" x14ac:dyDescent="0.25">
      <c r="C180" s="4"/>
    </row>
    <row r="185" spans="1:13" x14ac:dyDescent="0.25">
      <c r="A185" s="32" t="s">
        <v>81</v>
      </c>
      <c r="B185" s="541"/>
      <c r="C185" s="73">
        <f>SUM(C2:C184)</f>
        <v>110612</v>
      </c>
      <c r="D185" s="18"/>
      <c r="E185" s="18"/>
      <c r="F185" s="18">
        <f>SUM(F2:F184)</f>
        <v>1539865.2390000001</v>
      </c>
      <c r="G185" s="14"/>
      <c r="H185" s="73">
        <f>SUM(H2:H184)</f>
        <v>102934</v>
      </c>
      <c r="I185" s="81"/>
      <c r="J185" s="18"/>
      <c r="K185" s="18">
        <f>SUM(K2:K184)</f>
        <v>1411144.2800000014</v>
      </c>
      <c r="L185" s="14"/>
      <c r="M185" s="18">
        <f>SUM(M2:M12)</f>
        <v>1818.3000000000002</v>
      </c>
    </row>
    <row r="186" spans="1:13" ht="15.75" thickBot="1" x14ac:dyDescent="0.3">
      <c r="A186" s="359" t="s">
        <v>204</v>
      </c>
      <c r="B186" s="542"/>
      <c r="C186" s="361">
        <f>SumByColor($A$186, C2:C184)</f>
        <v>102934</v>
      </c>
      <c r="D186" s="361"/>
      <c r="E186" s="361"/>
      <c r="F186" s="362">
        <f>SumByColor($A$186, F2:F184)</f>
        <v>1409740</v>
      </c>
      <c r="G186" s="361"/>
      <c r="H186" s="361">
        <f>SumByColor($A$186, H2:H184)</f>
        <v>102934</v>
      </c>
      <c r="I186" s="361"/>
      <c r="J186" s="362"/>
      <c r="K186" s="362">
        <f>SumByColor($A$186, K2:K184)</f>
        <v>1411162</v>
      </c>
      <c r="L186" s="361"/>
      <c r="M186" s="362">
        <f>SumByColor($A$186, M2:M184)</f>
        <v>1818</v>
      </c>
    </row>
    <row r="188" spans="1:13" x14ac:dyDescent="0.25">
      <c r="B188" s="543" t="s">
        <v>114</v>
      </c>
      <c r="C188" s="191" t="s">
        <v>150</v>
      </c>
      <c r="D188" s="199" t="s">
        <v>149</v>
      </c>
      <c r="E188" s="194" t="s">
        <v>151</v>
      </c>
      <c r="F188" s="195" t="s">
        <v>65</v>
      </c>
      <c r="G188" s="229" t="s">
        <v>155</v>
      </c>
      <c r="H188" s="195" t="s">
        <v>88</v>
      </c>
      <c r="I188" s="229" t="s">
        <v>161</v>
      </c>
    </row>
    <row r="189" spans="1:13" x14ac:dyDescent="0.25">
      <c r="B189" s="157">
        <v>42305</v>
      </c>
      <c r="C189" s="10">
        <v>2000</v>
      </c>
      <c r="D189" s="242">
        <v>34.06</v>
      </c>
      <c r="E189" s="40">
        <v>17.68</v>
      </c>
      <c r="F189" s="40">
        <v>-32767.45</v>
      </c>
      <c r="G189" s="40">
        <f t="shared" ref="G189:G195" si="18">IF(C189=0, 0,D189*C189)</f>
        <v>68120</v>
      </c>
      <c r="H189" s="232">
        <f t="shared" ref="H189:H195" si="19">IF(C189=0, D189, (E189-D189)/D189)</f>
        <v>-0.48091603053435117</v>
      </c>
      <c r="I189" s="40"/>
    </row>
    <row r="190" spans="1:13" x14ac:dyDescent="0.25">
      <c r="B190" s="157">
        <v>42307</v>
      </c>
      <c r="C190" s="10">
        <v>0</v>
      </c>
      <c r="D190" s="242" t="s">
        <v>130</v>
      </c>
      <c r="E190" s="40">
        <v>17.55</v>
      </c>
      <c r="F190" s="40">
        <v>-30722.2</v>
      </c>
      <c r="G190" s="40">
        <f t="shared" si="18"/>
        <v>0</v>
      </c>
      <c r="H190" s="232" t="str">
        <f t="shared" si="19"/>
        <v>N/A</v>
      </c>
      <c r="I190" s="40"/>
    </row>
    <row r="191" spans="1:13" x14ac:dyDescent="0.25">
      <c r="B191" s="157">
        <v>42310</v>
      </c>
      <c r="C191" s="10">
        <v>0</v>
      </c>
      <c r="D191" s="242" t="s">
        <v>130</v>
      </c>
      <c r="E191" s="40">
        <v>19.010000000000002</v>
      </c>
      <c r="F191" s="40">
        <v>-30693.25</v>
      </c>
      <c r="G191" s="40">
        <f t="shared" si="18"/>
        <v>0</v>
      </c>
      <c r="H191" s="232" t="str">
        <f t="shared" si="19"/>
        <v>N/A</v>
      </c>
      <c r="I191" s="40"/>
    </row>
    <row r="192" spans="1:13" x14ac:dyDescent="0.25">
      <c r="B192" s="157">
        <v>42314</v>
      </c>
      <c r="C192" s="10">
        <v>2500</v>
      </c>
      <c r="D192" s="242">
        <v>30.24</v>
      </c>
      <c r="E192" s="40">
        <v>18.29</v>
      </c>
      <c r="F192" s="40">
        <v>-29878.25</v>
      </c>
      <c r="G192" s="40">
        <f t="shared" si="18"/>
        <v>75600</v>
      </c>
      <c r="H192" s="232">
        <f t="shared" si="19"/>
        <v>-0.39517195767195767</v>
      </c>
      <c r="I192" s="40"/>
    </row>
    <row r="193" spans="2:9" x14ac:dyDescent="0.25">
      <c r="B193" s="157">
        <v>42318</v>
      </c>
      <c r="C193" s="10">
        <v>0</v>
      </c>
      <c r="D193" s="242" t="s">
        <v>130</v>
      </c>
      <c r="E193" s="40">
        <v>18.78</v>
      </c>
      <c r="F193" s="40">
        <v>-28604.09</v>
      </c>
      <c r="G193" s="40">
        <f t="shared" si="18"/>
        <v>0</v>
      </c>
      <c r="H193" s="232" t="str">
        <f t="shared" si="19"/>
        <v>N/A</v>
      </c>
      <c r="I193" s="40"/>
    </row>
    <row r="194" spans="2:9" x14ac:dyDescent="0.25">
      <c r="B194" s="157">
        <v>42328</v>
      </c>
      <c r="C194" s="10">
        <v>3078</v>
      </c>
      <c r="D194" s="242">
        <v>26.76</v>
      </c>
      <c r="E194" s="40">
        <v>17.440000000000001</v>
      </c>
      <c r="F194" s="40">
        <v>-28696.448999999906</v>
      </c>
      <c r="G194" s="40">
        <f t="shared" si="18"/>
        <v>82367.28</v>
      </c>
      <c r="H194" s="232">
        <f t="shared" si="19"/>
        <v>-0.34828101644245141</v>
      </c>
      <c r="I194" s="40"/>
    </row>
    <row r="195" spans="2:9" x14ac:dyDescent="0.25">
      <c r="B195" s="157">
        <v>42331</v>
      </c>
      <c r="C195" s="10">
        <v>0</v>
      </c>
      <c r="D195" s="242" t="s">
        <v>130</v>
      </c>
      <c r="E195" s="40">
        <v>17.53</v>
      </c>
      <c r="F195" s="40">
        <v>-28051.068999999901</v>
      </c>
      <c r="G195" s="40">
        <f t="shared" si="18"/>
        <v>0</v>
      </c>
      <c r="H195" s="232" t="str">
        <f t="shared" si="19"/>
        <v>N/A</v>
      </c>
      <c r="I195" s="40"/>
    </row>
    <row r="196" spans="2:9" x14ac:dyDescent="0.25">
      <c r="B196" s="157">
        <v>42335</v>
      </c>
      <c r="C196" s="10">
        <v>3078</v>
      </c>
      <c r="D196" s="242">
        <v>26.85</v>
      </c>
      <c r="E196" s="40">
        <v>17.73</v>
      </c>
      <c r="F196" s="40">
        <f>C196*(E196-D196)</f>
        <v>-28071.360000000004</v>
      </c>
      <c r="G196" s="40">
        <f>D196*C196</f>
        <v>82644.3</v>
      </c>
      <c r="H196" s="231">
        <f>(E196-D196)/D196</f>
        <v>-0.33966480446927377</v>
      </c>
      <c r="I196" s="40"/>
    </row>
    <row r="197" spans="2:9" x14ac:dyDescent="0.25">
      <c r="B197" s="157">
        <v>42335</v>
      </c>
      <c r="C197" s="10">
        <v>3578</v>
      </c>
      <c r="D197" s="242">
        <v>25.55</v>
      </c>
      <c r="E197" s="40">
        <v>17.440000000000001</v>
      </c>
      <c r="F197" s="40">
        <f t="shared" ref="F197:F228" si="20">C197*(E197-D197)</f>
        <v>-29017.579999999998</v>
      </c>
      <c r="G197" s="40">
        <f t="shared" ref="G197:G226" si="21">D197*C197</f>
        <v>91417.900000000009</v>
      </c>
      <c r="H197" s="231">
        <f t="shared" ref="H197:H226" si="22">(E197-D197)/D197</f>
        <v>-0.31741682974559682</v>
      </c>
      <c r="I197" s="40"/>
    </row>
    <row r="198" spans="2:9" x14ac:dyDescent="0.25">
      <c r="B198" s="157">
        <v>42340</v>
      </c>
      <c r="C198" s="10">
        <v>4178</v>
      </c>
      <c r="D198" s="242">
        <v>24.29</v>
      </c>
      <c r="E198" s="40">
        <v>16.670000000000002</v>
      </c>
      <c r="F198" s="40">
        <f t="shared" si="20"/>
        <v>-31836.35999999999</v>
      </c>
      <c r="G198" s="40">
        <f t="shared" si="21"/>
        <v>101483.62</v>
      </c>
      <c r="H198" s="231">
        <f t="shared" si="22"/>
        <v>-0.31370934540963352</v>
      </c>
      <c r="I198" s="40"/>
    </row>
    <row r="199" spans="2:9" x14ac:dyDescent="0.25">
      <c r="B199" s="157">
        <v>42342</v>
      </c>
      <c r="C199" s="10">
        <v>4678</v>
      </c>
      <c r="D199" s="242">
        <v>23.39</v>
      </c>
      <c r="E199" s="40">
        <v>16.12</v>
      </c>
      <c r="F199" s="40">
        <f t="shared" si="20"/>
        <v>-34009.06</v>
      </c>
      <c r="G199" s="40">
        <f t="shared" si="21"/>
        <v>109418.42</v>
      </c>
      <c r="H199" s="231">
        <f t="shared" si="22"/>
        <v>-0.31081658828559211</v>
      </c>
      <c r="I199" s="40"/>
    </row>
    <row r="200" spans="2:9" x14ac:dyDescent="0.25">
      <c r="B200" s="157">
        <v>42342</v>
      </c>
      <c r="C200" s="10">
        <v>4178</v>
      </c>
      <c r="D200" s="242">
        <v>24.26</v>
      </c>
      <c r="E200" s="40">
        <v>16.12</v>
      </c>
      <c r="F200" s="40">
        <f t="shared" si="20"/>
        <v>-34008.920000000006</v>
      </c>
      <c r="G200" s="40">
        <f t="shared" si="21"/>
        <v>101358.28000000001</v>
      </c>
      <c r="H200" s="231">
        <f t="shared" si="22"/>
        <v>-0.33553173948887055</v>
      </c>
      <c r="I200" s="40"/>
    </row>
    <row r="201" spans="2:9" x14ac:dyDescent="0.25">
      <c r="B201" s="157">
        <v>42345</v>
      </c>
      <c r="C201" s="10">
        <v>4678</v>
      </c>
      <c r="D201" s="242">
        <v>23.24</v>
      </c>
      <c r="E201" s="40">
        <v>14.78</v>
      </c>
      <c r="F201" s="40">
        <f t="shared" si="20"/>
        <v>-39575.879999999997</v>
      </c>
      <c r="G201" s="40">
        <f t="shared" si="21"/>
        <v>108716.71999999999</v>
      </c>
      <c r="H201" s="231">
        <f t="shared" si="22"/>
        <v>-0.36402753872633387</v>
      </c>
      <c r="I201" s="40"/>
    </row>
    <row r="202" spans="2:9" x14ac:dyDescent="0.25">
      <c r="B202" s="157">
        <v>42347</v>
      </c>
      <c r="C202" s="10">
        <v>4778</v>
      </c>
      <c r="D202" s="242">
        <v>23.06</v>
      </c>
      <c r="E202" s="40">
        <v>14.92</v>
      </c>
      <c r="F202" s="40">
        <f t="shared" si="20"/>
        <v>-38892.919999999991</v>
      </c>
      <c r="G202" s="40">
        <f t="shared" si="21"/>
        <v>110180.68</v>
      </c>
      <c r="H202" s="231">
        <f t="shared" si="22"/>
        <v>-0.3529921942758022</v>
      </c>
      <c r="I202" s="40"/>
    </row>
    <row r="203" spans="2:9" x14ac:dyDescent="0.25">
      <c r="B203" s="157">
        <v>42348</v>
      </c>
      <c r="C203" s="10">
        <v>4178</v>
      </c>
      <c r="D203" s="242">
        <v>24.23</v>
      </c>
      <c r="E203" s="40">
        <v>14.74</v>
      </c>
      <c r="F203" s="40">
        <f t="shared" si="20"/>
        <v>-39649.22</v>
      </c>
      <c r="G203" s="40">
        <f t="shared" si="21"/>
        <v>101232.94</v>
      </c>
      <c r="H203" s="231">
        <f t="shared" si="22"/>
        <v>-0.39166322740404458</v>
      </c>
      <c r="I203" s="40"/>
    </row>
    <row r="204" spans="2:9" x14ac:dyDescent="0.25">
      <c r="B204" s="157">
        <v>42349</v>
      </c>
      <c r="C204" s="10">
        <v>3678</v>
      </c>
      <c r="D204" s="242">
        <v>25.57</v>
      </c>
      <c r="E204" s="40">
        <v>14.34</v>
      </c>
      <c r="F204" s="40">
        <f t="shared" si="20"/>
        <v>-41303.94</v>
      </c>
      <c r="G204" s="40">
        <f t="shared" si="21"/>
        <v>94046.46</v>
      </c>
      <c r="H204" s="231">
        <f t="shared" si="22"/>
        <v>-0.43918654673445445</v>
      </c>
      <c r="I204" s="40"/>
    </row>
    <row r="205" spans="2:9" x14ac:dyDescent="0.25">
      <c r="B205" s="157">
        <v>42352</v>
      </c>
      <c r="C205" s="10">
        <v>4178</v>
      </c>
      <c r="D205" s="242">
        <v>24.18</v>
      </c>
      <c r="E205" s="40">
        <v>13.96</v>
      </c>
      <c r="F205" s="40">
        <f t="shared" si="20"/>
        <v>-42699.159999999996</v>
      </c>
      <c r="G205" s="40">
        <f t="shared" si="21"/>
        <v>101024.04</v>
      </c>
      <c r="H205" s="231">
        <f t="shared" si="22"/>
        <v>-0.42266335814722905</v>
      </c>
      <c r="I205" s="40"/>
    </row>
    <row r="206" spans="2:9" x14ac:dyDescent="0.25">
      <c r="B206" s="157">
        <v>42355</v>
      </c>
      <c r="C206" s="10">
        <v>4678</v>
      </c>
      <c r="D206" s="242">
        <v>22.98</v>
      </c>
      <c r="E206" s="40">
        <v>12.78</v>
      </c>
      <c r="F206" s="40">
        <f t="shared" si="20"/>
        <v>-47715.600000000006</v>
      </c>
      <c r="G206" s="40">
        <f t="shared" si="21"/>
        <v>107500.44</v>
      </c>
      <c r="H206" s="231">
        <f t="shared" si="22"/>
        <v>-0.44386422976501311</v>
      </c>
      <c r="I206" s="40"/>
    </row>
    <row r="207" spans="2:9" x14ac:dyDescent="0.25">
      <c r="B207" s="157">
        <v>42356</v>
      </c>
      <c r="C207" s="10">
        <v>5178</v>
      </c>
      <c r="D207" s="242">
        <v>21.99</v>
      </c>
      <c r="E207" s="40">
        <v>12.95</v>
      </c>
      <c r="F207" s="40">
        <f t="shared" si="20"/>
        <v>-46809.119999999995</v>
      </c>
      <c r="G207" s="40">
        <f t="shared" si="21"/>
        <v>113864.21999999999</v>
      </c>
      <c r="H207" s="231">
        <f t="shared" si="22"/>
        <v>-0.41109595270577537</v>
      </c>
      <c r="I207" s="40"/>
    </row>
    <row r="208" spans="2:9" x14ac:dyDescent="0.25">
      <c r="B208" s="157">
        <v>42356</v>
      </c>
      <c r="C208" s="10">
        <v>6178</v>
      </c>
      <c r="D208" s="242">
        <v>20.48</v>
      </c>
      <c r="E208" s="40">
        <v>12.76</v>
      </c>
      <c r="F208" s="40">
        <f t="shared" si="20"/>
        <v>-47694.16</v>
      </c>
      <c r="G208" s="40">
        <f t="shared" si="21"/>
        <v>126525.44</v>
      </c>
      <c r="H208" s="231">
        <f t="shared" si="22"/>
        <v>-0.376953125</v>
      </c>
      <c r="I208" s="40"/>
    </row>
    <row r="209" spans="2:9" x14ac:dyDescent="0.25">
      <c r="B209" s="157">
        <v>42356</v>
      </c>
      <c r="C209" s="10">
        <v>6400</v>
      </c>
      <c r="D209" s="242">
        <v>20.2</v>
      </c>
      <c r="E209" s="40">
        <v>12.68</v>
      </c>
      <c r="F209" s="40">
        <f t="shared" si="20"/>
        <v>-48128</v>
      </c>
      <c r="G209" s="40">
        <f t="shared" si="21"/>
        <v>129280</v>
      </c>
      <c r="H209" s="231">
        <f t="shared" si="22"/>
        <v>-0.37227722772277227</v>
      </c>
      <c r="I209" s="40"/>
    </row>
    <row r="210" spans="2:9" x14ac:dyDescent="0.25">
      <c r="B210" s="157">
        <v>42359</v>
      </c>
      <c r="C210" s="10">
        <v>5178</v>
      </c>
      <c r="D210" s="242">
        <v>21.96</v>
      </c>
      <c r="E210" s="40">
        <v>12.66</v>
      </c>
      <c r="F210" s="40">
        <f t="shared" si="20"/>
        <v>-48155.4</v>
      </c>
      <c r="G210" s="40">
        <f t="shared" si="21"/>
        <v>113708.88</v>
      </c>
      <c r="H210" s="231">
        <f t="shared" si="22"/>
        <v>-0.42349726775956287</v>
      </c>
      <c r="I210" s="40"/>
    </row>
    <row r="211" spans="2:9" x14ac:dyDescent="0.25">
      <c r="B211" s="157">
        <v>42361</v>
      </c>
      <c r="C211" s="10">
        <v>4178</v>
      </c>
      <c r="D211" s="242">
        <v>24.07</v>
      </c>
      <c r="E211" s="40">
        <v>13.96</v>
      </c>
      <c r="F211" s="40">
        <f t="shared" si="20"/>
        <v>-42239.579999999994</v>
      </c>
      <c r="G211" s="40">
        <f t="shared" si="21"/>
        <v>100564.46</v>
      </c>
      <c r="H211" s="231">
        <f t="shared" si="22"/>
        <v>-0.42002492729538843</v>
      </c>
      <c r="I211" s="40"/>
    </row>
    <row r="212" spans="2:9" x14ac:dyDescent="0.25">
      <c r="B212" s="157">
        <v>42361</v>
      </c>
      <c r="C212" s="10">
        <v>4178</v>
      </c>
      <c r="D212" s="242">
        <v>24.03</v>
      </c>
      <c r="E212" s="40">
        <v>13.96</v>
      </c>
      <c r="F212" s="40">
        <f t="shared" si="20"/>
        <v>-42072.46</v>
      </c>
      <c r="G212" s="40">
        <f t="shared" si="21"/>
        <v>100397.34000000001</v>
      </c>
      <c r="H212" s="231">
        <f t="shared" si="22"/>
        <v>-0.41905950894714938</v>
      </c>
      <c r="I212" s="40"/>
    </row>
    <row r="213" spans="2:9" x14ac:dyDescent="0.25">
      <c r="B213" s="157">
        <v>42366</v>
      </c>
      <c r="C213" s="282">
        <v>6678</v>
      </c>
      <c r="D213" s="338">
        <v>19.91</v>
      </c>
      <c r="E213" s="40">
        <v>13.09</v>
      </c>
      <c r="F213" s="40">
        <f t="shared" si="20"/>
        <v>-45543.96</v>
      </c>
      <c r="G213" s="40">
        <f t="shared" si="21"/>
        <v>132958.98000000001</v>
      </c>
      <c r="H213" s="231">
        <f t="shared" si="22"/>
        <v>-0.34254143646408841</v>
      </c>
      <c r="I213" s="40"/>
    </row>
    <row r="214" spans="2:9" x14ac:dyDescent="0.25">
      <c r="B214" s="157">
        <v>42367</v>
      </c>
      <c r="C214" s="282">
        <v>8678</v>
      </c>
      <c r="D214" s="338">
        <v>18.32</v>
      </c>
      <c r="E214" s="40">
        <v>13.03</v>
      </c>
      <c r="F214" s="40">
        <f t="shared" si="20"/>
        <v>-45906.62000000001</v>
      </c>
      <c r="G214" s="40">
        <f t="shared" si="21"/>
        <v>158980.96</v>
      </c>
      <c r="H214" s="231">
        <f t="shared" si="22"/>
        <v>-0.28875545851528389</v>
      </c>
      <c r="I214" s="40"/>
    </row>
    <row r="215" spans="2:9" x14ac:dyDescent="0.25">
      <c r="B215" s="157">
        <v>42368</v>
      </c>
      <c r="C215" s="282">
        <v>9678</v>
      </c>
      <c r="D215" s="338">
        <v>17.73</v>
      </c>
      <c r="E215" s="40">
        <v>12.38</v>
      </c>
      <c r="F215" s="40">
        <f t="shared" si="20"/>
        <v>-51777.299999999996</v>
      </c>
      <c r="G215" s="40">
        <f t="shared" si="21"/>
        <v>171590.94</v>
      </c>
      <c r="H215" s="231">
        <f t="shared" si="22"/>
        <v>-0.30174844895657077</v>
      </c>
      <c r="I215" s="40"/>
    </row>
    <row r="216" spans="2:9" x14ac:dyDescent="0.25">
      <c r="B216" s="157">
        <v>42369</v>
      </c>
      <c r="C216" s="282">
        <v>8678</v>
      </c>
      <c r="D216" s="338">
        <v>18.312999999999999</v>
      </c>
      <c r="E216" s="40">
        <v>12.59</v>
      </c>
      <c r="F216" s="40">
        <f t="shared" si="20"/>
        <v>-49664.193999999989</v>
      </c>
      <c r="G216" s="40">
        <f t="shared" si="21"/>
        <v>158920.21399999998</v>
      </c>
      <c r="H216" s="231">
        <f t="shared" si="22"/>
        <v>-0.3125102386282968</v>
      </c>
      <c r="I216" s="40"/>
    </row>
    <row r="217" spans="2:9" x14ac:dyDescent="0.25">
      <c r="B217" s="157">
        <v>42374</v>
      </c>
      <c r="C217" s="444">
        <v>7678</v>
      </c>
      <c r="D217" s="445">
        <v>19.010000000000002</v>
      </c>
      <c r="E217" s="40">
        <v>12.76</v>
      </c>
      <c r="F217" s="40">
        <f t="shared" si="20"/>
        <v>-47987.500000000015</v>
      </c>
      <c r="G217" s="40">
        <f t="shared" si="21"/>
        <v>145958.78</v>
      </c>
      <c r="H217" s="231">
        <f t="shared" si="22"/>
        <v>-0.32877432930036832</v>
      </c>
      <c r="I217" s="40"/>
    </row>
    <row r="218" spans="2:9" x14ac:dyDescent="0.25">
      <c r="B218" s="157">
        <v>42375</v>
      </c>
      <c r="C218" s="282">
        <v>8678</v>
      </c>
      <c r="D218" s="338">
        <v>18.257000000000001</v>
      </c>
      <c r="E218" s="40">
        <v>12.76</v>
      </c>
      <c r="F218" s="40">
        <f t="shared" si="20"/>
        <v>-47702.966000000015</v>
      </c>
      <c r="G218" s="40">
        <f t="shared" si="21"/>
        <v>158434.24600000001</v>
      </c>
      <c r="H218" s="231">
        <f t="shared" si="22"/>
        <v>-0.30108999287944355</v>
      </c>
      <c r="I218" s="342"/>
    </row>
    <row r="219" spans="2:9" x14ac:dyDescent="0.25">
      <c r="B219" s="157">
        <v>42375</v>
      </c>
      <c r="C219" s="282">
        <v>9678</v>
      </c>
      <c r="D219" s="338">
        <v>17.579999999999998</v>
      </c>
      <c r="E219" s="40">
        <v>11.28</v>
      </c>
      <c r="F219" s="40">
        <f t="shared" si="20"/>
        <v>-60971.399999999987</v>
      </c>
      <c r="G219" s="40">
        <f t="shared" si="21"/>
        <v>170139.24</v>
      </c>
      <c r="H219" s="231">
        <f t="shared" si="22"/>
        <v>-0.35836177474402725</v>
      </c>
      <c r="I219" s="342"/>
    </row>
    <row r="220" spans="2:9" x14ac:dyDescent="0.25">
      <c r="B220" s="157">
        <v>42398</v>
      </c>
      <c r="C220" s="447">
        <v>9278</v>
      </c>
      <c r="D220" s="448">
        <v>17.93</v>
      </c>
      <c r="E220" s="40">
        <v>9.56</v>
      </c>
      <c r="F220" s="40">
        <f t="shared" si="20"/>
        <v>-77656.859999999986</v>
      </c>
      <c r="G220" s="40">
        <f t="shared" si="21"/>
        <v>166354.54</v>
      </c>
      <c r="H220" s="231">
        <f t="shared" si="22"/>
        <v>-0.46681539319576126</v>
      </c>
      <c r="I220" s="342"/>
    </row>
    <row r="221" spans="2:9" x14ac:dyDescent="0.25">
      <c r="B221" s="157">
        <v>42402</v>
      </c>
      <c r="C221" s="282">
        <v>9678</v>
      </c>
      <c r="D221" s="338">
        <v>17.559999999999999</v>
      </c>
      <c r="E221" s="40">
        <v>8.74</v>
      </c>
      <c r="F221" s="40">
        <f t="shared" si="20"/>
        <v>-85359.959999999992</v>
      </c>
      <c r="G221" s="40">
        <f t="shared" si="21"/>
        <v>169945.68</v>
      </c>
      <c r="H221" s="231">
        <f t="shared" si="22"/>
        <v>-0.50227790432801822</v>
      </c>
      <c r="I221" s="342"/>
    </row>
    <row r="222" spans="2:9" x14ac:dyDescent="0.25">
      <c r="B222" s="157">
        <v>42411</v>
      </c>
      <c r="C222" s="282">
        <v>9678</v>
      </c>
      <c r="D222" s="338">
        <v>17.553999999999998</v>
      </c>
      <c r="E222" s="40">
        <v>7.13</v>
      </c>
      <c r="F222" s="40">
        <f t="shared" si="20"/>
        <v>-100883.47199999999</v>
      </c>
      <c r="G222" s="40">
        <f t="shared" si="21"/>
        <v>169887.61199999999</v>
      </c>
      <c r="H222" s="231">
        <f t="shared" si="22"/>
        <v>-0.59382476928335426</v>
      </c>
      <c r="I222" s="342"/>
    </row>
    <row r="223" spans="2:9" x14ac:dyDescent="0.25">
      <c r="B223" s="157">
        <v>42412</v>
      </c>
      <c r="C223" s="282">
        <v>9678</v>
      </c>
      <c r="D223" s="338">
        <v>17.55</v>
      </c>
      <c r="E223" s="40">
        <v>7.46</v>
      </c>
      <c r="F223" s="40">
        <f t="shared" si="20"/>
        <v>-97651.02</v>
      </c>
      <c r="G223" s="40">
        <f t="shared" si="21"/>
        <v>169848.9</v>
      </c>
      <c r="H223" s="231">
        <f t="shared" si="22"/>
        <v>-0.57492877492877492</v>
      </c>
      <c r="I223" s="342"/>
    </row>
    <row r="224" spans="2:9" x14ac:dyDescent="0.25">
      <c r="B224" s="157">
        <v>42416</v>
      </c>
      <c r="C224" s="282">
        <v>9178</v>
      </c>
      <c r="D224" s="338">
        <v>18.084</v>
      </c>
      <c r="E224" s="40">
        <v>7.49</v>
      </c>
      <c r="F224" s="40">
        <f t="shared" si="20"/>
        <v>-97231.731999999989</v>
      </c>
      <c r="G224" s="40">
        <f t="shared" si="21"/>
        <v>165974.95199999999</v>
      </c>
      <c r="H224" s="231">
        <f t="shared" si="22"/>
        <v>-0.58582172085821715</v>
      </c>
      <c r="I224" s="342"/>
    </row>
    <row r="225" spans="2:9" x14ac:dyDescent="0.25">
      <c r="B225" s="157">
        <v>42416</v>
      </c>
      <c r="C225" s="282">
        <v>9678</v>
      </c>
      <c r="D225" s="338">
        <v>17.536999999999999</v>
      </c>
      <c r="E225" s="40">
        <v>7.49</v>
      </c>
      <c r="F225" s="40">
        <f t="shared" si="20"/>
        <v>-97234.865999999995</v>
      </c>
      <c r="G225" s="40">
        <f t="shared" si="21"/>
        <v>169723.08599999998</v>
      </c>
      <c r="H225" s="231">
        <f t="shared" si="22"/>
        <v>-0.57290300507498426</v>
      </c>
      <c r="I225" s="342"/>
    </row>
    <row r="226" spans="2:9" x14ac:dyDescent="0.25">
      <c r="B226" s="157">
        <v>42418</v>
      </c>
      <c r="C226" s="282">
        <v>13478</v>
      </c>
      <c r="D226" s="338">
        <v>14.673999999999999</v>
      </c>
      <c r="E226" s="40">
        <v>6.93</v>
      </c>
      <c r="F226" s="40">
        <f t="shared" si="20"/>
        <v>-104373.632</v>
      </c>
      <c r="G226" s="40">
        <f t="shared" si="21"/>
        <v>197776.17199999999</v>
      </c>
      <c r="H226" s="231">
        <f t="shared" si="22"/>
        <v>-0.52773613193403301</v>
      </c>
      <c r="I226" s="342"/>
    </row>
    <row r="227" spans="2:9" x14ac:dyDescent="0.25">
      <c r="B227" s="157">
        <v>42422</v>
      </c>
      <c r="C227" s="282">
        <v>10978</v>
      </c>
      <c r="D227" s="338">
        <v>16.314</v>
      </c>
      <c r="E227" s="40">
        <v>7.49</v>
      </c>
      <c r="F227" s="40">
        <f t="shared" si="20"/>
        <v>-96869.872000000003</v>
      </c>
      <c r="G227" s="40">
        <f>IF(C227=0, 0,D227*C227)</f>
        <v>179095.092</v>
      </c>
      <c r="H227" s="232">
        <f>IF(C227=0, D227, (E227-D227)/D227)</f>
        <v>-0.54088512933676591</v>
      </c>
      <c r="I227" s="342"/>
    </row>
    <row r="228" spans="2:9" x14ac:dyDescent="0.25">
      <c r="B228" s="157">
        <v>42422</v>
      </c>
      <c r="C228" s="282">
        <v>9978</v>
      </c>
      <c r="D228" s="338">
        <v>17.199000000000002</v>
      </c>
      <c r="E228" s="40">
        <v>7.49</v>
      </c>
      <c r="F228" s="236">
        <f t="shared" si="20"/>
        <v>-96876.402000000016</v>
      </c>
      <c r="G228" s="40">
        <f>IF(C228=0, 0,D228*C228)</f>
        <v>171611.622</v>
      </c>
      <c r="H228" s="232">
        <f>IF(C228=0, D228, (E228-D228)/D228)</f>
        <v>-0.56450956450956458</v>
      </c>
      <c r="I228" s="342"/>
    </row>
    <row r="229" spans="2:9" x14ac:dyDescent="0.25">
      <c r="B229" s="157">
        <v>42426</v>
      </c>
      <c r="C229" s="282">
        <v>9678</v>
      </c>
      <c r="D229" s="338">
        <v>17.489000000000001</v>
      </c>
      <c r="E229" s="40">
        <v>7.49</v>
      </c>
      <c r="F229" s="236">
        <f t="shared" ref="F229:F237" si="23">C229*(E229-D229)</f>
        <v>-96770.322</v>
      </c>
      <c r="G229" s="40">
        <f>IF(C229=0, 0,D229*C229)</f>
        <v>169258.54200000002</v>
      </c>
      <c r="H229" s="232">
        <f>IF(C229=0, D229, (E229-D229)/D229)</f>
        <v>-0.57173080221853734</v>
      </c>
      <c r="I229" s="342"/>
    </row>
    <row r="230" spans="2:9" x14ac:dyDescent="0.25">
      <c r="B230" s="157">
        <v>42426</v>
      </c>
      <c r="C230" s="282">
        <v>9178</v>
      </c>
      <c r="D230" s="338">
        <v>18.02</v>
      </c>
      <c r="E230" s="40">
        <v>7.76</v>
      </c>
      <c r="F230" s="236">
        <f t="shared" si="23"/>
        <v>-94166.28</v>
      </c>
      <c r="G230" s="40">
        <f t="shared" ref="G230:G237" si="24">IF(C230=0, 0,D230*C230)</f>
        <v>165387.56</v>
      </c>
      <c r="H230" s="232">
        <f t="shared" ref="H230:H237" si="25">IF(C230=0, D230, (E230-D230)/D230)</f>
        <v>-0.5693673695893452</v>
      </c>
      <c r="I230" s="342"/>
    </row>
    <row r="231" spans="2:9" x14ac:dyDescent="0.25">
      <c r="B231" s="157">
        <v>42426</v>
      </c>
      <c r="C231" s="429">
        <v>8178</v>
      </c>
      <c r="D231" s="446">
        <v>19.245999999999999</v>
      </c>
      <c r="E231" s="40">
        <v>8</v>
      </c>
      <c r="F231" s="236">
        <f t="shared" si="23"/>
        <v>-91969.787999999986</v>
      </c>
      <c r="G231" s="40">
        <f t="shared" si="24"/>
        <v>157393.788</v>
      </c>
      <c r="H231" s="232">
        <f t="shared" si="25"/>
        <v>-0.58432921126467829</v>
      </c>
      <c r="I231" s="342"/>
    </row>
    <row r="232" spans="2:9" x14ac:dyDescent="0.25">
      <c r="B232" s="157">
        <v>42426</v>
      </c>
      <c r="C232" s="282">
        <v>6678</v>
      </c>
      <c r="D232" s="338">
        <v>21.75</v>
      </c>
      <c r="E232" s="40">
        <v>8.1</v>
      </c>
      <c r="F232" s="236">
        <f t="shared" si="23"/>
        <v>-91154.7</v>
      </c>
      <c r="G232" s="40">
        <f t="shared" si="24"/>
        <v>145246.5</v>
      </c>
      <c r="H232" s="232">
        <f t="shared" si="25"/>
        <v>-0.62758620689655176</v>
      </c>
      <c r="I232" s="342"/>
    </row>
    <row r="233" spans="2:9" x14ac:dyDescent="0.25">
      <c r="B233" s="157">
        <v>42426</v>
      </c>
      <c r="C233" s="282">
        <v>8678</v>
      </c>
      <c r="D233" s="338">
        <v>18.568999999999999</v>
      </c>
      <c r="E233" s="40">
        <v>7.94</v>
      </c>
      <c r="F233" s="236">
        <f t="shared" si="23"/>
        <v>-92238.461999999985</v>
      </c>
      <c r="G233" s="40">
        <f t="shared" si="24"/>
        <v>161141.78199999998</v>
      </c>
      <c r="H233" s="232">
        <f t="shared" si="25"/>
        <v>-0.57240562227368186</v>
      </c>
      <c r="I233" s="342"/>
    </row>
    <row r="234" spans="2:9" x14ac:dyDescent="0.25">
      <c r="B234" s="157">
        <v>42429</v>
      </c>
      <c r="C234" s="444">
        <v>7678</v>
      </c>
      <c r="D234" s="445">
        <v>19.876000000000001</v>
      </c>
      <c r="E234" s="40">
        <v>8.2100000000000009</v>
      </c>
      <c r="F234" s="236">
        <f t="shared" si="23"/>
        <v>-89571.54800000001</v>
      </c>
      <c r="G234" s="40">
        <f t="shared" si="24"/>
        <v>152607.92800000001</v>
      </c>
      <c r="H234" s="232">
        <f t="shared" si="25"/>
        <v>-0.58693902193600322</v>
      </c>
      <c r="I234" s="342"/>
    </row>
    <row r="235" spans="2:9" x14ac:dyDescent="0.25">
      <c r="B235" s="157">
        <v>42429</v>
      </c>
      <c r="C235" s="282">
        <v>9678</v>
      </c>
      <c r="D235" s="338">
        <v>17.463000000000001</v>
      </c>
      <c r="E235" s="40">
        <v>8.2100000000000009</v>
      </c>
      <c r="F235" s="236">
        <f t="shared" si="23"/>
        <v>-89550.534</v>
      </c>
      <c r="G235" s="40">
        <f t="shared" si="24"/>
        <v>169006.91400000002</v>
      </c>
      <c r="H235" s="232">
        <f t="shared" si="25"/>
        <v>-0.5298631392086125</v>
      </c>
      <c r="I235" s="342"/>
    </row>
    <row r="236" spans="2:9" x14ac:dyDescent="0.25">
      <c r="B236" s="157">
        <v>42429</v>
      </c>
      <c r="C236" s="282">
        <v>9178</v>
      </c>
      <c r="D236" s="338">
        <v>17.981000000000002</v>
      </c>
      <c r="E236" s="40">
        <v>8.2100000000000009</v>
      </c>
      <c r="F236" s="236">
        <f t="shared" si="23"/>
        <v>-89678.238000000012</v>
      </c>
      <c r="G236" s="40">
        <f t="shared" si="24"/>
        <v>165029.61800000002</v>
      </c>
      <c r="H236" s="232">
        <f t="shared" si="25"/>
        <v>-0.5434069295367332</v>
      </c>
      <c r="I236" s="342"/>
    </row>
    <row r="237" spans="2:9" x14ac:dyDescent="0.25">
      <c r="B237" s="157">
        <v>42429</v>
      </c>
      <c r="C237" s="282">
        <v>9678</v>
      </c>
      <c r="D237" s="338">
        <v>17.459</v>
      </c>
      <c r="E237" s="40">
        <v>8.2100000000000009</v>
      </c>
      <c r="F237" s="236">
        <f t="shared" si="23"/>
        <v>-89511.821999999986</v>
      </c>
      <c r="G237" s="40">
        <f t="shared" si="24"/>
        <v>168968.20199999999</v>
      </c>
      <c r="H237" s="232">
        <f t="shared" si="25"/>
        <v>-0.5297554270004009</v>
      </c>
      <c r="I237" s="342"/>
    </row>
    <row r="238" spans="2:9" x14ac:dyDescent="0.25">
      <c r="B238" s="157">
        <v>42429</v>
      </c>
      <c r="C238" s="282">
        <v>9178</v>
      </c>
      <c r="D238" s="338">
        <v>17.975999999999999</v>
      </c>
      <c r="E238" s="40">
        <v>8.2100000000000009</v>
      </c>
      <c r="F238" s="236">
        <f t="shared" ref="F238:F249" si="26">C238*(E238-D238)</f>
        <v>-89632.347999999984</v>
      </c>
      <c r="G238" s="40">
        <f t="shared" ref="G238:G249" si="27">IF(C238=0, 0,D238*C238)</f>
        <v>164983.728</v>
      </c>
      <c r="H238" s="232">
        <f t="shared" ref="H238:H289" si="28">IF(C238=0, D238, (E238-D238)/D238)</f>
        <v>-0.54327992879394738</v>
      </c>
      <c r="I238" s="342" t="s">
        <v>196</v>
      </c>
    </row>
    <row r="239" spans="2:9" x14ac:dyDescent="0.25">
      <c r="B239" s="157">
        <v>42430</v>
      </c>
      <c r="C239" s="282">
        <v>10178</v>
      </c>
      <c r="D239" s="338">
        <v>16.974</v>
      </c>
      <c r="E239" s="40">
        <v>7.8</v>
      </c>
      <c r="F239" s="236">
        <f t="shared" si="26"/>
        <v>-93372.971999999994</v>
      </c>
      <c r="G239" s="40">
        <f t="shared" si="27"/>
        <v>172761.372</v>
      </c>
      <c r="H239" s="232">
        <f t="shared" si="28"/>
        <v>-0.54047366560622123</v>
      </c>
      <c r="I239" s="342"/>
    </row>
    <row r="240" spans="2:9" x14ac:dyDescent="0.25">
      <c r="B240" s="157">
        <v>42430</v>
      </c>
      <c r="C240" s="282">
        <v>9678</v>
      </c>
      <c r="D240" s="338">
        <v>17.440000000000001</v>
      </c>
      <c r="E240" s="40">
        <v>7.96</v>
      </c>
      <c r="F240" s="236">
        <f t="shared" si="26"/>
        <v>-91747.44</v>
      </c>
      <c r="G240" s="40">
        <f t="shared" si="27"/>
        <v>168784.32</v>
      </c>
      <c r="H240" s="232">
        <f t="shared" si="28"/>
        <v>-0.54357798165137616</v>
      </c>
      <c r="I240" s="342"/>
    </row>
    <row r="241" spans="2:9" x14ac:dyDescent="0.25">
      <c r="B241" s="157">
        <v>42431</v>
      </c>
      <c r="C241" s="100">
        <v>8678</v>
      </c>
      <c r="D241" s="437">
        <v>18.405999999999999</v>
      </c>
      <c r="E241" s="40">
        <v>9.1</v>
      </c>
      <c r="F241" s="236">
        <f t="shared" si="26"/>
        <v>-80757.467999999993</v>
      </c>
      <c r="G241" s="40">
        <f t="shared" si="27"/>
        <v>159727.26799999998</v>
      </c>
      <c r="H241" s="232">
        <f t="shared" si="28"/>
        <v>-0.50559600130392257</v>
      </c>
      <c r="I241" s="342"/>
    </row>
    <row r="242" spans="2:9" x14ac:dyDescent="0.25">
      <c r="B242" s="157">
        <v>42432</v>
      </c>
      <c r="C242" s="451">
        <v>9278</v>
      </c>
      <c r="D242" s="452">
        <v>17.771999999999998</v>
      </c>
      <c r="E242" s="40">
        <v>9.9700000000000006</v>
      </c>
      <c r="F242" s="236">
        <f t="shared" si="26"/>
        <v>-72386.955999999976</v>
      </c>
      <c r="G242" s="40">
        <f t="shared" si="27"/>
        <v>164888.61599999998</v>
      </c>
      <c r="H242" s="232">
        <f t="shared" si="28"/>
        <v>-0.43900517668242173</v>
      </c>
      <c r="I242" s="342"/>
    </row>
    <row r="243" spans="2:9" x14ac:dyDescent="0.25">
      <c r="B243" s="157">
        <v>42433</v>
      </c>
      <c r="C243" s="10">
        <v>9278</v>
      </c>
      <c r="D243" s="242">
        <v>17.771999999999998</v>
      </c>
      <c r="E243" s="40">
        <v>11</v>
      </c>
      <c r="F243" s="236">
        <f t="shared" si="26"/>
        <v>-62830.615999999987</v>
      </c>
      <c r="G243" s="40">
        <f t="shared" si="27"/>
        <v>164888.61599999998</v>
      </c>
      <c r="H243" s="232">
        <f t="shared" si="28"/>
        <v>-0.38104884087328378</v>
      </c>
      <c r="I243" s="342"/>
    </row>
    <row r="244" spans="2:9" x14ac:dyDescent="0.25">
      <c r="B244" s="157">
        <v>42439</v>
      </c>
      <c r="C244" s="282">
        <v>9278</v>
      </c>
      <c r="D244" s="338">
        <v>17.718</v>
      </c>
      <c r="E244" s="339">
        <v>10.59</v>
      </c>
      <c r="F244" s="236">
        <f t="shared" si="26"/>
        <v>-66133.584000000003</v>
      </c>
      <c r="G244" s="40">
        <f t="shared" si="27"/>
        <v>164387.60399999999</v>
      </c>
      <c r="H244" s="232">
        <f t="shared" si="28"/>
        <v>-0.40230274297324753</v>
      </c>
      <c r="I244" s="342" t="s">
        <v>195</v>
      </c>
    </row>
    <row r="245" spans="2:9" x14ac:dyDescent="0.25">
      <c r="B245" s="157">
        <v>42440</v>
      </c>
      <c r="C245" s="10">
        <v>9278</v>
      </c>
      <c r="D245" s="242">
        <v>17.712</v>
      </c>
      <c r="E245" s="40">
        <v>11.12</v>
      </c>
      <c r="F245" s="236">
        <f t="shared" si="26"/>
        <v>-61160.576000000008</v>
      </c>
      <c r="G245" s="40">
        <f t="shared" si="27"/>
        <v>164331.93599999999</v>
      </c>
      <c r="H245" s="232">
        <f t="shared" si="28"/>
        <v>-0.37217705510388438</v>
      </c>
      <c r="I245" s="40"/>
    </row>
    <row r="246" spans="2:9" x14ac:dyDescent="0.25">
      <c r="B246" s="157">
        <v>42446</v>
      </c>
      <c r="C246" s="100">
        <v>9278</v>
      </c>
      <c r="D246" s="437">
        <v>17.704999999999998</v>
      </c>
      <c r="E246" s="40">
        <v>11.45</v>
      </c>
      <c r="F246" s="236">
        <f t="shared" si="26"/>
        <v>-58033.889999999992</v>
      </c>
      <c r="G246" s="40">
        <f t="shared" si="27"/>
        <v>164266.99</v>
      </c>
      <c r="H246" s="232">
        <f t="shared" si="28"/>
        <v>-0.353290031064671</v>
      </c>
      <c r="I246" s="40"/>
    </row>
    <row r="247" spans="2:9" x14ac:dyDescent="0.25">
      <c r="B247" s="157">
        <v>42447</v>
      </c>
      <c r="C247" s="100">
        <v>7928</v>
      </c>
      <c r="D247" s="437">
        <v>18.734999999999999</v>
      </c>
      <c r="E247" s="40">
        <v>11.63</v>
      </c>
      <c r="F247" s="236">
        <f t="shared" si="26"/>
        <v>-56328.439999999988</v>
      </c>
      <c r="G247" s="40">
        <f t="shared" si="27"/>
        <v>148531.07999999999</v>
      </c>
      <c r="H247" s="232">
        <f t="shared" si="28"/>
        <v>-0.37923672271150249</v>
      </c>
      <c r="I247" s="356"/>
    </row>
    <row r="248" spans="2:9" x14ac:dyDescent="0.25">
      <c r="B248" s="157">
        <v>42450</v>
      </c>
      <c r="C248" s="451">
        <v>9278</v>
      </c>
      <c r="D248" s="452">
        <v>17.670000000000002</v>
      </c>
      <c r="E248" s="40">
        <v>11.43</v>
      </c>
      <c r="F248" s="236">
        <f t="shared" si="26"/>
        <v>-57894.720000000016</v>
      </c>
      <c r="G248" s="40">
        <f t="shared" si="27"/>
        <v>163942.26</v>
      </c>
      <c r="H248" s="232">
        <f t="shared" si="28"/>
        <v>-0.35314091680814946</v>
      </c>
      <c r="I248" s="356"/>
    </row>
    <row r="249" spans="2:9" x14ac:dyDescent="0.25">
      <c r="B249" s="157">
        <v>42451</v>
      </c>
      <c r="C249" s="100">
        <v>9628</v>
      </c>
      <c r="D249" s="437">
        <v>17.428000000000001</v>
      </c>
      <c r="E249" s="40">
        <v>11.31</v>
      </c>
      <c r="F249" s="236">
        <f t="shared" si="26"/>
        <v>-58904.104000000007</v>
      </c>
      <c r="G249" s="40">
        <f t="shared" si="27"/>
        <v>167796.78400000001</v>
      </c>
      <c r="H249" s="232">
        <f t="shared" si="28"/>
        <v>-0.35104429653431263</v>
      </c>
      <c r="I249" s="40"/>
    </row>
    <row r="250" spans="2:9" x14ac:dyDescent="0.25">
      <c r="B250" s="157">
        <v>42453</v>
      </c>
      <c r="C250" s="10">
        <v>13278</v>
      </c>
      <c r="D250" s="242">
        <v>15.5565</v>
      </c>
      <c r="E250" s="40">
        <v>10.29</v>
      </c>
      <c r="F250" s="236">
        <f t="shared" ref="F250:F289" si="29">C250*(E250-D250)</f>
        <v>-69928.587000000014</v>
      </c>
      <c r="G250" s="40">
        <f t="shared" ref="G250:G289" si="30">IF(C250=0, 0,D250*C250)</f>
        <v>206559.20699999999</v>
      </c>
      <c r="H250" s="232">
        <f t="shared" si="28"/>
        <v>-0.33854016006171056</v>
      </c>
      <c r="I250" s="40"/>
    </row>
    <row r="251" spans="2:9" x14ac:dyDescent="0.25">
      <c r="B251" s="157">
        <v>42459</v>
      </c>
      <c r="C251" s="10">
        <v>11278</v>
      </c>
      <c r="D251" s="242">
        <v>16.408899999999999</v>
      </c>
      <c r="E251" s="40">
        <v>10.53</v>
      </c>
      <c r="F251" s="236">
        <f t="shared" si="29"/>
        <v>-66302.234199999992</v>
      </c>
      <c r="G251" s="40">
        <f t="shared" si="30"/>
        <v>185059.5742</v>
      </c>
      <c r="H251" s="232">
        <f t="shared" si="28"/>
        <v>-0.35827508242478168</v>
      </c>
      <c r="I251" s="40"/>
    </row>
    <row r="252" spans="2:9" x14ac:dyDescent="0.25">
      <c r="B252" s="157">
        <v>42460</v>
      </c>
      <c r="C252" s="100">
        <v>9678</v>
      </c>
      <c r="D252" s="437">
        <v>17.311699999999998</v>
      </c>
      <c r="E252" s="40">
        <v>11.14</v>
      </c>
      <c r="F252" s="236">
        <f t="shared" si="29"/>
        <v>-59729.712599999977</v>
      </c>
      <c r="G252" s="40">
        <f t="shared" si="30"/>
        <v>167542.63259999998</v>
      </c>
      <c r="H252" s="232">
        <f t="shared" si="28"/>
        <v>-0.35650456049954643</v>
      </c>
      <c r="I252" s="356"/>
    </row>
    <row r="253" spans="2:9" x14ac:dyDescent="0.25">
      <c r="B253" s="157">
        <v>42461</v>
      </c>
      <c r="C253" s="282">
        <v>11678</v>
      </c>
      <c r="D253" s="338">
        <v>16.116</v>
      </c>
      <c r="E253" s="40">
        <v>10.53</v>
      </c>
      <c r="F253" s="236">
        <f t="shared" si="29"/>
        <v>-65233.308000000005</v>
      </c>
      <c r="G253" s="40">
        <f t="shared" si="30"/>
        <v>188202.64799999999</v>
      </c>
      <c r="H253" s="232">
        <f t="shared" si="28"/>
        <v>-0.34661206254653765</v>
      </c>
      <c r="I253" s="40"/>
    </row>
    <row r="254" spans="2:9" x14ac:dyDescent="0.25">
      <c r="B254" s="157">
        <v>42461</v>
      </c>
      <c r="C254" s="282">
        <v>9678</v>
      </c>
      <c r="D254" s="338">
        <v>17.266200000000001</v>
      </c>
      <c r="E254" s="40">
        <v>10.56</v>
      </c>
      <c r="F254" s="236">
        <f t="shared" si="29"/>
        <v>-64902.603600000009</v>
      </c>
      <c r="G254" s="40">
        <f t="shared" si="30"/>
        <v>167102.28360000002</v>
      </c>
      <c r="H254" s="232">
        <f t="shared" si="28"/>
        <v>-0.388400458699656</v>
      </c>
      <c r="I254" s="40"/>
    </row>
    <row r="255" spans="2:9" x14ac:dyDescent="0.25">
      <c r="B255" s="157">
        <v>42464</v>
      </c>
      <c r="C255" s="282">
        <v>9778</v>
      </c>
      <c r="D255" s="338">
        <v>17.196100000000001</v>
      </c>
      <c r="E255" s="40">
        <v>10.4</v>
      </c>
      <c r="F255" s="236">
        <f t="shared" si="29"/>
        <v>-66452.265800000008</v>
      </c>
      <c r="G255" s="40">
        <f t="shared" si="30"/>
        <v>168143.46580000001</v>
      </c>
      <c r="H255" s="232">
        <f t="shared" si="28"/>
        <v>-0.3952117049796175</v>
      </c>
      <c r="I255" s="40"/>
    </row>
    <row r="256" spans="2:9" x14ac:dyDescent="0.25">
      <c r="B256" s="157">
        <v>42465</v>
      </c>
      <c r="C256" s="282">
        <v>9678</v>
      </c>
      <c r="D256" s="338">
        <v>17.262699999999999</v>
      </c>
      <c r="E256" s="40">
        <v>10.63</v>
      </c>
      <c r="F256" s="236">
        <f t="shared" si="29"/>
        <v>-64191.270599999982</v>
      </c>
      <c r="G256" s="40">
        <f t="shared" si="30"/>
        <v>167068.4106</v>
      </c>
      <c r="H256" s="232">
        <f t="shared" si="28"/>
        <v>-0.38422147172806098</v>
      </c>
      <c r="I256" s="356"/>
    </row>
    <row r="257" spans="2:9" x14ac:dyDescent="0.25">
      <c r="B257" s="157">
        <v>42469</v>
      </c>
      <c r="C257" s="282">
        <v>8678</v>
      </c>
      <c r="D257" s="338">
        <v>17.895700000000001</v>
      </c>
      <c r="E257" s="40">
        <v>11.78</v>
      </c>
      <c r="F257" s="236">
        <f t="shared" si="29"/>
        <v>-53072.044600000016</v>
      </c>
      <c r="G257" s="40">
        <f t="shared" si="30"/>
        <v>155298.88460000002</v>
      </c>
      <c r="H257" s="232">
        <f t="shared" si="28"/>
        <v>-0.34174131215878684</v>
      </c>
      <c r="I257" s="356"/>
    </row>
    <row r="258" spans="2:9" x14ac:dyDescent="0.25">
      <c r="B258" s="157">
        <v>42471</v>
      </c>
      <c r="C258" s="282">
        <v>9678</v>
      </c>
      <c r="D258" s="338">
        <v>17.2514</v>
      </c>
      <c r="E258" s="40">
        <v>11.67</v>
      </c>
      <c r="F258" s="236">
        <f t="shared" si="29"/>
        <v>-54016.789200000007</v>
      </c>
      <c r="G258" s="40">
        <f t="shared" si="30"/>
        <v>166959.04920000001</v>
      </c>
      <c r="H258" s="232">
        <f t="shared" si="28"/>
        <v>-0.32353316252593994</v>
      </c>
      <c r="I258" s="356"/>
    </row>
    <row r="259" spans="2:9" x14ac:dyDescent="0.25">
      <c r="B259" s="157">
        <v>42472</v>
      </c>
      <c r="C259" s="282">
        <v>8288</v>
      </c>
      <c r="D259" s="338">
        <v>17.96</v>
      </c>
      <c r="E259" s="40">
        <v>13.05</v>
      </c>
      <c r="F259" s="236">
        <f t="shared" si="29"/>
        <v>-40694.080000000002</v>
      </c>
      <c r="G259" s="40">
        <f t="shared" si="30"/>
        <v>148852.48000000001</v>
      </c>
      <c r="H259" s="232">
        <f t="shared" si="28"/>
        <v>-0.27338530066815142</v>
      </c>
      <c r="I259" s="40"/>
    </row>
    <row r="260" spans="2:9" x14ac:dyDescent="0.25">
      <c r="B260" s="157">
        <v>42473</v>
      </c>
      <c r="C260" s="282">
        <v>9258</v>
      </c>
      <c r="D260" s="338">
        <v>17.415800000000001</v>
      </c>
      <c r="E260" s="40">
        <v>12.92</v>
      </c>
      <c r="F260" s="236">
        <f t="shared" si="29"/>
        <v>-41622.116400000006</v>
      </c>
      <c r="G260" s="40">
        <f t="shared" si="30"/>
        <v>161235.47640000001</v>
      </c>
      <c r="H260" s="232">
        <f t="shared" si="28"/>
        <v>-0.2581449029042594</v>
      </c>
      <c r="I260" s="40"/>
    </row>
    <row r="261" spans="2:9" x14ac:dyDescent="0.25">
      <c r="B261" s="157">
        <v>42474</v>
      </c>
      <c r="C261" s="282">
        <v>9678</v>
      </c>
      <c r="D261" s="338">
        <v>17.2135</v>
      </c>
      <c r="E261" s="40">
        <v>13.11</v>
      </c>
      <c r="F261" s="236">
        <f t="shared" si="29"/>
        <v>-39713.673000000003</v>
      </c>
      <c r="G261" s="40">
        <f t="shared" si="30"/>
        <v>166592.253</v>
      </c>
      <c r="H261" s="232">
        <f t="shared" si="28"/>
        <v>-0.23838847416272113</v>
      </c>
      <c r="I261" s="40"/>
    </row>
    <row r="262" spans="2:9" x14ac:dyDescent="0.25">
      <c r="B262" s="157">
        <v>42474</v>
      </c>
      <c r="C262" s="282">
        <v>9178</v>
      </c>
      <c r="D262" s="338">
        <v>17.433299999999999</v>
      </c>
      <c r="E262" s="40">
        <v>13.11</v>
      </c>
      <c r="F262" s="236">
        <f t="shared" si="29"/>
        <v>-39679.2474</v>
      </c>
      <c r="G262" s="40">
        <f t="shared" si="30"/>
        <v>160002.82739999998</v>
      </c>
      <c r="H262" s="232">
        <f t="shared" si="28"/>
        <v>-0.24799091394056202</v>
      </c>
      <c r="I262" s="40"/>
    </row>
    <row r="263" spans="2:9" x14ac:dyDescent="0.25">
      <c r="B263" s="157">
        <v>42475</v>
      </c>
      <c r="C263" s="282">
        <v>9678</v>
      </c>
      <c r="D263" s="338">
        <v>17.205100000000002</v>
      </c>
      <c r="E263" s="40">
        <v>13.01</v>
      </c>
      <c r="F263" s="236">
        <f t="shared" si="29"/>
        <v>-40600.177800000019</v>
      </c>
      <c r="G263" s="40">
        <f t="shared" si="30"/>
        <v>166510.9578</v>
      </c>
      <c r="H263" s="232">
        <f t="shared" si="28"/>
        <v>-0.24382886469709572</v>
      </c>
      <c r="I263" s="40"/>
    </row>
    <row r="264" spans="2:9" x14ac:dyDescent="0.25">
      <c r="B264" s="157">
        <v>42478</v>
      </c>
      <c r="C264" s="282">
        <v>9178</v>
      </c>
      <c r="D264" s="338">
        <v>17.412400000000002</v>
      </c>
      <c r="E264" s="40">
        <v>13.36</v>
      </c>
      <c r="F264" s="236">
        <f t="shared" si="29"/>
        <v>-37192.92720000002</v>
      </c>
      <c r="G264" s="40">
        <f t="shared" si="30"/>
        <v>159811.00720000002</v>
      </c>
      <c r="H264" s="232">
        <f t="shared" si="28"/>
        <v>-0.232730697663734</v>
      </c>
      <c r="I264" s="40"/>
    </row>
    <row r="265" spans="2:9" x14ac:dyDescent="0.25">
      <c r="B265" s="157">
        <v>42484</v>
      </c>
      <c r="C265" s="282">
        <v>9178</v>
      </c>
      <c r="D265" s="338">
        <v>17.412400000000002</v>
      </c>
      <c r="E265" s="40">
        <v>14.34</v>
      </c>
      <c r="F265" s="236">
        <f t="shared" si="29"/>
        <v>-28198.487200000018</v>
      </c>
      <c r="G265" s="40">
        <f t="shared" si="30"/>
        <v>159811.00720000002</v>
      </c>
      <c r="H265" s="232">
        <f t="shared" si="28"/>
        <v>-0.17644896740254082</v>
      </c>
      <c r="I265" s="40"/>
    </row>
    <row r="266" spans="2:9" x14ac:dyDescent="0.25">
      <c r="B266" s="157">
        <v>42485</v>
      </c>
      <c r="C266" s="282">
        <v>9678</v>
      </c>
      <c r="D266" s="338">
        <v>17.233499999999999</v>
      </c>
      <c r="E266" s="40">
        <v>13.83</v>
      </c>
      <c r="F266" s="236">
        <f t="shared" si="29"/>
        <v>-32939.072999999997</v>
      </c>
      <c r="G266" s="40">
        <f t="shared" si="30"/>
        <v>166785.81299999999</v>
      </c>
      <c r="H266" s="232">
        <f t="shared" si="28"/>
        <v>-0.19749325441726867</v>
      </c>
      <c r="I266" s="40"/>
    </row>
    <row r="267" spans="2:9" x14ac:dyDescent="0.25">
      <c r="B267" s="157">
        <v>42486</v>
      </c>
      <c r="C267" s="282">
        <v>9178</v>
      </c>
      <c r="D267" s="338">
        <v>17.390599999999999</v>
      </c>
      <c r="E267" s="40">
        <v>14.44</v>
      </c>
      <c r="F267" s="236">
        <f t="shared" si="29"/>
        <v>-27080.606799999998</v>
      </c>
      <c r="G267" s="40">
        <f t="shared" si="30"/>
        <v>159610.92679999999</v>
      </c>
      <c r="H267" s="232">
        <f t="shared" si="28"/>
        <v>-0.16966637148804525</v>
      </c>
      <c r="I267" s="356"/>
    </row>
    <row r="268" spans="2:9" x14ac:dyDescent="0.25">
      <c r="B268" s="157">
        <v>42487</v>
      </c>
      <c r="C268" s="282">
        <v>9178</v>
      </c>
      <c r="D268" s="338">
        <v>17.376300000000001</v>
      </c>
      <c r="E268" s="40">
        <v>14.84</v>
      </c>
      <c r="F268" s="236">
        <f t="shared" si="29"/>
        <v>-23278.161400000005</v>
      </c>
      <c r="G268" s="40">
        <f t="shared" si="30"/>
        <v>159479.6814</v>
      </c>
      <c r="H268" s="232">
        <f t="shared" si="28"/>
        <v>-0.14596317973331496</v>
      </c>
      <c r="I268" s="40"/>
    </row>
    <row r="269" spans="2:9" x14ac:dyDescent="0.25">
      <c r="B269" s="157">
        <v>42488</v>
      </c>
      <c r="C269" s="282">
        <v>9678</v>
      </c>
      <c r="D269" s="338">
        <v>17.2287</v>
      </c>
      <c r="E269" s="40">
        <v>14.35</v>
      </c>
      <c r="F269" s="236">
        <f t="shared" si="29"/>
        <v>-27860.058600000004</v>
      </c>
      <c r="G269" s="40">
        <f t="shared" si="30"/>
        <v>166739.35860000001</v>
      </c>
      <c r="H269" s="232">
        <f t="shared" si="28"/>
        <v>-0.16708747612994598</v>
      </c>
      <c r="I269" s="40"/>
    </row>
    <row r="270" spans="2:9" x14ac:dyDescent="0.25">
      <c r="B270" s="157">
        <v>42489</v>
      </c>
      <c r="C270" s="282">
        <v>9678</v>
      </c>
      <c r="D270" s="338">
        <v>17.179200000000002</v>
      </c>
      <c r="E270" s="40">
        <v>14.09</v>
      </c>
      <c r="F270" s="236">
        <f t="shared" si="29"/>
        <v>-29897.277600000016</v>
      </c>
      <c r="G270" s="40">
        <f t="shared" si="30"/>
        <v>166260.29760000002</v>
      </c>
      <c r="H270" s="232">
        <f t="shared" si="28"/>
        <v>-0.17982211045916</v>
      </c>
      <c r="I270" s="40"/>
    </row>
    <row r="271" spans="2:9" x14ac:dyDescent="0.25">
      <c r="B271" s="157">
        <v>42492</v>
      </c>
      <c r="C271" s="282">
        <v>9678</v>
      </c>
      <c r="D271" s="338">
        <v>17.136399999999998</v>
      </c>
      <c r="E271" s="40">
        <v>13.55</v>
      </c>
      <c r="F271" s="236">
        <f t="shared" si="29"/>
        <v>-34709.179199999977</v>
      </c>
      <c r="G271" s="40">
        <f t="shared" si="30"/>
        <v>165846.07919999998</v>
      </c>
      <c r="H271" s="232">
        <f t="shared" si="28"/>
        <v>-0.20928549753740563</v>
      </c>
      <c r="I271" s="40"/>
    </row>
    <row r="272" spans="2:9" x14ac:dyDescent="0.25">
      <c r="B272" s="157">
        <v>42493</v>
      </c>
      <c r="C272" s="282">
        <v>9678</v>
      </c>
      <c r="D272" s="338">
        <v>17.1221</v>
      </c>
      <c r="E272" s="40">
        <v>12.79</v>
      </c>
      <c r="F272" s="236">
        <f t="shared" si="29"/>
        <v>-41926.063800000004</v>
      </c>
      <c r="G272" s="40">
        <f t="shared" si="30"/>
        <v>165707.6838</v>
      </c>
      <c r="H272" s="232">
        <f t="shared" si="28"/>
        <v>-0.25301218892542388</v>
      </c>
      <c r="I272" s="356"/>
    </row>
    <row r="273" spans="2:9" x14ac:dyDescent="0.25">
      <c r="B273" s="157">
        <v>42494</v>
      </c>
      <c r="C273" s="282">
        <v>11678</v>
      </c>
      <c r="D273" s="338">
        <v>16.316800000000001</v>
      </c>
      <c r="E273" s="40">
        <v>12.17</v>
      </c>
      <c r="F273" s="236">
        <f t="shared" si="29"/>
        <v>-48426.330400000006</v>
      </c>
      <c r="G273" s="40">
        <f t="shared" si="30"/>
        <v>190547.59040000002</v>
      </c>
      <c r="H273" s="232">
        <f t="shared" si="28"/>
        <v>-0.25414296920964896</v>
      </c>
      <c r="I273" s="40"/>
    </row>
    <row r="274" spans="2:9" x14ac:dyDescent="0.25">
      <c r="B274" s="157">
        <v>42495</v>
      </c>
      <c r="C274" s="282">
        <v>9678</v>
      </c>
      <c r="D274" s="338">
        <v>17.0684</v>
      </c>
      <c r="E274" s="40">
        <v>12.07</v>
      </c>
      <c r="F274" s="236">
        <f t="shared" si="29"/>
        <v>-48374.515200000002</v>
      </c>
      <c r="G274" s="40">
        <f t="shared" si="30"/>
        <v>165187.97520000002</v>
      </c>
      <c r="H274" s="232">
        <f t="shared" si="28"/>
        <v>-0.29284525790349419</v>
      </c>
      <c r="I274" s="356"/>
    </row>
    <row r="275" spans="2:9" x14ac:dyDescent="0.25">
      <c r="B275" s="157">
        <v>42499</v>
      </c>
      <c r="C275" s="282">
        <v>10678</v>
      </c>
      <c r="D275" s="338">
        <v>16.537600000000001</v>
      </c>
      <c r="E275" s="40">
        <v>11.44</v>
      </c>
      <c r="F275" s="236">
        <f t="shared" si="29"/>
        <v>-54432.172800000015</v>
      </c>
      <c r="G275" s="40">
        <f t="shared" si="30"/>
        <v>176588.49280000001</v>
      </c>
      <c r="H275" s="232">
        <f t="shared" si="28"/>
        <v>-0.30824303405572762</v>
      </c>
      <c r="I275" s="40"/>
    </row>
    <row r="276" spans="2:9" x14ac:dyDescent="0.25">
      <c r="B276" s="157">
        <v>42500</v>
      </c>
      <c r="C276" s="282">
        <v>9678</v>
      </c>
      <c r="D276" s="338">
        <v>17.042100000000001</v>
      </c>
      <c r="E276" s="40">
        <v>11.94</v>
      </c>
      <c r="F276" s="236">
        <f t="shared" si="29"/>
        <v>-49378.123800000016</v>
      </c>
      <c r="G276" s="40">
        <f t="shared" si="30"/>
        <v>164933.44380000001</v>
      </c>
      <c r="H276" s="232">
        <f t="shared" si="28"/>
        <v>-0.2993821184009014</v>
      </c>
      <c r="I276" s="40"/>
    </row>
    <row r="277" spans="2:9" x14ac:dyDescent="0.25">
      <c r="B277" s="157">
        <v>42502</v>
      </c>
      <c r="C277" s="282">
        <v>10678</v>
      </c>
      <c r="D277" s="338">
        <v>16.601800000000001</v>
      </c>
      <c r="E277" s="40">
        <v>12.33</v>
      </c>
      <c r="F277" s="236">
        <f t="shared" si="29"/>
        <v>-45614.280400000011</v>
      </c>
      <c r="G277" s="40">
        <f t="shared" si="30"/>
        <v>177274.02040000001</v>
      </c>
      <c r="H277" s="232">
        <f t="shared" si="28"/>
        <v>-0.25730944837306802</v>
      </c>
      <c r="I277" s="40"/>
    </row>
    <row r="278" spans="2:9" x14ac:dyDescent="0.25">
      <c r="B278" s="157">
        <v>42502</v>
      </c>
      <c r="C278" s="282">
        <v>9678</v>
      </c>
      <c r="D278" s="338">
        <v>17.0334</v>
      </c>
      <c r="E278" s="40">
        <v>12.33</v>
      </c>
      <c r="F278" s="236">
        <f t="shared" si="29"/>
        <v>-45519.5052</v>
      </c>
      <c r="G278" s="40">
        <f t="shared" si="30"/>
        <v>164849.2452</v>
      </c>
      <c r="H278" s="232">
        <f t="shared" si="28"/>
        <v>-0.27612807777660364</v>
      </c>
      <c r="I278" s="40"/>
    </row>
    <row r="279" spans="2:9" x14ac:dyDescent="0.25">
      <c r="B279" s="157">
        <v>42503</v>
      </c>
      <c r="C279" s="282">
        <v>9678</v>
      </c>
      <c r="D279" s="338">
        <v>17.029299999999999</v>
      </c>
      <c r="E279" s="40">
        <v>12.3</v>
      </c>
      <c r="F279" s="236">
        <f t="shared" si="29"/>
        <v>-45770.165399999983</v>
      </c>
      <c r="G279" s="40">
        <f t="shared" si="30"/>
        <v>164809.56539999999</v>
      </c>
      <c r="H279" s="232">
        <f t="shared" si="28"/>
        <v>-0.27771546687180321</v>
      </c>
      <c r="I279" s="40"/>
    </row>
    <row r="280" spans="2:9" x14ac:dyDescent="0.25">
      <c r="B280" s="157">
        <v>42506</v>
      </c>
      <c r="C280" s="282">
        <v>9678</v>
      </c>
      <c r="D280" s="338">
        <v>17.027699999999999</v>
      </c>
      <c r="E280" s="40">
        <v>12.78</v>
      </c>
      <c r="F280" s="236">
        <f t="shared" si="29"/>
        <v>-41109.240599999997</v>
      </c>
      <c r="G280" s="40">
        <f t="shared" si="30"/>
        <v>164794.08059999999</v>
      </c>
      <c r="H280" s="232">
        <f t="shared" si="28"/>
        <v>-0.24945823569830336</v>
      </c>
      <c r="I280" s="40"/>
    </row>
    <row r="281" spans="2:9" x14ac:dyDescent="0.25">
      <c r="B281" s="157">
        <v>42513</v>
      </c>
      <c r="C281" s="282">
        <v>9178</v>
      </c>
      <c r="D281" s="338">
        <v>17.244399999999999</v>
      </c>
      <c r="E281" s="40">
        <v>13.19</v>
      </c>
      <c r="F281" s="236">
        <f t="shared" si="29"/>
        <v>-37211.283199999991</v>
      </c>
      <c r="G281" s="40">
        <f t="shared" si="30"/>
        <v>158269.10319999998</v>
      </c>
      <c r="H281" s="232">
        <f t="shared" si="28"/>
        <v>-0.23511400802579385</v>
      </c>
      <c r="I281" s="40"/>
    </row>
    <row r="282" spans="2:9" x14ac:dyDescent="0.25">
      <c r="B282" s="157">
        <v>42514</v>
      </c>
      <c r="C282" s="282">
        <v>9678</v>
      </c>
      <c r="D282" s="338">
        <v>17.026</v>
      </c>
      <c r="E282" s="40">
        <v>13.02</v>
      </c>
      <c r="F282" s="236">
        <f t="shared" si="29"/>
        <v>-38770.067999999999</v>
      </c>
      <c r="G282" s="40">
        <f t="shared" si="30"/>
        <v>164777.628</v>
      </c>
      <c r="H282" s="232">
        <f t="shared" si="28"/>
        <v>-0.23528720779983556</v>
      </c>
      <c r="I282" s="40"/>
    </row>
    <row r="283" spans="2:9" x14ac:dyDescent="0.25">
      <c r="B283" s="157">
        <v>42515</v>
      </c>
      <c r="C283" s="282">
        <v>9178</v>
      </c>
      <c r="D283" s="338">
        <v>17.206800000000001</v>
      </c>
      <c r="E283" s="40">
        <v>13.54</v>
      </c>
      <c r="F283" s="236">
        <f t="shared" si="29"/>
        <v>-33653.890400000018</v>
      </c>
      <c r="G283" s="40">
        <f t="shared" si="30"/>
        <v>157924.0104</v>
      </c>
      <c r="H283" s="232">
        <f t="shared" si="28"/>
        <v>-0.21310179696399109</v>
      </c>
      <c r="I283" s="40"/>
    </row>
    <row r="284" spans="2:9" x14ac:dyDescent="0.25">
      <c r="B284" s="157">
        <v>42516</v>
      </c>
      <c r="C284" s="282">
        <v>9678</v>
      </c>
      <c r="D284" s="338">
        <v>17.003799999999998</v>
      </c>
      <c r="E284" s="40">
        <v>13.17</v>
      </c>
      <c r="F284" s="236">
        <f t="shared" si="29"/>
        <v>-37103.516399999986</v>
      </c>
      <c r="G284" s="40">
        <f t="shared" si="30"/>
        <v>164562.77639999997</v>
      </c>
      <c r="H284" s="232">
        <f t="shared" si="28"/>
        <v>-0.22546724849739463</v>
      </c>
      <c r="I284" s="40"/>
    </row>
    <row r="285" spans="2:9" x14ac:dyDescent="0.25">
      <c r="B285" s="157">
        <v>42517</v>
      </c>
      <c r="C285" s="282">
        <v>9678</v>
      </c>
      <c r="D285" s="338">
        <v>16.999700000000001</v>
      </c>
      <c r="E285" s="40">
        <v>12.9</v>
      </c>
      <c r="F285" s="236">
        <f t="shared" si="29"/>
        <v>-39676.8966</v>
      </c>
      <c r="G285" s="40">
        <f t="shared" si="30"/>
        <v>164523.09660000002</v>
      </c>
      <c r="H285" s="232">
        <f t="shared" si="28"/>
        <v>-0.2411630793484591</v>
      </c>
      <c r="I285" s="40"/>
    </row>
    <row r="286" spans="2:9" x14ac:dyDescent="0.25">
      <c r="B286" s="157">
        <v>42525</v>
      </c>
      <c r="C286" s="282">
        <v>9678</v>
      </c>
      <c r="D286" s="338">
        <v>16.9956</v>
      </c>
      <c r="E286" s="40">
        <v>13.32</v>
      </c>
      <c r="F286" s="236">
        <f t="shared" si="29"/>
        <v>-35572.456799999993</v>
      </c>
      <c r="G286" s="40">
        <f t="shared" si="30"/>
        <v>164483.41680000001</v>
      </c>
      <c r="H286" s="232">
        <f t="shared" si="28"/>
        <v>-0.21626773988561743</v>
      </c>
      <c r="I286" s="40"/>
    </row>
    <row r="287" spans="2:9" x14ac:dyDescent="0.25">
      <c r="B287" s="157">
        <v>42527</v>
      </c>
      <c r="C287" s="282">
        <v>8178</v>
      </c>
      <c r="D287" s="338">
        <v>17.568999999999999</v>
      </c>
      <c r="E287" s="40">
        <v>13.96</v>
      </c>
      <c r="F287" s="236">
        <f t="shared" si="29"/>
        <v>-29514.401999999984</v>
      </c>
      <c r="G287" s="40">
        <f t="shared" si="30"/>
        <v>143679.28200000001</v>
      </c>
      <c r="H287" s="232">
        <f t="shared" si="28"/>
        <v>-0.20541863509590746</v>
      </c>
      <c r="I287" s="40"/>
    </row>
    <row r="288" spans="2:9" x14ac:dyDescent="0.25">
      <c r="B288" s="157">
        <v>42528</v>
      </c>
      <c r="C288" s="444">
        <v>7678</v>
      </c>
      <c r="D288" s="445">
        <v>17.759599999999999</v>
      </c>
      <c r="E288" s="40">
        <v>14.62</v>
      </c>
      <c r="F288" s="236">
        <f t="shared" si="29"/>
        <v>-24105.848799999996</v>
      </c>
      <c r="G288" s="40">
        <f t="shared" si="30"/>
        <v>136358.20879999999</v>
      </c>
      <c r="H288" s="232">
        <f t="shared" si="28"/>
        <v>-0.17678326088425414</v>
      </c>
      <c r="I288" s="40"/>
    </row>
    <row r="289" spans="2:9" x14ac:dyDescent="0.25">
      <c r="B289" s="157">
        <v>42529</v>
      </c>
      <c r="C289" s="429">
        <v>8178</v>
      </c>
      <c r="D289" s="446">
        <v>17.5654</v>
      </c>
      <c r="E289" s="40">
        <v>14.53</v>
      </c>
      <c r="F289" s="236">
        <f t="shared" si="29"/>
        <v>-24823.50120000001</v>
      </c>
      <c r="G289" s="40">
        <f t="shared" si="30"/>
        <v>143649.8412</v>
      </c>
      <c r="H289" s="232">
        <f t="shared" si="28"/>
        <v>-0.17280562924840887</v>
      </c>
      <c r="I289" s="40"/>
    </row>
    <row r="290" spans="2:9" x14ac:dyDescent="0.25">
      <c r="B290" s="157">
        <v>42531</v>
      </c>
      <c r="C290" s="282">
        <v>8978</v>
      </c>
      <c r="D290" s="338">
        <v>17.1751</v>
      </c>
      <c r="E290" s="40">
        <v>13.42</v>
      </c>
      <c r="F290" s="236">
        <f t="shared" ref="F290:F298" si="31">C290*(E290-D290)</f>
        <v>-33713.287800000006</v>
      </c>
      <c r="G290" s="40">
        <f t="shared" ref="G290:G298" si="32">IF(C290=0, 0,D290*C290)</f>
        <v>154198.0478</v>
      </c>
      <c r="H290" s="232">
        <f t="shared" ref="H290:H298" si="33">IF(C290=0, D290, (E290-D290)/D290)</f>
        <v>-0.21863628159370255</v>
      </c>
      <c r="I290" s="40"/>
    </row>
    <row r="291" spans="2:9" x14ac:dyDescent="0.25">
      <c r="B291" s="157">
        <v>42531</v>
      </c>
      <c r="C291" s="100">
        <v>9278</v>
      </c>
      <c r="D291" s="437">
        <v>17.1052</v>
      </c>
      <c r="E291" s="40">
        <v>13.42</v>
      </c>
      <c r="F291" s="236">
        <f t="shared" si="31"/>
        <v>-34191.285600000003</v>
      </c>
      <c r="G291" s="40">
        <f t="shared" si="32"/>
        <v>158702.04560000001</v>
      </c>
      <c r="H291" s="232">
        <f t="shared" si="33"/>
        <v>-0.21544325702125669</v>
      </c>
      <c r="I291" s="202"/>
    </row>
    <row r="292" spans="2:9" x14ac:dyDescent="0.25">
      <c r="B292" s="157">
        <v>42532</v>
      </c>
      <c r="C292" s="447">
        <v>9278</v>
      </c>
      <c r="D292" s="448">
        <v>17.053000000000001</v>
      </c>
      <c r="E292" s="40">
        <v>13.42</v>
      </c>
      <c r="F292" s="236">
        <f t="shared" si="31"/>
        <v>-33706.974000000009</v>
      </c>
      <c r="G292" s="40">
        <f t="shared" si="32"/>
        <v>158217.734</v>
      </c>
      <c r="H292" s="232">
        <f t="shared" si="33"/>
        <v>-0.21304169354365804</v>
      </c>
      <c r="I292" s="202" t="s">
        <v>192</v>
      </c>
    </row>
    <row r="293" spans="2:9" x14ac:dyDescent="0.25">
      <c r="B293" s="157">
        <v>42535</v>
      </c>
      <c r="C293" s="282">
        <v>9678</v>
      </c>
      <c r="D293" s="338">
        <v>16.879300000000001</v>
      </c>
      <c r="E293" s="40">
        <v>13.23</v>
      </c>
      <c r="F293" s="236">
        <f t="shared" si="31"/>
        <v>-35317.9254</v>
      </c>
      <c r="G293" s="40">
        <f t="shared" si="32"/>
        <v>163357.86540000001</v>
      </c>
      <c r="H293" s="232">
        <f t="shared" si="33"/>
        <v>-0.21619972392220058</v>
      </c>
      <c r="I293" s="472" t="s">
        <v>244</v>
      </c>
    </row>
    <row r="294" spans="2:9" x14ac:dyDescent="0.25">
      <c r="B294" s="157">
        <v>42536</v>
      </c>
      <c r="C294" s="447">
        <v>9278</v>
      </c>
      <c r="D294" s="448">
        <v>17.027999999999999</v>
      </c>
      <c r="E294" s="40">
        <v>13.06</v>
      </c>
      <c r="F294" s="236">
        <f t="shared" si="31"/>
        <v>-36815.103999999985</v>
      </c>
      <c r="G294" s="40">
        <f t="shared" si="32"/>
        <v>157985.78399999999</v>
      </c>
      <c r="H294" s="232">
        <f t="shared" si="33"/>
        <v>-0.23302795395818643</v>
      </c>
      <c r="I294" s="202"/>
    </row>
    <row r="295" spans="2:9" x14ac:dyDescent="0.25">
      <c r="B295" s="157">
        <v>42537</v>
      </c>
      <c r="C295" s="282">
        <v>9278</v>
      </c>
      <c r="D295" s="338">
        <v>17.0168</v>
      </c>
      <c r="E295" s="40">
        <v>12.67</v>
      </c>
      <c r="F295" s="236">
        <f t="shared" si="31"/>
        <v>-40329.610399999998</v>
      </c>
      <c r="G295" s="40">
        <f t="shared" si="32"/>
        <v>157881.87039999999</v>
      </c>
      <c r="H295" s="232">
        <f t="shared" si="33"/>
        <v>-0.25544168116214566</v>
      </c>
      <c r="I295" s="202"/>
    </row>
    <row r="296" spans="2:9" x14ac:dyDescent="0.25">
      <c r="B296" s="157">
        <v>42538</v>
      </c>
      <c r="C296" s="282">
        <v>9278</v>
      </c>
      <c r="D296" s="338">
        <v>17.0061</v>
      </c>
      <c r="E296" s="40">
        <v>13.16</v>
      </c>
      <c r="F296" s="236">
        <f t="shared" si="31"/>
        <v>-35684.1158</v>
      </c>
      <c r="G296" s="40">
        <f t="shared" si="32"/>
        <v>157782.59580000001</v>
      </c>
      <c r="H296" s="232">
        <f t="shared" si="33"/>
        <v>-0.2261600249322302</v>
      </c>
      <c r="I296" s="202"/>
    </row>
    <row r="297" spans="2:9" x14ac:dyDescent="0.25">
      <c r="B297" s="157">
        <v>42541</v>
      </c>
      <c r="C297" s="444">
        <v>7678</v>
      </c>
      <c r="D297" s="445">
        <v>17.568000000000001</v>
      </c>
      <c r="E297" s="40">
        <v>14.48</v>
      </c>
      <c r="F297" s="236">
        <f t="shared" si="31"/>
        <v>-23709.664000000008</v>
      </c>
      <c r="G297" s="40">
        <f t="shared" si="32"/>
        <v>134887.10400000002</v>
      </c>
      <c r="H297" s="232">
        <f t="shared" si="33"/>
        <v>-0.17577413479052828</v>
      </c>
      <c r="I297" s="202"/>
    </row>
    <row r="298" spans="2:9" x14ac:dyDescent="0.25">
      <c r="B298" s="157">
        <v>42542</v>
      </c>
      <c r="C298" s="282">
        <v>6800</v>
      </c>
      <c r="D298" s="338">
        <v>17.892099999999999</v>
      </c>
      <c r="E298" s="40">
        <v>15.09</v>
      </c>
      <c r="F298" s="236">
        <f t="shared" si="31"/>
        <v>-19054.279999999995</v>
      </c>
      <c r="G298" s="40">
        <f t="shared" si="32"/>
        <v>121666.28</v>
      </c>
      <c r="H298" s="232">
        <f t="shared" si="33"/>
        <v>-0.15661101827063337</v>
      </c>
      <c r="I298" s="202"/>
    </row>
    <row r="299" spans="2:9" x14ac:dyDescent="0.25">
      <c r="B299" s="157">
        <v>42543</v>
      </c>
      <c r="C299" s="282">
        <v>7300</v>
      </c>
      <c r="D299" s="338">
        <v>17.6769</v>
      </c>
      <c r="E299" s="40">
        <v>14.75</v>
      </c>
      <c r="F299" s="236">
        <f t="shared" ref="F299:F307" si="34">C299*(E299-D299)</f>
        <v>-21366.37</v>
      </c>
      <c r="G299" s="40">
        <f t="shared" ref="G299:G307" si="35">IF(C299=0, 0,D299*C299)</f>
        <v>129041.37</v>
      </c>
      <c r="H299" s="232">
        <f t="shared" ref="H299:H307" si="36">IF(C299=0, D299, (E299-D299)/D299)</f>
        <v>-0.16557767481854849</v>
      </c>
      <c r="I299" s="202"/>
    </row>
    <row r="300" spans="2:9" x14ac:dyDescent="0.25">
      <c r="B300" s="157">
        <v>42544</v>
      </c>
      <c r="C300" s="282">
        <v>6800</v>
      </c>
      <c r="D300" s="338">
        <v>17.856100000000001</v>
      </c>
      <c r="E300" s="40">
        <v>15.27</v>
      </c>
      <c r="F300" s="236">
        <f t="shared" si="34"/>
        <v>-17585.480000000014</v>
      </c>
      <c r="G300" s="40">
        <f t="shared" si="35"/>
        <v>121421.48000000001</v>
      </c>
      <c r="H300" s="232">
        <f t="shared" si="36"/>
        <v>-0.1448300580753917</v>
      </c>
      <c r="I300" s="202"/>
    </row>
    <row r="301" spans="2:9" x14ac:dyDescent="0.25">
      <c r="B301" s="157">
        <v>42545</v>
      </c>
      <c r="C301" s="444">
        <v>7678</v>
      </c>
      <c r="D301" s="445">
        <v>17.462</v>
      </c>
      <c r="E301" s="40">
        <v>14.41</v>
      </c>
      <c r="F301" s="236">
        <f t="shared" si="34"/>
        <v>-23433.255999999998</v>
      </c>
      <c r="G301" s="40">
        <f t="shared" si="35"/>
        <v>134073.236</v>
      </c>
      <c r="H301" s="232">
        <f t="shared" si="36"/>
        <v>-0.17477952124613444</v>
      </c>
      <c r="I301" s="202"/>
    </row>
    <row r="302" spans="2:9" x14ac:dyDescent="0.25">
      <c r="B302" s="157">
        <v>42545</v>
      </c>
      <c r="C302" s="282">
        <v>8013</v>
      </c>
      <c r="D302" s="338">
        <v>17.32</v>
      </c>
      <c r="E302" s="40">
        <v>14.68</v>
      </c>
      <c r="F302" s="236">
        <f t="shared" si="34"/>
        <v>-21154.320000000003</v>
      </c>
      <c r="G302" s="40">
        <f t="shared" si="35"/>
        <v>138785.16</v>
      </c>
      <c r="H302" s="232">
        <f t="shared" si="36"/>
        <v>-0.15242494226327949</v>
      </c>
      <c r="I302" s="202"/>
    </row>
    <row r="303" spans="2:9" x14ac:dyDescent="0.25">
      <c r="B303" s="157">
        <v>42548</v>
      </c>
      <c r="C303" s="282">
        <v>8978</v>
      </c>
      <c r="D303" s="338">
        <v>16.943300000000001</v>
      </c>
      <c r="E303" s="40">
        <v>13.66</v>
      </c>
      <c r="F303" s="236">
        <f t="shared" si="34"/>
        <v>-29477.467400000005</v>
      </c>
      <c r="G303" s="40">
        <f t="shared" si="35"/>
        <v>152116.9474</v>
      </c>
      <c r="H303" s="232">
        <f t="shared" si="36"/>
        <v>-0.19378161279089673</v>
      </c>
      <c r="I303" s="202"/>
    </row>
    <row r="304" spans="2:9" x14ac:dyDescent="0.25">
      <c r="B304" s="157">
        <v>42548</v>
      </c>
      <c r="C304" s="449">
        <v>9278</v>
      </c>
      <c r="D304" s="450">
        <v>16.834599999999998</v>
      </c>
      <c r="E304" s="40">
        <v>13.66</v>
      </c>
      <c r="F304" s="236">
        <f t="shared" si="34"/>
        <v>-29453.938799999982</v>
      </c>
      <c r="G304" s="40">
        <f t="shared" si="35"/>
        <v>156191.41879999998</v>
      </c>
      <c r="H304" s="232">
        <f t="shared" si="36"/>
        <v>-0.18857590913951019</v>
      </c>
      <c r="I304" s="202"/>
    </row>
    <row r="305" spans="2:9" x14ac:dyDescent="0.25">
      <c r="B305" s="157">
        <v>42549</v>
      </c>
      <c r="C305" s="7">
        <v>8178</v>
      </c>
      <c r="D305" s="454">
        <v>17.124400000000001</v>
      </c>
      <c r="E305" s="40">
        <v>14.78</v>
      </c>
      <c r="F305" s="236">
        <f t="shared" si="34"/>
        <v>-19172.503200000017</v>
      </c>
      <c r="G305" s="40">
        <f t="shared" si="35"/>
        <v>140043.3432</v>
      </c>
      <c r="H305" s="232">
        <f t="shared" si="36"/>
        <v>-0.13690406671182651</v>
      </c>
      <c r="I305" s="473">
        <v>17</v>
      </c>
    </row>
    <row r="306" spans="2:9" x14ac:dyDescent="0.25">
      <c r="B306" s="157">
        <v>42552</v>
      </c>
      <c r="C306" s="456">
        <v>7678</v>
      </c>
      <c r="D306" s="465">
        <v>17.2315</v>
      </c>
      <c r="E306" s="40">
        <v>15.48</v>
      </c>
      <c r="F306" s="236">
        <f t="shared" si="34"/>
        <v>-13448.017</v>
      </c>
      <c r="G306" s="40">
        <f t="shared" si="35"/>
        <v>132303.45699999999</v>
      </c>
      <c r="H306" s="232">
        <f t="shared" si="36"/>
        <v>-0.1016452427240809</v>
      </c>
      <c r="I306" s="493">
        <v>17</v>
      </c>
    </row>
    <row r="307" spans="2:9" x14ac:dyDescent="0.25">
      <c r="B307" s="157">
        <v>42552</v>
      </c>
      <c r="C307" s="10">
        <v>7300</v>
      </c>
      <c r="D307" s="242">
        <v>17.313400000000001</v>
      </c>
      <c r="E307" s="40">
        <v>15.65</v>
      </c>
      <c r="F307" s="236">
        <f t="shared" si="34"/>
        <v>-12142.820000000009</v>
      </c>
      <c r="G307" s="40">
        <f t="shared" si="35"/>
        <v>126387.82</v>
      </c>
      <c r="H307" s="232">
        <f t="shared" si="36"/>
        <v>-9.6075871868032903E-2</v>
      </c>
      <c r="I307" s="202"/>
    </row>
    <row r="308" spans="2:9" x14ac:dyDescent="0.25">
      <c r="B308" s="157">
        <v>42552</v>
      </c>
      <c r="C308" s="10">
        <v>6800</v>
      </c>
      <c r="D308" s="242">
        <v>17.446100000000001</v>
      </c>
      <c r="E308" s="40">
        <v>15.7</v>
      </c>
      <c r="F308" s="236">
        <f t="shared" ref="F308:F312" si="37">C308*(E308-D308)</f>
        <v>-11873.480000000014</v>
      </c>
      <c r="G308" s="40">
        <f t="shared" ref="G308:G312" si="38">IF(C308=0, 0,D308*C308)</f>
        <v>118633.48000000001</v>
      </c>
      <c r="H308" s="232">
        <f t="shared" ref="H308:H312" si="39">IF(C308=0, D308, (E308-D308)/D308)</f>
        <v>-0.10008540590733757</v>
      </c>
      <c r="I308" s="202"/>
    </row>
    <row r="309" spans="2:9" x14ac:dyDescent="0.25">
      <c r="B309" s="157">
        <v>42552</v>
      </c>
      <c r="C309" s="10">
        <v>6000</v>
      </c>
      <c r="D309" s="242">
        <v>17.668199999999999</v>
      </c>
      <c r="E309" s="40">
        <v>15.68</v>
      </c>
      <c r="F309" s="236">
        <f t="shared" si="37"/>
        <v>-11929.199999999995</v>
      </c>
      <c r="G309" s="40">
        <f t="shared" si="38"/>
        <v>106009.2</v>
      </c>
      <c r="H309" s="232">
        <f t="shared" si="39"/>
        <v>-0.11252985589929926</v>
      </c>
      <c r="I309" s="202"/>
    </row>
    <row r="310" spans="2:9" x14ac:dyDescent="0.25">
      <c r="B310" s="157">
        <v>42556</v>
      </c>
      <c r="C310" s="7">
        <v>8178</v>
      </c>
      <c r="D310" s="454">
        <v>16.978899999999999</v>
      </c>
      <c r="E310" s="40">
        <v>14.72</v>
      </c>
      <c r="F310" s="236">
        <f t="shared" si="37"/>
        <v>-18473.284199999991</v>
      </c>
      <c r="G310" s="40">
        <f t="shared" si="38"/>
        <v>138853.4442</v>
      </c>
      <c r="H310" s="232">
        <f t="shared" si="39"/>
        <v>-0.13304159869013887</v>
      </c>
      <c r="I310" s="484">
        <v>16.75</v>
      </c>
    </row>
    <row r="311" spans="2:9" x14ac:dyDescent="0.25">
      <c r="B311" s="157">
        <v>42556</v>
      </c>
      <c r="C311" s="10">
        <v>8678</v>
      </c>
      <c r="D311" s="242">
        <v>16.843</v>
      </c>
      <c r="E311" s="40">
        <v>14.72</v>
      </c>
      <c r="F311" s="236">
        <f t="shared" si="37"/>
        <v>-18423.393999999993</v>
      </c>
      <c r="G311" s="40">
        <f t="shared" si="38"/>
        <v>146163.554</v>
      </c>
      <c r="H311" s="232">
        <f t="shared" si="39"/>
        <v>-0.12604642878347083</v>
      </c>
      <c r="I311" s="202"/>
    </row>
    <row r="312" spans="2:9" x14ac:dyDescent="0.25">
      <c r="B312" s="157">
        <v>42557</v>
      </c>
      <c r="C312" s="7">
        <v>8178</v>
      </c>
      <c r="D312" s="454">
        <v>16.960599999999999</v>
      </c>
      <c r="E312" s="40">
        <v>14.84</v>
      </c>
      <c r="F312" s="236">
        <f t="shared" si="37"/>
        <v>-17342.266799999998</v>
      </c>
      <c r="G312" s="40">
        <f t="shared" si="38"/>
        <v>138703.7868</v>
      </c>
      <c r="H312" s="232">
        <f t="shared" si="39"/>
        <v>-0.12503095409360515</v>
      </c>
      <c r="I312" s="493">
        <v>16.75</v>
      </c>
    </row>
    <row r="313" spans="2:9" x14ac:dyDescent="0.25">
      <c r="B313" s="157">
        <v>42557</v>
      </c>
      <c r="C313" s="10">
        <v>8678</v>
      </c>
      <c r="D313" s="242">
        <v>16.835000000000001</v>
      </c>
      <c r="E313" s="40">
        <v>14.84</v>
      </c>
      <c r="F313" s="236">
        <f t="shared" ref="F313" si="40">C313*(E313-D313)</f>
        <v>-17312.610000000008</v>
      </c>
      <c r="G313" s="40">
        <f t="shared" ref="G313" si="41">IF(C313=0, 0,D313*C313)</f>
        <v>146094.13</v>
      </c>
      <c r="H313" s="232">
        <f t="shared" ref="H313" si="42">IF(C313=0, D313, (E313-D313)/D313)</f>
        <v>-0.11850311850311855</v>
      </c>
      <c r="I313" s="202"/>
    </row>
    <row r="314" spans="2:9" x14ac:dyDescent="0.25">
      <c r="B314" s="157">
        <v>42559</v>
      </c>
      <c r="C314" s="10">
        <v>8678</v>
      </c>
      <c r="D314" s="242">
        <v>16.835000000000001</v>
      </c>
      <c r="E314" s="40">
        <v>14.92</v>
      </c>
      <c r="F314" s="236">
        <f t="shared" ref="F314" si="43">C314*(E314-D314)</f>
        <v>-16618.370000000006</v>
      </c>
      <c r="G314" s="40">
        <f t="shared" ref="G314" si="44">IF(C314=0, 0,D314*C314)</f>
        <v>146094.13</v>
      </c>
      <c r="H314" s="232">
        <f t="shared" ref="H314" si="45">IF(C314=0, D314, (E314-D314)/D314)</f>
        <v>-0.1137511137511138</v>
      </c>
      <c r="I314" s="202"/>
    </row>
    <row r="315" spans="2:9" x14ac:dyDescent="0.25">
      <c r="B315" s="157">
        <v>42562</v>
      </c>
      <c r="C315" s="10">
        <v>8678</v>
      </c>
      <c r="D315" s="242">
        <v>16.835000000000001</v>
      </c>
      <c r="E315" s="40">
        <v>14.69</v>
      </c>
      <c r="F315" s="236">
        <f t="shared" ref="F315" si="46">C315*(E315-D315)</f>
        <v>-18614.310000000012</v>
      </c>
      <c r="G315" s="40">
        <f t="shared" ref="G315" si="47">IF(C315=0, 0,D315*C315)</f>
        <v>146094.13</v>
      </c>
      <c r="H315" s="232">
        <f t="shared" ref="H315" si="48">IF(C315=0, D315, (E315-D315)/D315)</f>
        <v>-0.12741312741312749</v>
      </c>
      <c r="I315" s="202"/>
    </row>
    <row r="316" spans="2:9" x14ac:dyDescent="0.25">
      <c r="B316" s="157">
        <v>42563</v>
      </c>
      <c r="C316" s="10">
        <v>8678</v>
      </c>
      <c r="D316" s="242">
        <v>16.835000000000001</v>
      </c>
      <c r="E316" s="40">
        <v>15.6</v>
      </c>
      <c r="F316" s="236">
        <f t="shared" ref="F316:F317" si="49">C316*(E316-D316)</f>
        <v>-10717.330000000011</v>
      </c>
      <c r="G316" s="40">
        <f t="shared" ref="G316:G317" si="50">IF(C316=0, 0,D316*C316)</f>
        <v>146094.13</v>
      </c>
      <c r="H316" s="232">
        <f t="shared" ref="H316:H317" si="51">IF(C316=0, D316, (E316-D316)/D316)</f>
        <v>-7.3359073359073421E-2</v>
      </c>
      <c r="I316" s="202"/>
    </row>
    <row r="317" spans="2:9" x14ac:dyDescent="0.25">
      <c r="B317" s="157">
        <v>42564</v>
      </c>
      <c r="C317" s="10">
        <v>8738</v>
      </c>
      <c r="D317" s="242">
        <v>16.816099999999999</v>
      </c>
      <c r="E317" s="40">
        <v>15.29</v>
      </c>
      <c r="F317" s="236">
        <f t="shared" si="49"/>
        <v>-13335.061799999996</v>
      </c>
      <c r="G317" s="40">
        <f t="shared" si="50"/>
        <v>146939.08179999999</v>
      </c>
      <c r="H317" s="232">
        <f t="shared" si="51"/>
        <v>-9.0752314745987453E-2</v>
      </c>
      <c r="I317" s="40"/>
    </row>
    <row r="318" spans="2:9" x14ac:dyDescent="0.25">
      <c r="B318" s="157">
        <v>42566</v>
      </c>
      <c r="C318" s="10">
        <v>8738</v>
      </c>
      <c r="D318" s="242">
        <v>16.816099999999999</v>
      </c>
      <c r="E318" s="40">
        <v>15.21</v>
      </c>
      <c r="F318" s="236">
        <f t="shared" ref="F318:F320" si="52">C318*(E318-D318)</f>
        <v>-14034.101799999982</v>
      </c>
      <c r="G318" s="40">
        <f t="shared" ref="G318:G320" si="53">IF(C318=0, 0,D318*C318)</f>
        <v>146939.08179999999</v>
      </c>
      <c r="H318" s="232">
        <f t="shared" ref="H318:H320" si="54">IF(C318=0, D318, (E318-D318)/D318)</f>
        <v>-9.5509660384988079E-2</v>
      </c>
      <c r="I318" s="40"/>
    </row>
    <row r="319" spans="2:9" x14ac:dyDescent="0.25">
      <c r="B319" s="157">
        <v>42570</v>
      </c>
      <c r="C319" s="10">
        <v>9138</v>
      </c>
      <c r="D319" s="242">
        <v>16.733499999999999</v>
      </c>
      <c r="E319" s="40">
        <v>14.75</v>
      </c>
      <c r="F319" s="236">
        <f t="shared" si="52"/>
        <v>-18125.222999999994</v>
      </c>
      <c r="G319" s="40">
        <f t="shared" si="53"/>
        <v>152910.723</v>
      </c>
      <c r="H319" s="232">
        <f t="shared" si="54"/>
        <v>-0.1185346759494427</v>
      </c>
      <c r="I319" s="40"/>
    </row>
    <row r="320" spans="2:9" x14ac:dyDescent="0.25">
      <c r="B320" s="157">
        <v>42571</v>
      </c>
      <c r="C320" s="10">
        <v>9138</v>
      </c>
      <c r="D320" s="242">
        <v>16.7227</v>
      </c>
      <c r="E320" s="40">
        <v>14.84</v>
      </c>
      <c r="F320" s="236">
        <f t="shared" si="52"/>
        <v>-17204.112599999997</v>
      </c>
      <c r="G320" s="40">
        <f t="shared" si="53"/>
        <v>152812.03260000001</v>
      </c>
      <c r="H320" s="232">
        <f t="shared" si="54"/>
        <v>-0.11258349429218965</v>
      </c>
      <c r="I320" s="40"/>
    </row>
    <row r="321" spans="2:9" x14ac:dyDescent="0.25">
      <c r="B321" s="157">
        <v>42572</v>
      </c>
      <c r="C321" s="10">
        <v>9138</v>
      </c>
      <c r="D321" s="242">
        <v>16.718900000000001</v>
      </c>
      <c r="E321" s="40">
        <v>14.42</v>
      </c>
      <c r="F321" s="236">
        <f t="shared" ref="F321" si="55">C321*(E321-D321)</f>
        <v>-21007.348200000015</v>
      </c>
      <c r="G321" s="40">
        <f t="shared" ref="G321" si="56">IF(C321=0, 0,D321*C321)</f>
        <v>152777.3082</v>
      </c>
      <c r="H321" s="232">
        <f t="shared" ref="H321" si="57">IF(C321=0, D321, (E321-D321)/D321)</f>
        <v>-0.13750306539305823</v>
      </c>
      <c r="I321" s="40"/>
    </row>
    <row r="322" spans="2:9" x14ac:dyDescent="0.25">
      <c r="B322" s="157">
        <v>42573</v>
      </c>
      <c r="C322" s="449">
        <v>9278</v>
      </c>
      <c r="D322" s="450">
        <v>16.679099999999998</v>
      </c>
      <c r="E322" s="40">
        <v>14.11</v>
      </c>
      <c r="F322" s="236">
        <f t="shared" ref="F322:F323" si="58">C322*(E322-D322)</f>
        <v>-23836.109799999987</v>
      </c>
      <c r="G322" s="40">
        <f t="shared" ref="G322:G323" si="59">IF(C322=0, 0,D322*C322)</f>
        <v>154748.68979999999</v>
      </c>
      <c r="H322" s="232">
        <f t="shared" ref="H322:H323" si="60">IF(C322=0, D322, (E322-D322)/D322)</f>
        <v>-0.15403109280476759</v>
      </c>
      <c r="I322" s="40"/>
    </row>
    <row r="323" spans="2:9" x14ac:dyDescent="0.25">
      <c r="B323" s="157">
        <v>42576</v>
      </c>
      <c r="C323" s="10">
        <v>9478</v>
      </c>
      <c r="D323" s="242">
        <v>16.613099999999999</v>
      </c>
      <c r="E323" s="40">
        <v>13.58</v>
      </c>
      <c r="F323" s="236">
        <f t="shared" si="58"/>
        <v>-28747.721799999992</v>
      </c>
      <c r="G323" s="40">
        <f t="shared" si="59"/>
        <v>157458.96179999999</v>
      </c>
      <c r="H323" s="232">
        <f t="shared" si="60"/>
        <v>-0.18257278894366491</v>
      </c>
      <c r="I323" s="339"/>
    </row>
    <row r="324" spans="2:9" x14ac:dyDescent="0.25">
      <c r="B324" s="157">
        <v>42577</v>
      </c>
      <c r="C324" s="449">
        <v>9278</v>
      </c>
      <c r="D324" s="450">
        <v>16.674199999999999</v>
      </c>
      <c r="E324" s="40">
        <v>13.78</v>
      </c>
      <c r="F324" s="236">
        <f t="shared" ref="F324:F325" si="61">C324*(E324-D324)</f>
        <v>-26852.387599999998</v>
      </c>
      <c r="G324" s="40">
        <f t="shared" ref="G324:G325" si="62">IF(C324=0, 0,D324*C324)</f>
        <v>154703.22759999998</v>
      </c>
      <c r="H324" s="232">
        <f t="shared" ref="H324:H325" si="63">IF(C324=0, D324, (E324-D324)/D324)</f>
        <v>-0.17357354475776948</v>
      </c>
      <c r="I324" s="533">
        <v>16.53</v>
      </c>
    </row>
    <row r="325" spans="2:9" x14ac:dyDescent="0.25">
      <c r="B325" s="157">
        <v>42578</v>
      </c>
      <c r="C325" s="10">
        <v>9478</v>
      </c>
      <c r="D325" s="242">
        <v>16.6004</v>
      </c>
      <c r="E325" s="40">
        <v>13.13</v>
      </c>
      <c r="F325" s="236">
        <f t="shared" si="61"/>
        <v>-32892.451199999996</v>
      </c>
      <c r="G325" s="40">
        <f t="shared" si="62"/>
        <v>157338.5912</v>
      </c>
      <c r="H325" s="232">
        <f t="shared" si="63"/>
        <v>-0.20905520348907253</v>
      </c>
      <c r="I325" s="339"/>
    </row>
    <row r="326" spans="2:9" x14ac:dyDescent="0.25">
      <c r="B326" s="157">
        <v>42580</v>
      </c>
      <c r="C326" s="10">
        <v>9478</v>
      </c>
      <c r="D326" s="242">
        <v>16.599</v>
      </c>
      <c r="E326" s="40">
        <v>13.64</v>
      </c>
      <c r="F326" s="236">
        <f t="shared" ref="F326:F329" si="64">C326*(E326-D326)</f>
        <v>-28045.401999999998</v>
      </c>
      <c r="G326" s="40">
        <f t="shared" ref="G326:G329" si="65">IF(C326=0, 0,D326*C326)</f>
        <v>157325.32200000001</v>
      </c>
      <c r="H326" s="232">
        <f t="shared" ref="H326:H329" si="66">IF(C326=0, D326, (E326-D326)/D326)</f>
        <v>-0.17826375082836313</v>
      </c>
      <c r="I326" s="339"/>
    </row>
    <row r="327" spans="2:9" x14ac:dyDescent="0.25">
      <c r="B327" s="157">
        <v>42580</v>
      </c>
      <c r="C327" s="449">
        <v>9278</v>
      </c>
      <c r="D327" s="450">
        <v>16.664000000000001</v>
      </c>
      <c r="E327" s="40">
        <v>13.64</v>
      </c>
      <c r="F327" s="236">
        <f t="shared" si="64"/>
        <v>-28056.67200000001</v>
      </c>
      <c r="G327" s="40">
        <f t="shared" si="65"/>
        <v>154608.592</v>
      </c>
      <c r="H327" s="232">
        <f t="shared" si="66"/>
        <v>-0.18146903504560732</v>
      </c>
      <c r="I327" s="533">
        <v>16.53</v>
      </c>
    </row>
    <row r="328" spans="2:9" x14ac:dyDescent="0.25">
      <c r="B328" s="157">
        <v>42583</v>
      </c>
      <c r="C328" s="10">
        <v>9478</v>
      </c>
      <c r="D328" s="242">
        <v>16.5871</v>
      </c>
      <c r="E328" s="40">
        <v>12.92</v>
      </c>
      <c r="F328" s="236">
        <f t="shared" si="64"/>
        <v>-34756.773799999995</v>
      </c>
      <c r="G328" s="40">
        <f t="shared" si="65"/>
        <v>157212.5338</v>
      </c>
      <c r="H328" s="232">
        <f t="shared" si="66"/>
        <v>-0.22108144280796521</v>
      </c>
      <c r="I328" s="339"/>
    </row>
    <row r="329" spans="2:9" x14ac:dyDescent="0.25">
      <c r="B329" s="157">
        <v>42584</v>
      </c>
      <c r="C329" s="10">
        <v>9678</v>
      </c>
      <c r="D329" s="242">
        <v>16.5063</v>
      </c>
      <c r="E329" s="40">
        <v>12.9</v>
      </c>
      <c r="F329" s="236">
        <f t="shared" si="64"/>
        <v>-34901.771399999991</v>
      </c>
      <c r="G329" s="40">
        <f t="shared" si="65"/>
        <v>159747.97140000001</v>
      </c>
      <c r="H329" s="232">
        <f t="shared" si="66"/>
        <v>-0.21848021664455386</v>
      </c>
      <c r="I329" s="339"/>
    </row>
    <row r="330" spans="2:9" x14ac:dyDescent="0.25">
      <c r="B330" s="157">
        <v>42585</v>
      </c>
      <c r="C330" s="10">
        <v>10078</v>
      </c>
      <c r="D330" s="242">
        <v>16.5063</v>
      </c>
      <c r="E330" s="40">
        <v>12.9</v>
      </c>
      <c r="F330" s="236">
        <f t="shared" ref="F330:F345" si="67">C330*(E330-D330)</f>
        <v>-36344.291399999995</v>
      </c>
      <c r="G330" s="40">
        <f t="shared" ref="G330:G345" si="68">IF(C330=0, 0,D330*C330)</f>
        <v>166350.4914</v>
      </c>
      <c r="H330" s="232">
        <f t="shared" ref="H330:H345" si="69">IF(C330=0, D330, (E330-D330)/D330)</f>
        <v>-0.21848021664455386</v>
      </c>
      <c r="I330" s="339"/>
    </row>
    <row r="331" spans="2:9" x14ac:dyDescent="0.25">
      <c r="B331" s="157">
        <v>42586</v>
      </c>
      <c r="C331" s="10">
        <v>9678</v>
      </c>
      <c r="D331" s="242">
        <v>16.489799999999999</v>
      </c>
      <c r="E331" s="40">
        <v>13.41</v>
      </c>
      <c r="F331" s="236">
        <f t="shared" si="67"/>
        <v>-29806.304399999986</v>
      </c>
      <c r="G331" s="40">
        <f t="shared" si="68"/>
        <v>159588.28439999997</v>
      </c>
      <c r="H331" s="232">
        <f t="shared" si="69"/>
        <v>-0.1867700032747516</v>
      </c>
      <c r="I331" s="339"/>
    </row>
    <row r="332" spans="2:9" x14ac:dyDescent="0.25">
      <c r="B332" s="157">
        <v>42586</v>
      </c>
      <c r="C332" s="449">
        <v>9278</v>
      </c>
      <c r="D332" s="450">
        <v>16.609200000000001</v>
      </c>
      <c r="E332" s="40">
        <v>13.66</v>
      </c>
      <c r="F332" s="236">
        <f t="shared" si="67"/>
        <v>-27362.67760000001</v>
      </c>
      <c r="G332" s="40">
        <f t="shared" si="68"/>
        <v>154100.15760000001</v>
      </c>
      <c r="H332" s="232">
        <f t="shared" si="69"/>
        <v>-0.17756424150470829</v>
      </c>
      <c r="I332" s="533">
        <v>16.53</v>
      </c>
    </row>
    <row r="333" spans="2:9" x14ac:dyDescent="0.25">
      <c r="B333" s="157">
        <v>42586</v>
      </c>
      <c r="C333" s="10">
        <v>9138</v>
      </c>
      <c r="D333" s="242">
        <v>16.6511</v>
      </c>
      <c r="E333" s="40">
        <v>13.87</v>
      </c>
      <c r="F333" s="236">
        <f t="shared" si="67"/>
        <v>-25413.691800000004</v>
      </c>
      <c r="G333" s="40">
        <f t="shared" si="68"/>
        <v>152157.7518</v>
      </c>
      <c r="H333" s="232">
        <f t="shared" si="69"/>
        <v>-0.1670219985466426</v>
      </c>
      <c r="I333" s="339"/>
    </row>
    <row r="334" spans="2:9" x14ac:dyDescent="0.25">
      <c r="B334" s="157">
        <v>42593</v>
      </c>
      <c r="C334" s="10">
        <v>8678</v>
      </c>
      <c r="D334" s="242">
        <v>16.760300000000001</v>
      </c>
      <c r="E334" s="40">
        <v>14.61</v>
      </c>
      <c r="F334" s="236">
        <f t="shared" si="67"/>
        <v>-18660.303400000012</v>
      </c>
      <c r="G334" s="40">
        <f t="shared" si="68"/>
        <v>145445.88340000002</v>
      </c>
      <c r="H334" s="232">
        <f t="shared" si="69"/>
        <v>-0.12829722618330228</v>
      </c>
      <c r="I334" s="339"/>
    </row>
    <row r="335" spans="2:9" x14ac:dyDescent="0.25">
      <c r="B335" s="157">
        <v>42597</v>
      </c>
      <c r="C335" s="10">
        <v>8678</v>
      </c>
      <c r="D335" s="242">
        <v>16.7471</v>
      </c>
      <c r="E335" s="40">
        <v>14.9</v>
      </c>
      <c r="F335" s="236">
        <f t="shared" si="67"/>
        <v>-16029.133799999994</v>
      </c>
      <c r="G335" s="40">
        <f t="shared" si="68"/>
        <v>145331.33379999999</v>
      </c>
      <c r="H335" s="232">
        <f t="shared" si="69"/>
        <v>-0.11029372249523794</v>
      </c>
      <c r="I335" s="339"/>
    </row>
    <row r="336" spans="2:9" x14ac:dyDescent="0.25">
      <c r="B336" s="157">
        <v>42598</v>
      </c>
      <c r="C336" s="7">
        <v>8178</v>
      </c>
      <c r="D336" s="454">
        <v>16.8429</v>
      </c>
      <c r="E336" s="40">
        <v>15.17</v>
      </c>
      <c r="F336" s="236">
        <f t="shared" si="67"/>
        <v>-13680.976200000003</v>
      </c>
      <c r="G336" s="40">
        <f t="shared" si="68"/>
        <v>137741.23620000001</v>
      </c>
      <c r="H336" s="232">
        <f t="shared" si="69"/>
        <v>-9.9323750660515728E-2</v>
      </c>
      <c r="I336" s="46">
        <v>16.75</v>
      </c>
    </row>
    <row r="337" spans="2:9" x14ac:dyDescent="0.25">
      <c r="B337" s="157">
        <v>42599</v>
      </c>
      <c r="C337" s="10">
        <v>7178</v>
      </c>
      <c r="D337" s="242">
        <v>17.009899999999998</v>
      </c>
      <c r="E337" s="40">
        <v>15.7</v>
      </c>
      <c r="F337" s="236">
        <f t="shared" si="67"/>
        <v>-9402.4621999999927</v>
      </c>
      <c r="G337" s="40">
        <f t="shared" si="68"/>
        <v>122097.06219999999</v>
      </c>
      <c r="H337" s="232">
        <f t="shared" si="69"/>
        <v>-7.7008095285686515E-2</v>
      </c>
      <c r="I337" s="339"/>
    </row>
    <row r="338" spans="2:9" x14ac:dyDescent="0.25">
      <c r="B338" s="157">
        <v>42600</v>
      </c>
      <c r="C338" s="10">
        <v>5500</v>
      </c>
      <c r="D338" s="242">
        <v>17.185600000000001</v>
      </c>
      <c r="E338" s="40">
        <v>16.68</v>
      </c>
      <c r="F338" s="236">
        <f t="shared" si="67"/>
        <v>-2780.8000000000065</v>
      </c>
      <c r="G338" s="40">
        <f t="shared" si="68"/>
        <v>94520.8</v>
      </c>
      <c r="H338" s="232">
        <f t="shared" si="69"/>
        <v>-2.9419979517735846E-2</v>
      </c>
      <c r="I338" s="339"/>
    </row>
    <row r="339" spans="2:9" x14ac:dyDescent="0.25">
      <c r="B339" s="157">
        <v>42601</v>
      </c>
      <c r="C339" s="10">
        <v>5000</v>
      </c>
      <c r="D339" s="242">
        <v>17.222200000000001</v>
      </c>
      <c r="E339" s="40">
        <v>16.8</v>
      </c>
      <c r="F339" s="236">
        <f t="shared" si="67"/>
        <v>-2111.0000000000005</v>
      </c>
      <c r="G339" s="40">
        <f t="shared" si="68"/>
        <v>86111</v>
      </c>
      <c r="H339" s="232">
        <f t="shared" si="69"/>
        <v>-2.4514870341768188E-2</v>
      </c>
      <c r="I339" s="339"/>
    </row>
    <row r="340" spans="2:9" x14ac:dyDescent="0.25">
      <c r="B340" s="157">
        <v>42604</v>
      </c>
      <c r="C340" s="10">
        <v>6000</v>
      </c>
      <c r="D340" s="242">
        <v>16.9651</v>
      </c>
      <c r="E340" s="40">
        <v>15.64</v>
      </c>
      <c r="F340" s="236">
        <f t="shared" si="67"/>
        <v>-7950.599999999994</v>
      </c>
      <c r="G340" s="40">
        <f t="shared" si="68"/>
        <v>101790.59999999999</v>
      </c>
      <c r="H340" s="232">
        <f t="shared" si="69"/>
        <v>-7.8107408739117312E-2</v>
      </c>
      <c r="I340" s="339"/>
    </row>
    <row r="341" spans="2:9" x14ac:dyDescent="0.25">
      <c r="B341" s="157">
        <v>42604</v>
      </c>
      <c r="C341" s="10">
        <v>6500</v>
      </c>
      <c r="D341" s="242">
        <v>16.850899999999999</v>
      </c>
      <c r="E341" s="40">
        <v>15.64</v>
      </c>
      <c r="F341" s="236">
        <f t="shared" si="67"/>
        <v>-7870.8499999999922</v>
      </c>
      <c r="G341" s="40">
        <f t="shared" si="68"/>
        <v>109530.84999999999</v>
      </c>
      <c r="H341" s="232">
        <f t="shared" si="69"/>
        <v>-7.1859663282079822E-2</v>
      </c>
      <c r="I341" s="339"/>
    </row>
    <row r="342" spans="2:9" x14ac:dyDescent="0.25">
      <c r="B342" s="157">
        <v>42605</v>
      </c>
      <c r="C342" s="10">
        <v>6000</v>
      </c>
      <c r="D342" s="242">
        <v>16.923500000000001</v>
      </c>
      <c r="E342" s="40">
        <v>16.43</v>
      </c>
      <c r="F342" s="236">
        <f t="shared" si="67"/>
        <v>-2961.0000000000055</v>
      </c>
      <c r="G342" s="40">
        <f t="shared" si="68"/>
        <v>101541</v>
      </c>
      <c r="H342" s="232">
        <f t="shared" si="69"/>
        <v>-2.9160634620498178E-2</v>
      </c>
      <c r="I342" s="339"/>
    </row>
    <row r="343" spans="2:9" x14ac:dyDescent="0.25">
      <c r="B343" s="157">
        <v>42605</v>
      </c>
      <c r="C343" s="10">
        <v>5500</v>
      </c>
      <c r="D343" s="242">
        <v>16.9848</v>
      </c>
      <c r="E343" s="40">
        <v>16.43</v>
      </c>
      <c r="F343" s="236">
        <f t="shared" si="67"/>
        <v>-3051.400000000001</v>
      </c>
      <c r="G343" s="40">
        <f t="shared" si="68"/>
        <v>93416.4</v>
      </c>
      <c r="H343" s="232">
        <f t="shared" si="69"/>
        <v>-3.266450002355048E-2</v>
      </c>
      <c r="I343" s="339"/>
    </row>
    <row r="344" spans="2:9" x14ac:dyDescent="0.25">
      <c r="B344" s="157">
        <v>42605</v>
      </c>
      <c r="C344" s="10">
        <v>5000</v>
      </c>
      <c r="D344" s="242">
        <v>17.035299999999999</v>
      </c>
      <c r="E344" s="40">
        <v>16.43</v>
      </c>
      <c r="F344" s="236">
        <f t="shared" si="67"/>
        <v>-3026.4999999999986</v>
      </c>
      <c r="G344" s="40">
        <f t="shared" si="68"/>
        <v>85176.5</v>
      </c>
      <c r="H344" s="232">
        <f t="shared" si="69"/>
        <v>-3.5532100990296606E-2</v>
      </c>
      <c r="I344" s="339"/>
    </row>
    <row r="345" spans="2:9" x14ac:dyDescent="0.25">
      <c r="B345" s="157">
        <v>42606</v>
      </c>
      <c r="C345" s="10">
        <v>5178</v>
      </c>
      <c r="D345" s="242">
        <v>17.0017</v>
      </c>
      <c r="E345" s="40">
        <v>16.059999999999999</v>
      </c>
      <c r="F345" s="236">
        <f t="shared" si="67"/>
        <v>-4876.1226000000042</v>
      </c>
      <c r="G345" s="40">
        <f t="shared" si="68"/>
        <v>88034.802599999995</v>
      </c>
      <c r="H345" s="232">
        <f t="shared" si="69"/>
        <v>-5.5388578789179958E-2</v>
      </c>
      <c r="I345" s="339"/>
    </row>
    <row r="346" spans="2:9" x14ac:dyDescent="0.25">
      <c r="B346" s="157">
        <v>42607</v>
      </c>
      <c r="C346" s="10">
        <v>5178</v>
      </c>
      <c r="D346" s="242">
        <v>17.0017</v>
      </c>
      <c r="E346" s="40">
        <v>16.010000000000002</v>
      </c>
      <c r="F346" s="236">
        <f t="shared" ref="F346:F347" si="70">C346*(E346-D346)</f>
        <v>-5135.0225999999902</v>
      </c>
      <c r="G346" s="40">
        <f t="shared" ref="G346:G347" si="71">IF(C346=0, 0,D346*C346)</f>
        <v>88034.802599999995</v>
      </c>
      <c r="H346" s="232">
        <f t="shared" ref="H346:H347" si="72">IF(C346=0, D346, (E346-D346)/D346)</f>
        <v>-5.8329461171529789E-2</v>
      </c>
      <c r="I346" s="339"/>
    </row>
    <row r="347" spans="2:9" x14ac:dyDescent="0.25">
      <c r="B347" s="157">
        <v>42608</v>
      </c>
      <c r="C347" s="10">
        <v>6178</v>
      </c>
      <c r="D347" s="242">
        <v>16.825800000000001</v>
      </c>
      <c r="E347" s="40">
        <v>15.95</v>
      </c>
      <c r="F347" s="236">
        <f t="shared" si="70"/>
        <v>-5410.6924000000108</v>
      </c>
      <c r="G347" s="40">
        <f t="shared" si="71"/>
        <v>103949.79240000001</v>
      </c>
      <c r="H347" s="232">
        <f t="shared" si="72"/>
        <v>-5.2051016890727435E-2</v>
      </c>
      <c r="I347" s="339"/>
    </row>
    <row r="348" spans="2:9" x14ac:dyDescent="0.25">
      <c r="B348" s="157">
        <v>42611</v>
      </c>
      <c r="C348" s="10">
        <v>6178</v>
      </c>
      <c r="D348" s="242">
        <v>16.825800000000001</v>
      </c>
      <c r="E348" s="40">
        <v>15.99</v>
      </c>
      <c r="F348" s="236">
        <f t="shared" ref="F348:F353" si="73">C348*(E348-D348)</f>
        <v>-5163.5724000000046</v>
      </c>
      <c r="G348" s="40">
        <f t="shared" ref="G348:G353" si="74">IF(C348=0, 0,D348*C348)</f>
        <v>103949.79240000001</v>
      </c>
      <c r="H348" s="232">
        <f t="shared" ref="H348:H353" si="75">IF(C348=0, D348, (E348-D348)/D348)</f>
        <v>-4.9673715365688452E-2</v>
      </c>
      <c r="I348" s="339"/>
    </row>
    <row r="349" spans="2:9" x14ac:dyDescent="0.25">
      <c r="B349" s="157">
        <v>42612</v>
      </c>
      <c r="C349" s="10">
        <v>6678</v>
      </c>
      <c r="D349" s="242">
        <v>16.739999999999998</v>
      </c>
      <c r="E349" s="40">
        <v>15.55</v>
      </c>
      <c r="F349" s="236">
        <f t="shared" si="73"/>
        <v>-7946.8199999999852</v>
      </c>
      <c r="G349" s="40">
        <f t="shared" si="74"/>
        <v>111789.71999999999</v>
      </c>
      <c r="H349" s="232">
        <f t="shared" si="75"/>
        <v>-7.1087216248506446E-2</v>
      </c>
      <c r="I349" s="339"/>
    </row>
    <row r="350" spans="2:9" x14ac:dyDescent="0.25">
      <c r="B350" s="157">
        <v>42612</v>
      </c>
      <c r="C350" s="10">
        <v>7178</v>
      </c>
      <c r="D350" s="242">
        <v>16.6571</v>
      </c>
      <c r="E350" s="40">
        <v>15.55</v>
      </c>
      <c r="F350" s="236">
        <f t="shared" si="73"/>
        <v>-7946.7637999999934</v>
      </c>
      <c r="G350" s="40">
        <f t="shared" si="74"/>
        <v>119564.66379999999</v>
      </c>
      <c r="H350" s="232">
        <f t="shared" si="75"/>
        <v>-6.6464150422342369E-2</v>
      </c>
      <c r="I350" s="339"/>
    </row>
    <row r="351" spans="2:9" x14ac:dyDescent="0.25">
      <c r="B351" s="157">
        <v>42613</v>
      </c>
      <c r="C351" s="456">
        <v>7678</v>
      </c>
      <c r="D351" s="465">
        <v>16.565200000000001</v>
      </c>
      <c r="E351" s="40">
        <v>15.02</v>
      </c>
      <c r="F351" s="236">
        <f t="shared" si="73"/>
        <v>-11864.04560000001</v>
      </c>
      <c r="G351" s="40">
        <f t="shared" si="74"/>
        <v>127187.60560000001</v>
      </c>
      <c r="H351" s="232">
        <f t="shared" si="75"/>
        <v>-9.3279887957887692E-2</v>
      </c>
      <c r="I351" s="534" t="s">
        <v>377</v>
      </c>
    </row>
    <row r="352" spans="2:9" x14ac:dyDescent="0.25">
      <c r="B352" s="157">
        <v>42613</v>
      </c>
      <c r="C352" s="7">
        <v>8178</v>
      </c>
      <c r="D352" s="454">
        <v>16.474399999999999</v>
      </c>
      <c r="E352" s="40">
        <v>15.02</v>
      </c>
      <c r="F352" s="236">
        <f t="shared" si="73"/>
        <v>-11894.083199999997</v>
      </c>
      <c r="G352" s="40">
        <f t="shared" si="74"/>
        <v>134727.64319999999</v>
      </c>
      <c r="H352" s="232">
        <f t="shared" si="75"/>
        <v>-8.8282426067110162E-2</v>
      </c>
      <c r="I352" s="535" t="s">
        <v>378</v>
      </c>
    </row>
    <row r="353" spans="2:9" x14ac:dyDescent="0.25">
      <c r="B353" s="157">
        <v>42615</v>
      </c>
      <c r="C353" s="456">
        <v>7678</v>
      </c>
      <c r="D353" s="465">
        <v>16.528099999999998</v>
      </c>
      <c r="E353" s="40">
        <v>15.49</v>
      </c>
      <c r="F353" s="236">
        <f t="shared" si="73"/>
        <v>-7970.5317999999861</v>
      </c>
      <c r="G353" s="40">
        <f t="shared" si="74"/>
        <v>126902.75179999998</v>
      </c>
      <c r="H353" s="232">
        <f t="shared" si="75"/>
        <v>-6.2808187268953986E-2</v>
      </c>
      <c r="I353" s="534">
        <v>16.350000000000001</v>
      </c>
    </row>
    <row r="354" spans="2:9" x14ac:dyDescent="0.25">
      <c r="B354" s="157"/>
      <c r="C354" s="10"/>
      <c r="D354" s="242"/>
      <c r="E354" s="40"/>
      <c r="F354" s="236"/>
      <c r="G354" s="40"/>
      <c r="H354" s="232"/>
      <c r="I354" s="40"/>
    </row>
    <row r="355" spans="2:9" x14ac:dyDescent="0.25">
      <c r="B355" s="157"/>
      <c r="C355" s="10"/>
      <c r="D355" s="242"/>
      <c r="E355" s="40"/>
      <c r="F355" s="236"/>
      <c r="G355" s="40"/>
      <c r="H355" s="232"/>
      <c r="I355" s="40"/>
    </row>
    <row r="356" spans="2:9" x14ac:dyDescent="0.25">
      <c r="B356" s="157"/>
      <c r="C356" s="10"/>
      <c r="D356" s="242"/>
      <c r="E356" s="40"/>
      <c r="F356" s="236"/>
      <c r="G356" s="40"/>
      <c r="H356" s="232"/>
      <c r="I356" s="40"/>
    </row>
    <row r="357" spans="2:9" x14ac:dyDescent="0.25">
      <c r="B357" s="157"/>
      <c r="C357" s="10"/>
      <c r="D357" s="242"/>
      <c r="E357" s="40"/>
      <c r="F357" s="236"/>
      <c r="G357" s="40"/>
      <c r="H357" s="232"/>
      <c r="I357" s="40"/>
    </row>
    <row r="358" spans="2:9" x14ac:dyDescent="0.25">
      <c r="B358" s="157"/>
      <c r="C358" s="10"/>
      <c r="D358" s="242"/>
      <c r="E358" s="40"/>
      <c r="F358" s="236"/>
      <c r="G358" s="40"/>
      <c r="H358" s="232"/>
      <c r="I358" s="40"/>
    </row>
  </sheetData>
  <mergeCells count="19">
    <mergeCell ref="G167:G170"/>
    <mergeCell ref="A126:A128"/>
    <mergeCell ref="A120:A122"/>
    <mergeCell ref="A113:A116"/>
    <mergeCell ref="G147:G150"/>
    <mergeCell ref="G103:G105"/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F196:F358 H196:H358">
    <cfRule type="expression" dxfId="608" priority="26">
      <formula>F196&gt;0</formula>
    </cfRule>
    <cfRule type="expression" dxfId="607" priority="27">
      <formula>F196&lt;0</formula>
    </cfRule>
  </conditionalFormatting>
  <conditionalFormatting sqref="O42:O7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189:F195">
    <cfRule type="expression" dxfId="606" priority="19">
      <formula>F189&gt;0</formula>
    </cfRule>
    <cfRule type="expression" dxfId="605" priority="20">
      <formula>F189&lt;0</formula>
    </cfRule>
  </conditionalFormatting>
  <conditionalFormatting sqref="H189:H195">
    <cfRule type="expression" dxfId="604" priority="15">
      <formula>H189&gt;0</formula>
    </cfRule>
    <cfRule type="expression" dxfId="603" priority="16">
      <formula>H189&lt;0</formula>
    </cfRule>
  </conditionalFormatting>
  <conditionalFormatting sqref="Q8">
    <cfRule type="expression" dxfId="602" priority="1">
      <formula>Q8&gt;0</formula>
    </cfRule>
    <cfRule type="expression" dxfId="601" priority="2">
      <formula>Q8&lt;0</formula>
    </cfRule>
  </conditionalFormatting>
  <conditionalFormatting sqref="Q7">
    <cfRule type="expression" dxfId="600" priority="3">
      <formula>Q7&gt;0</formula>
    </cfRule>
    <cfRule type="expression" dxfId="599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3.42578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207</v>
      </c>
      <c r="B2" s="475">
        <v>42482</v>
      </c>
      <c r="C2" s="7">
        <v>80</v>
      </c>
      <c r="D2" s="44">
        <v>36.01</v>
      </c>
      <c r="E2" s="44">
        <v>0</v>
      </c>
      <c r="F2" s="44">
        <f t="shared" ref="F2:F13" si="0">D2*C2+E2</f>
        <v>2880.7999999999997</v>
      </c>
      <c r="G2" s="475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44">
        <v>10.5</v>
      </c>
      <c r="O2" s="11" t="s">
        <v>57</v>
      </c>
      <c r="Q2">
        <f>C18-H18</f>
        <v>500</v>
      </c>
      <c r="T2" s="1"/>
      <c r="W2" s="133">
        <v>42615</v>
      </c>
      <c r="X2" s="10">
        <v>32.14</v>
      </c>
      <c r="Y2" s="10">
        <v>32.81</v>
      </c>
      <c r="Z2" s="10">
        <v>32.01</v>
      </c>
      <c r="AA2" s="10">
        <v>32.5</v>
      </c>
      <c r="AB2" s="95">
        <v>7452900</v>
      </c>
      <c r="AC2" s="10">
        <v>32.5</v>
      </c>
      <c r="AD2" s="2">
        <f>Y2-Z2</f>
        <v>0.80000000000000426</v>
      </c>
      <c r="AE2" s="138">
        <f>AC2/AC3-1</f>
        <v>1.6896120150187599E-2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 t="shared" si="0"/>
        <v>711</v>
      </c>
      <c r="G3" s="474"/>
      <c r="H3" s="7"/>
      <c r="I3" s="44"/>
      <c r="J3" s="44"/>
      <c r="K3" s="44"/>
      <c r="L3" s="1">
        <v>42614</v>
      </c>
      <c r="M3" s="44">
        <v>48</v>
      </c>
      <c r="O3" s="11" t="s">
        <v>58</v>
      </c>
      <c r="Q3" s="519">
        <f>IF(Q2=0, Q4, (F18-K18-M18)/Q2)</f>
        <v>32.949880000000007</v>
      </c>
      <c r="T3" s="1"/>
      <c r="W3" s="133">
        <v>42614</v>
      </c>
      <c r="X3" s="10">
        <v>32.1</v>
      </c>
      <c r="Y3" s="10">
        <v>32.15</v>
      </c>
      <c r="Z3" s="10">
        <v>31.81</v>
      </c>
      <c r="AA3" s="10">
        <v>31.96</v>
      </c>
      <c r="AB3" s="95">
        <v>7468400</v>
      </c>
      <c r="AC3" s="10">
        <v>31.96</v>
      </c>
      <c r="AD3" s="2">
        <f t="shared" ref="AD3:AD66" si="1">Y3-Z3</f>
        <v>0.33999999999999986</v>
      </c>
      <c r="AE3" s="138">
        <f t="shared" ref="AE3:AE66" si="2">AC3/AC4-1</f>
        <v>-9.3779306033126009E-4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 t="shared" si="0"/>
        <v>1367.6</v>
      </c>
      <c r="G4" s="475">
        <v>42521</v>
      </c>
      <c r="H4" s="82">
        <v>40</v>
      </c>
      <c r="I4" s="44">
        <v>35.99</v>
      </c>
      <c r="J4" s="44">
        <v>0.03</v>
      </c>
      <c r="K4" s="44">
        <f>I4*H4-J4</f>
        <v>1439.5700000000002</v>
      </c>
      <c r="O4" s="11" t="s">
        <v>66</v>
      </c>
      <c r="Q4" s="521">
        <v>32.67</v>
      </c>
      <c r="T4" s="163"/>
      <c r="W4" s="133">
        <v>42613</v>
      </c>
      <c r="X4" s="10">
        <v>32.159999999999997</v>
      </c>
      <c r="Y4" s="10">
        <v>32.29</v>
      </c>
      <c r="Z4" s="10">
        <v>31.91</v>
      </c>
      <c r="AA4" s="10">
        <v>31.99</v>
      </c>
      <c r="AB4" s="95">
        <v>9102800</v>
      </c>
      <c r="AC4" s="10">
        <v>31.99</v>
      </c>
      <c r="AD4" s="2">
        <f t="shared" si="1"/>
        <v>0.37999999999999901</v>
      </c>
      <c r="AE4" s="138">
        <f t="shared" si="2"/>
        <v>-5.2860696517412764E-3</v>
      </c>
    </row>
    <row r="5" spans="1:31" x14ac:dyDescent="0.25">
      <c r="B5" s="475">
        <v>42509</v>
      </c>
      <c r="C5" s="4">
        <v>100</v>
      </c>
      <c r="D5" s="3">
        <v>34.49</v>
      </c>
      <c r="E5" s="3">
        <v>0</v>
      </c>
      <c r="F5" s="3">
        <f t="shared" si="0"/>
        <v>3449</v>
      </c>
      <c r="G5" s="475">
        <v>42531</v>
      </c>
      <c r="H5" s="82">
        <v>100</v>
      </c>
      <c r="I5" s="44">
        <v>36.99</v>
      </c>
      <c r="J5" s="44">
        <v>0.08</v>
      </c>
      <c r="K5" s="44">
        <f>I5*H5-J5</f>
        <v>3698.92</v>
      </c>
      <c r="O5" s="11" t="s">
        <v>67</v>
      </c>
      <c r="Q5" s="3">
        <f>Q4*Q2</f>
        <v>16335</v>
      </c>
      <c r="W5" s="133">
        <v>42612</v>
      </c>
      <c r="X5" s="10">
        <v>32.33</v>
      </c>
      <c r="Y5" s="10">
        <v>32.5</v>
      </c>
      <c r="Z5" s="10">
        <v>32.090000000000003</v>
      </c>
      <c r="AA5" s="10">
        <v>32.159999999999997</v>
      </c>
      <c r="AB5" s="95">
        <v>5044600</v>
      </c>
      <c r="AC5" s="10">
        <v>32.159999999999997</v>
      </c>
      <c r="AD5" s="2">
        <f t="shared" si="1"/>
        <v>0.40999999999999659</v>
      </c>
      <c r="AE5" s="138">
        <f t="shared" si="2"/>
        <v>-5.2582740488710256E-3</v>
      </c>
    </row>
    <row r="6" spans="1:31" x14ac:dyDescent="0.25">
      <c r="B6" s="475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75">
        <v>42594</v>
      </c>
      <c r="H6" s="82">
        <v>100</v>
      </c>
      <c r="I6" s="44">
        <v>32.58</v>
      </c>
      <c r="J6" s="44">
        <v>7.0000000000000007E-2</v>
      </c>
      <c r="K6" s="44">
        <f>I6*H6-J6</f>
        <v>3257.93</v>
      </c>
      <c r="O6" s="11" t="s">
        <v>64</v>
      </c>
      <c r="Q6" s="2">
        <f>Q3*Q2</f>
        <v>16474.940000000002</v>
      </c>
      <c r="W6" s="133">
        <v>42611</v>
      </c>
      <c r="X6" s="10">
        <v>32.46</v>
      </c>
      <c r="Y6" s="10">
        <v>32.72</v>
      </c>
      <c r="Z6" s="10">
        <v>32.17</v>
      </c>
      <c r="AA6" s="10">
        <v>32.33</v>
      </c>
      <c r="AB6" s="95">
        <v>7667300</v>
      </c>
      <c r="AC6" s="10">
        <v>32.33</v>
      </c>
      <c r="AD6" s="2">
        <f t="shared" si="1"/>
        <v>0.54999999999999716</v>
      </c>
      <c r="AE6" s="138">
        <f t="shared" si="2"/>
        <v>-1.0709914320685465E-2</v>
      </c>
    </row>
    <row r="7" spans="1:31" x14ac:dyDescent="0.25">
      <c r="B7" s="74">
        <v>42579</v>
      </c>
      <c r="C7" s="4">
        <v>40</v>
      </c>
      <c r="D7" s="2">
        <v>35</v>
      </c>
      <c r="E7" s="2">
        <v>0</v>
      </c>
      <c r="F7" s="2">
        <f t="shared" si="0"/>
        <v>1400</v>
      </c>
      <c r="G7" s="4"/>
      <c r="H7" s="185"/>
      <c r="I7" s="3"/>
      <c r="J7" s="3"/>
      <c r="K7" s="3"/>
      <c r="O7" s="11" t="s">
        <v>187</v>
      </c>
      <c r="Q7" s="2">
        <f>Q10+Q8</f>
        <v>-139.94000000000233</v>
      </c>
      <c r="R7">
        <v>300</v>
      </c>
      <c r="W7" s="133">
        <v>42608</v>
      </c>
      <c r="X7" s="10">
        <v>32.770000000000003</v>
      </c>
      <c r="Y7" s="10">
        <v>32.94</v>
      </c>
      <c r="Z7" s="10">
        <v>32.46</v>
      </c>
      <c r="AA7" s="10">
        <v>32.68</v>
      </c>
      <c r="AB7" s="95">
        <v>6549100</v>
      </c>
      <c r="AC7" s="10">
        <v>32.68</v>
      </c>
      <c r="AD7" s="2">
        <f t="shared" si="1"/>
        <v>0.47999999999999687</v>
      </c>
      <c r="AE7" s="138">
        <f t="shared" si="2"/>
        <v>-2.4420024420024333E-3</v>
      </c>
    </row>
    <row r="8" spans="1:31" x14ac:dyDescent="0.25">
      <c r="B8" s="74">
        <v>42579</v>
      </c>
      <c r="C8" s="4">
        <v>30</v>
      </c>
      <c r="D8" s="3">
        <v>34.57</v>
      </c>
      <c r="E8" s="3">
        <v>-7.0000000000000007E-2</v>
      </c>
      <c r="F8" s="3">
        <f t="shared" si="0"/>
        <v>1037.03</v>
      </c>
      <c r="H8" s="72"/>
      <c r="O8" s="11" t="s">
        <v>190</v>
      </c>
      <c r="P8" s="34"/>
      <c r="Q8" s="2">
        <f>K18+M18-F18+Q2*Q4</f>
        <v>-139.94000000000233</v>
      </c>
      <c r="W8" s="133">
        <v>42607</v>
      </c>
      <c r="X8" s="10">
        <v>32.85</v>
      </c>
      <c r="Y8" s="10">
        <v>33.06</v>
      </c>
      <c r="Z8" s="10">
        <v>32.67</v>
      </c>
      <c r="AA8" s="10">
        <v>32.76</v>
      </c>
      <c r="AB8" s="95">
        <v>7845500</v>
      </c>
      <c r="AC8" s="10">
        <v>32.76</v>
      </c>
      <c r="AD8" s="2">
        <f t="shared" si="1"/>
        <v>0.39000000000000057</v>
      </c>
      <c r="AE8" s="138">
        <f t="shared" si="2"/>
        <v>-6.9718096392847873E-3</v>
      </c>
    </row>
    <row r="9" spans="1:31" x14ac:dyDescent="0.25">
      <c r="B9" s="74">
        <v>42580</v>
      </c>
      <c r="C9" s="4">
        <v>30</v>
      </c>
      <c r="D9" s="2">
        <v>33.880000000000003</v>
      </c>
      <c r="E9" s="2">
        <v>0</v>
      </c>
      <c r="F9" s="2">
        <f t="shared" si="0"/>
        <v>1016.4000000000001</v>
      </c>
      <c r="H9" s="72"/>
      <c r="O9" s="11" t="s">
        <v>224</v>
      </c>
      <c r="Q9" s="138">
        <f>IF(Q2=0, 0, Q8/Q6)</f>
        <v>-8.4941128768907387E-3</v>
      </c>
      <c r="W9" s="133">
        <v>42606</v>
      </c>
      <c r="X9" s="10">
        <v>32.25</v>
      </c>
      <c r="Y9" s="10">
        <v>33.24</v>
      </c>
      <c r="Z9" s="10">
        <v>32.21</v>
      </c>
      <c r="AA9" s="10">
        <v>32.99</v>
      </c>
      <c r="AB9" s="95">
        <v>12246500</v>
      </c>
      <c r="AC9" s="10">
        <v>32.99</v>
      </c>
      <c r="AD9" s="2">
        <f t="shared" si="1"/>
        <v>1.0300000000000011</v>
      </c>
      <c r="AE9" s="138">
        <f t="shared" si="2"/>
        <v>2.2945736434108577E-2</v>
      </c>
    </row>
    <row r="10" spans="1:31" x14ac:dyDescent="0.25">
      <c r="B10" s="74">
        <v>42584</v>
      </c>
      <c r="C10" s="4">
        <v>40</v>
      </c>
      <c r="D10" s="2">
        <v>33.049999999999997</v>
      </c>
      <c r="E10" s="2">
        <v>0</v>
      </c>
      <c r="F10" s="2">
        <f t="shared" si="0"/>
        <v>1322</v>
      </c>
      <c r="H10" s="72"/>
      <c r="O10" s="11" t="s">
        <v>223</v>
      </c>
      <c r="P10" s="34"/>
      <c r="Q10" s="2">
        <f>M30</f>
        <v>0</v>
      </c>
      <c r="W10" s="133">
        <v>42605</v>
      </c>
      <c r="X10" s="10">
        <v>32.58</v>
      </c>
      <c r="Y10" s="10">
        <v>32.979999999999997</v>
      </c>
      <c r="Z10" s="10">
        <v>32.25</v>
      </c>
      <c r="AA10" s="10">
        <v>32.25</v>
      </c>
      <c r="AB10" s="95">
        <v>11039600</v>
      </c>
      <c r="AC10" s="10">
        <v>32.25</v>
      </c>
      <c r="AD10" s="2">
        <f t="shared" si="1"/>
        <v>0.72999999999999687</v>
      </c>
      <c r="AE10" s="138">
        <f t="shared" si="2"/>
        <v>-1.8563603164942211E-2</v>
      </c>
    </row>
    <row r="11" spans="1:31" x14ac:dyDescent="0.25">
      <c r="B11" s="74">
        <v>42586</v>
      </c>
      <c r="C11" s="7">
        <v>100</v>
      </c>
      <c r="D11" s="44">
        <v>32.479999999999997</v>
      </c>
      <c r="E11" s="44">
        <v>0</v>
      </c>
      <c r="F11" s="44">
        <f t="shared" si="0"/>
        <v>3247.9999999999995</v>
      </c>
      <c r="H11" s="72"/>
      <c r="O11" s="11" t="s">
        <v>184</v>
      </c>
      <c r="P11" s="34"/>
      <c r="Q11" s="138">
        <f>VALUE(TRIM(CLEAN(MID(U58, FIND("(", U58)+1, 5))))</f>
        <v>1.4800000000000001E-2</v>
      </c>
      <c r="W11" s="133">
        <v>42604</v>
      </c>
      <c r="X11" s="10">
        <v>32.64</v>
      </c>
      <c r="Y11" s="10">
        <v>32.89</v>
      </c>
      <c r="Z11" s="10">
        <v>32.450000000000003</v>
      </c>
      <c r="AA11" s="10">
        <v>32.86</v>
      </c>
      <c r="AB11" s="95">
        <v>7744600</v>
      </c>
      <c r="AC11" s="10">
        <v>32.86</v>
      </c>
      <c r="AD11" s="2">
        <f t="shared" si="1"/>
        <v>0.43999999999999773</v>
      </c>
      <c r="AE11" s="138">
        <f t="shared" si="2"/>
        <v>7.6663600122661713E-3</v>
      </c>
    </row>
    <row r="12" spans="1:31" x14ac:dyDescent="0.25">
      <c r="B12" s="529">
        <v>42593</v>
      </c>
      <c r="C12" s="4">
        <v>100</v>
      </c>
      <c r="D12" s="2">
        <v>32.049999999999997</v>
      </c>
      <c r="E12" s="2">
        <v>0</v>
      </c>
      <c r="F12" s="2">
        <f t="shared" si="0"/>
        <v>3204.9999999999995</v>
      </c>
      <c r="H12" s="72"/>
      <c r="W12" s="133">
        <v>42601</v>
      </c>
      <c r="X12" s="10">
        <v>32.47</v>
      </c>
      <c r="Y12" s="10">
        <v>32.81</v>
      </c>
      <c r="Z12" s="10">
        <v>32.35</v>
      </c>
      <c r="AA12" s="10">
        <v>32.61</v>
      </c>
      <c r="AB12" s="95">
        <v>8885800</v>
      </c>
      <c r="AC12" s="10">
        <v>32.61</v>
      </c>
      <c r="AD12" s="2">
        <f t="shared" si="1"/>
        <v>0.46000000000000085</v>
      </c>
      <c r="AE12" s="138">
        <f t="shared" si="2"/>
        <v>4.6210720887245316E-3</v>
      </c>
    </row>
    <row r="13" spans="1:31" x14ac:dyDescent="0.25">
      <c r="B13" s="529">
        <v>42599</v>
      </c>
      <c r="C13" s="4">
        <v>100</v>
      </c>
      <c r="D13" s="2">
        <v>31.68</v>
      </c>
      <c r="E13" s="2">
        <v>0</v>
      </c>
      <c r="F13" s="2">
        <f t="shared" si="0"/>
        <v>3168</v>
      </c>
      <c r="H13" s="72"/>
      <c r="W13" s="133">
        <v>42600</v>
      </c>
      <c r="X13" s="10">
        <v>31.96</v>
      </c>
      <c r="Y13" s="10">
        <v>32.619999999999997</v>
      </c>
      <c r="Z13" s="10">
        <v>31.87</v>
      </c>
      <c r="AA13" s="10">
        <v>32.46</v>
      </c>
      <c r="AB13" s="95">
        <v>12233100</v>
      </c>
      <c r="AC13" s="10">
        <v>32.46</v>
      </c>
      <c r="AD13" s="2">
        <f t="shared" si="1"/>
        <v>0.74999999999999645</v>
      </c>
      <c r="AE13" s="138">
        <f t="shared" si="2"/>
        <v>1.8193224592220947E-2</v>
      </c>
    </row>
    <row r="14" spans="1:31" x14ac:dyDescent="0.25">
      <c r="H14" s="72"/>
      <c r="W14" s="133">
        <v>42599</v>
      </c>
      <c r="X14" s="10">
        <v>32.119999999999997</v>
      </c>
      <c r="Y14" s="10">
        <v>32.21</v>
      </c>
      <c r="Z14" s="10">
        <v>31.45</v>
      </c>
      <c r="AA14" s="10">
        <v>31.88</v>
      </c>
      <c r="AB14" s="95">
        <v>9413300</v>
      </c>
      <c r="AC14" s="10">
        <v>31.88</v>
      </c>
      <c r="AD14" s="2">
        <f t="shared" si="1"/>
        <v>0.76000000000000156</v>
      </c>
      <c r="AE14" s="138">
        <f t="shared" si="2"/>
        <v>-6.8535825545171791E-3</v>
      </c>
    </row>
    <row r="15" spans="1:31" x14ac:dyDescent="0.25">
      <c r="H15" s="72"/>
      <c r="W15" s="133">
        <v>42598</v>
      </c>
      <c r="X15" s="10">
        <v>32.54</v>
      </c>
      <c r="Y15" s="10">
        <v>32.54</v>
      </c>
      <c r="Z15" s="10">
        <v>32.06</v>
      </c>
      <c r="AA15" s="10">
        <v>32.1</v>
      </c>
      <c r="AB15" s="95">
        <v>11198200</v>
      </c>
      <c r="AC15" s="10">
        <v>32.1</v>
      </c>
      <c r="AD15" s="2">
        <f t="shared" si="1"/>
        <v>0.47999999999999687</v>
      </c>
      <c r="AE15" s="138">
        <f t="shared" si="2"/>
        <v>-1.9248395967002563E-2</v>
      </c>
    </row>
    <row r="16" spans="1:31" x14ac:dyDescent="0.25">
      <c r="H16" s="72"/>
      <c r="W16" s="133">
        <v>42597</v>
      </c>
      <c r="X16" s="10">
        <v>32.630000000000003</v>
      </c>
      <c r="Y16" s="10">
        <v>32.97</v>
      </c>
      <c r="Z16" s="10">
        <v>32.46</v>
      </c>
      <c r="AA16" s="10">
        <v>32.729999999999997</v>
      </c>
      <c r="AB16" s="95">
        <v>9027500</v>
      </c>
      <c r="AC16" s="10">
        <v>32.729999999999997</v>
      </c>
      <c r="AD16" s="2">
        <f t="shared" si="1"/>
        <v>0.50999999999999801</v>
      </c>
      <c r="AE16" s="138">
        <f t="shared" si="2"/>
        <v>4.604051565377576E-3</v>
      </c>
    </row>
    <row r="17" spans="1:31" x14ac:dyDescent="0.25">
      <c r="W17" s="133">
        <v>42594</v>
      </c>
      <c r="X17" s="10">
        <v>32.42</v>
      </c>
      <c r="Y17" s="10">
        <v>32.619999999999997</v>
      </c>
      <c r="Z17" s="10">
        <v>32.229999999999997</v>
      </c>
      <c r="AA17" s="10">
        <v>32.58</v>
      </c>
      <c r="AB17" s="95">
        <v>7395200</v>
      </c>
      <c r="AC17" s="10">
        <v>32.58</v>
      </c>
      <c r="AD17" s="2">
        <f t="shared" si="1"/>
        <v>0.39000000000000057</v>
      </c>
      <c r="AE17" s="138">
        <f t="shared" si="2"/>
        <v>8.6687306501549433E-3</v>
      </c>
    </row>
    <row r="18" spans="1:31" x14ac:dyDescent="0.25">
      <c r="A18" s="32" t="s">
        <v>81</v>
      </c>
      <c r="B18" s="14"/>
      <c r="C18" s="14">
        <f>SUM(C2:C13)</f>
        <v>780</v>
      </c>
      <c r="D18" s="18"/>
      <c r="E18" s="18"/>
      <c r="F18" s="18">
        <f>SUM(F2:F13)</f>
        <v>26343.83</v>
      </c>
      <c r="G18" s="14"/>
      <c r="H18" s="14">
        <f>SUM(H2:H17)</f>
        <v>280</v>
      </c>
      <c r="I18" s="18"/>
      <c r="J18" s="18"/>
      <c r="K18" s="18">
        <f>SUM(K2:K17)</f>
        <v>9810.39</v>
      </c>
      <c r="L18" s="14"/>
      <c r="M18" s="18">
        <f>SUM(M2:M17)</f>
        <v>58.5</v>
      </c>
      <c r="W18" s="133">
        <v>42593</v>
      </c>
      <c r="X18" s="10">
        <v>32.549999999999997</v>
      </c>
      <c r="Y18" s="10">
        <v>32.85</v>
      </c>
      <c r="Z18" s="10">
        <v>32.020000000000003</v>
      </c>
      <c r="AA18" s="10">
        <v>32.299999999999997</v>
      </c>
      <c r="AB18" s="95">
        <v>9605600</v>
      </c>
      <c r="AC18" s="10">
        <v>32.299999999999997</v>
      </c>
      <c r="AD18" s="2">
        <f t="shared" si="1"/>
        <v>0.82999999999999829</v>
      </c>
      <c r="AE18" s="138" t="e">
        <f t="shared" si="2"/>
        <v>#DIV/0!</v>
      </c>
    </row>
    <row r="19" spans="1:31" ht="15.75" thickBot="1" x14ac:dyDescent="0.3">
      <c r="A19" s="359" t="s">
        <v>204</v>
      </c>
      <c r="B19" s="360"/>
      <c r="C19" s="361">
        <f>SumByColor($A$19,C2:C17)</f>
        <v>280</v>
      </c>
      <c r="D19" s="361"/>
      <c r="E19" s="361"/>
      <c r="F19" s="362">
        <f>SumByColor($A$19,F2:F17)</f>
        <v>9668</v>
      </c>
      <c r="G19" s="361"/>
      <c r="H19" s="361">
        <f>SumByColor($A$19,H2:H17)</f>
        <v>280</v>
      </c>
      <c r="I19" s="361"/>
      <c r="J19" s="361"/>
      <c r="K19" s="362">
        <f>SumByColor($A$19,K2:K17)</f>
        <v>9811</v>
      </c>
      <c r="L19" s="361"/>
      <c r="M19" s="362">
        <f t="shared" ref="M19" si="3">SumByColor($A$19,M2:M17)</f>
        <v>58</v>
      </c>
      <c r="W19" s="133">
        <v>42593</v>
      </c>
      <c r="X19" s="10" t="s">
        <v>346</v>
      </c>
      <c r="Y19" s="10"/>
      <c r="Z19" s="10"/>
      <c r="AA19" s="10"/>
      <c r="AB19" s="95"/>
      <c r="AC19" s="10"/>
      <c r="AD19" s="2">
        <f t="shared" si="1"/>
        <v>0</v>
      </c>
      <c r="AE19" s="138">
        <f t="shared" si="2"/>
        <v>-1</v>
      </c>
    </row>
    <row r="20" spans="1:31" x14ac:dyDescent="0.25">
      <c r="W20" s="133">
        <v>42592</v>
      </c>
      <c r="X20" s="10">
        <v>32.380000000000003</v>
      </c>
      <c r="Y20" s="10">
        <v>32.630000000000003</v>
      </c>
      <c r="Z20" s="10">
        <v>32.270000000000003</v>
      </c>
      <c r="AA20" s="10">
        <v>32.5</v>
      </c>
      <c r="AB20" s="95">
        <v>12735400</v>
      </c>
      <c r="AC20" s="10">
        <v>32.380000000000003</v>
      </c>
      <c r="AD20" s="2">
        <f t="shared" si="1"/>
        <v>0.35999999999999943</v>
      </c>
      <c r="AE20" s="138">
        <f t="shared" si="2"/>
        <v>6.52782095119675E-3</v>
      </c>
    </row>
    <row r="21" spans="1:31" x14ac:dyDescent="0.25">
      <c r="W21" s="133">
        <v>42591</v>
      </c>
      <c r="X21" s="10">
        <v>32.380000000000003</v>
      </c>
      <c r="Y21" s="10">
        <v>32.86</v>
      </c>
      <c r="Z21" s="10">
        <v>32.26</v>
      </c>
      <c r="AA21" s="10">
        <v>32.29</v>
      </c>
      <c r="AB21" s="95">
        <v>11696400</v>
      </c>
      <c r="AC21" s="10">
        <v>32.17</v>
      </c>
      <c r="AD21" s="2">
        <f t="shared" si="1"/>
        <v>0.60000000000000142</v>
      </c>
      <c r="AE21" s="138">
        <f t="shared" si="2"/>
        <v>-6.2131096613837755E-4</v>
      </c>
    </row>
    <row r="22" spans="1:31" x14ac:dyDescent="0.25">
      <c r="W22" s="133">
        <v>42590</v>
      </c>
      <c r="X22" s="10">
        <v>32.619999999999997</v>
      </c>
      <c r="Y22" s="10">
        <v>32.71</v>
      </c>
      <c r="Z22" s="10">
        <v>32.270000000000003</v>
      </c>
      <c r="AA22" s="10">
        <v>32.31</v>
      </c>
      <c r="AB22" s="95">
        <v>11837900</v>
      </c>
      <c r="AC22" s="10">
        <v>32.19</v>
      </c>
      <c r="AD22" s="2">
        <f t="shared" si="1"/>
        <v>0.43999999999999773</v>
      </c>
      <c r="AE22" s="138">
        <f t="shared" si="2"/>
        <v>-9.5384615384616067E-3</v>
      </c>
    </row>
    <row r="23" spans="1:31" x14ac:dyDescent="0.25">
      <c r="W23" s="133">
        <v>42587</v>
      </c>
      <c r="X23" s="10">
        <v>32.65</v>
      </c>
      <c r="Y23" s="10">
        <v>32.909999999999997</v>
      </c>
      <c r="Z23" s="10">
        <v>32.42</v>
      </c>
      <c r="AA23" s="10">
        <v>32.619999999999997</v>
      </c>
      <c r="AB23" s="95">
        <v>10343200</v>
      </c>
      <c r="AC23" s="10">
        <v>32.5</v>
      </c>
      <c r="AD23" s="2">
        <f t="shared" si="1"/>
        <v>0.48999999999999488</v>
      </c>
      <c r="AE23" s="138">
        <f t="shared" si="2"/>
        <v>2.1584952204749541E-3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42586</v>
      </c>
      <c r="X24" s="10">
        <v>33.200000000000003</v>
      </c>
      <c r="Y24" s="10">
        <v>33.28</v>
      </c>
      <c r="Z24" s="10">
        <v>32.11</v>
      </c>
      <c r="AA24" s="10">
        <v>32.549999999999997</v>
      </c>
      <c r="AB24" s="95">
        <v>12247300</v>
      </c>
      <c r="AC24" s="10">
        <v>32.43</v>
      </c>
      <c r="AD24" s="2">
        <f t="shared" si="1"/>
        <v>1.1700000000000017</v>
      </c>
      <c r="AE24" s="138">
        <f t="shared" si="2"/>
        <v>-1.9649334945586405E-2</v>
      </c>
    </row>
    <row r="25" spans="1:31" x14ac:dyDescent="0.25">
      <c r="B25" s="193">
        <v>42484</v>
      </c>
      <c r="C25" s="10">
        <v>100</v>
      </c>
      <c r="D25" s="40">
        <v>35.917999999999999</v>
      </c>
      <c r="E25" s="40">
        <v>35.58</v>
      </c>
      <c r="F25" s="40">
        <f t="shared" ref="F25:F38" si="4">C25*(E25-D25)</f>
        <v>-33.800000000000097</v>
      </c>
      <c r="G25" s="40">
        <f t="shared" ref="G25:G38" si="5">D25*C25</f>
        <v>3591.7999999999997</v>
      </c>
      <c r="H25" s="231">
        <f t="shared" ref="H25:H38" si="6">(E25-D25)/D25</f>
        <v>-9.410323514672336E-3</v>
      </c>
      <c r="I25" s="40"/>
      <c r="W25" s="133">
        <v>42585</v>
      </c>
      <c r="X25" s="10">
        <v>32.69</v>
      </c>
      <c r="Y25" s="10">
        <v>33.53</v>
      </c>
      <c r="Z25" s="10">
        <v>32.64</v>
      </c>
      <c r="AA25" s="10">
        <v>33.200000000000003</v>
      </c>
      <c r="AB25" s="95">
        <v>10630600</v>
      </c>
      <c r="AC25" s="10">
        <v>33.08</v>
      </c>
      <c r="AD25" s="2">
        <f t="shared" si="1"/>
        <v>0.89000000000000057</v>
      </c>
      <c r="AE25" s="138">
        <f t="shared" si="2"/>
        <v>1.8159433671898872E-2</v>
      </c>
    </row>
    <row r="26" spans="1:31" x14ac:dyDescent="0.25">
      <c r="B26" s="193">
        <v>42485</v>
      </c>
      <c r="C26" s="10">
        <v>100</v>
      </c>
      <c r="D26" s="40">
        <v>35.917999999999999</v>
      </c>
      <c r="E26" s="40">
        <v>36.770000000000003</v>
      </c>
      <c r="F26" s="40">
        <f t="shared" si="4"/>
        <v>85.200000000000387</v>
      </c>
      <c r="G26" s="40">
        <f t="shared" si="5"/>
        <v>3591.7999999999997</v>
      </c>
      <c r="H26" s="231">
        <f t="shared" si="6"/>
        <v>2.3720697143493622E-2</v>
      </c>
      <c r="I26" s="40"/>
      <c r="W26" s="133">
        <v>42584</v>
      </c>
      <c r="X26" s="10">
        <v>33.450000000000003</v>
      </c>
      <c r="Y26" s="10">
        <v>33.799999999999997</v>
      </c>
      <c r="Z26" s="10">
        <v>32.49</v>
      </c>
      <c r="AA26" s="10">
        <v>32.61</v>
      </c>
      <c r="AB26" s="95">
        <v>18255400</v>
      </c>
      <c r="AC26" s="10">
        <v>32.49</v>
      </c>
      <c r="AD26" s="2">
        <f t="shared" si="1"/>
        <v>1.3099999999999952</v>
      </c>
      <c r="AE26" s="138">
        <f t="shared" si="2"/>
        <v>-4.1027154663518361E-2</v>
      </c>
    </row>
    <row r="27" spans="1:31" x14ac:dyDescent="0.25">
      <c r="B27" s="193">
        <v>42498</v>
      </c>
      <c r="C27" s="10">
        <v>100</v>
      </c>
      <c r="D27" s="40">
        <v>35.917999999999999</v>
      </c>
      <c r="E27" s="40">
        <v>34.549999999999997</v>
      </c>
      <c r="F27" s="40">
        <f t="shared" si="4"/>
        <v>-136.80000000000021</v>
      </c>
      <c r="G27" s="40">
        <f t="shared" si="5"/>
        <v>3591.7999999999997</v>
      </c>
      <c r="H27" s="231">
        <f t="shared" si="6"/>
        <v>-3.8086753159975562E-2</v>
      </c>
      <c r="I27" s="40"/>
      <c r="W27" s="133">
        <v>42583</v>
      </c>
      <c r="X27" s="10">
        <v>34.200000000000003</v>
      </c>
      <c r="Y27" s="10">
        <v>34.340000000000003</v>
      </c>
      <c r="Z27" s="10">
        <v>33.880000000000003</v>
      </c>
      <c r="AA27" s="10">
        <v>34.01</v>
      </c>
      <c r="AB27" s="95">
        <v>9742400</v>
      </c>
      <c r="AC27" s="10">
        <v>33.880000000000003</v>
      </c>
      <c r="AD27" s="2">
        <f t="shared" si="1"/>
        <v>0.46000000000000085</v>
      </c>
      <c r="AE27" s="138">
        <f t="shared" si="2"/>
        <v>-5.2847915443334781E-3</v>
      </c>
    </row>
    <row r="28" spans="1:31" x14ac:dyDescent="0.25">
      <c r="B28" s="193">
        <v>42508</v>
      </c>
      <c r="C28" s="10">
        <v>140</v>
      </c>
      <c r="D28" s="40">
        <v>35.423999999999999</v>
      </c>
      <c r="E28" s="40">
        <v>34.369999999999997</v>
      </c>
      <c r="F28" s="40">
        <f t="shared" si="4"/>
        <v>-147.56000000000029</v>
      </c>
      <c r="G28" s="40">
        <f t="shared" si="5"/>
        <v>4959.3599999999997</v>
      </c>
      <c r="H28" s="231">
        <f t="shared" si="6"/>
        <v>-2.9753839205058776E-2</v>
      </c>
      <c r="I28" s="40"/>
      <c r="W28" s="133">
        <v>42580</v>
      </c>
      <c r="X28" s="10">
        <v>34.299999999999997</v>
      </c>
      <c r="Y28" s="10">
        <v>34.4</v>
      </c>
      <c r="Z28" s="10">
        <v>33.81</v>
      </c>
      <c r="AA28" s="10">
        <v>34.19</v>
      </c>
      <c r="AB28" s="95">
        <v>19149500</v>
      </c>
      <c r="AC28" s="10">
        <v>34.06</v>
      </c>
      <c r="AD28" s="2">
        <f t="shared" si="1"/>
        <v>0.58999999999999631</v>
      </c>
      <c r="AE28" s="138">
        <f t="shared" si="2"/>
        <v>-6.1278085789320258E-3</v>
      </c>
    </row>
    <row r="29" spans="1:31" x14ac:dyDescent="0.25">
      <c r="B29" s="193">
        <v>42509</v>
      </c>
      <c r="C29" s="10">
        <v>240</v>
      </c>
      <c r="D29" s="40">
        <v>35.034999999999997</v>
      </c>
      <c r="E29" s="40">
        <v>34.83</v>
      </c>
      <c r="F29" s="40">
        <f t="shared" si="4"/>
        <v>-49.199999999999591</v>
      </c>
      <c r="G29" s="40">
        <f t="shared" si="5"/>
        <v>8408.4</v>
      </c>
      <c r="H29" s="231">
        <f t="shared" si="6"/>
        <v>-5.8512915655772315E-3</v>
      </c>
      <c r="I29" s="40"/>
      <c r="W29" s="133">
        <v>42579</v>
      </c>
      <c r="X29" s="10">
        <v>35.229999999999997</v>
      </c>
      <c r="Y29" s="10">
        <v>35.24</v>
      </c>
      <c r="Z29" s="10">
        <v>34.380000000000003</v>
      </c>
      <c r="AA29" s="10">
        <v>34.4</v>
      </c>
      <c r="AB29" s="95">
        <v>14382900</v>
      </c>
      <c r="AC29" s="10">
        <v>34.270000000000003</v>
      </c>
      <c r="AD29" s="2">
        <f t="shared" si="1"/>
        <v>0.85999999999999943</v>
      </c>
      <c r="AE29" s="138">
        <f t="shared" si="2"/>
        <v>-3.301354401805856E-2</v>
      </c>
    </row>
    <row r="30" spans="1:31" x14ac:dyDescent="0.25">
      <c r="B30" s="193">
        <v>42514</v>
      </c>
      <c r="C30" s="10">
        <v>200</v>
      </c>
      <c r="D30" s="40">
        <v>34.972000000000001</v>
      </c>
      <c r="E30" s="40">
        <v>35.520000000000003</v>
      </c>
      <c r="F30" s="40">
        <f t="shared" si="4"/>
        <v>109.60000000000036</v>
      </c>
      <c r="G30" s="40">
        <f t="shared" si="5"/>
        <v>6994.4000000000005</v>
      </c>
      <c r="H30" s="231">
        <f t="shared" si="6"/>
        <v>1.5669678600022927E-2</v>
      </c>
      <c r="I30" s="40"/>
      <c r="W30" s="133">
        <v>42578</v>
      </c>
      <c r="X30" s="10">
        <v>36.32</v>
      </c>
      <c r="Y30" s="10">
        <v>36.369999999999997</v>
      </c>
      <c r="Z30" s="10">
        <v>35.54</v>
      </c>
      <c r="AA30" s="10">
        <v>35.57</v>
      </c>
      <c r="AB30" s="95">
        <v>6228800</v>
      </c>
      <c r="AC30" s="10">
        <v>35.44</v>
      </c>
      <c r="AD30" s="2">
        <f t="shared" si="1"/>
        <v>0.82999999999999829</v>
      </c>
      <c r="AE30" s="138">
        <f t="shared" si="2"/>
        <v>-2.3422430421603746E-2</v>
      </c>
    </row>
    <row r="31" spans="1:31" x14ac:dyDescent="0.25">
      <c r="B31" s="193">
        <v>42515</v>
      </c>
      <c r="C31" s="10">
        <v>200</v>
      </c>
      <c r="D31" s="40">
        <v>34.972000000000001</v>
      </c>
      <c r="E31" s="40">
        <v>34.94</v>
      </c>
      <c r="F31" s="40">
        <f t="shared" si="4"/>
        <v>-6.4000000000007162</v>
      </c>
      <c r="G31" s="40">
        <f t="shared" si="5"/>
        <v>6994.4000000000005</v>
      </c>
      <c r="H31" s="231">
        <f t="shared" si="6"/>
        <v>-9.150177284685914E-4</v>
      </c>
      <c r="I31" s="40"/>
      <c r="W31" s="133">
        <v>42577</v>
      </c>
      <c r="X31" s="10">
        <v>36.159999999999997</v>
      </c>
      <c r="Y31" s="10">
        <v>36.46</v>
      </c>
      <c r="Z31" s="10">
        <v>35.81</v>
      </c>
      <c r="AA31" s="10">
        <v>36.42</v>
      </c>
      <c r="AB31" s="95">
        <v>6968300</v>
      </c>
      <c r="AC31" s="10">
        <v>36.29</v>
      </c>
      <c r="AD31" s="2">
        <f t="shared" si="1"/>
        <v>0.64999999999999858</v>
      </c>
      <c r="AE31" s="138">
        <f t="shared" si="2"/>
        <v>1.7666853617498646E-2</v>
      </c>
    </row>
    <row r="32" spans="1:31" x14ac:dyDescent="0.25">
      <c r="B32" s="193">
        <v>42521</v>
      </c>
      <c r="C32" s="7">
        <v>160</v>
      </c>
      <c r="D32" s="44">
        <v>34.718000000000004</v>
      </c>
      <c r="E32" s="40">
        <v>35.76</v>
      </c>
      <c r="F32" s="40">
        <f t="shared" si="4"/>
        <v>166.71999999999912</v>
      </c>
      <c r="G32" s="40">
        <f t="shared" si="5"/>
        <v>5554.880000000001</v>
      </c>
      <c r="H32" s="231">
        <f t="shared" si="6"/>
        <v>3.0013249611152554E-2</v>
      </c>
      <c r="I32" s="40"/>
      <c r="W32" s="133">
        <v>42576</v>
      </c>
      <c r="X32" s="10">
        <v>35.729999999999997</v>
      </c>
      <c r="Y32" s="10">
        <v>35.79</v>
      </c>
      <c r="Z32" s="10">
        <v>35.42</v>
      </c>
      <c r="AA32" s="10">
        <v>35.79</v>
      </c>
      <c r="AB32" s="95">
        <v>5385400</v>
      </c>
      <c r="AC32" s="10">
        <v>35.659999999999997</v>
      </c>
      <c r="AD32" s="2">
        <f t="shared" si="1"/>
        <v>0.36999999999999744</v>
      </c>
      <c r="AE32" s="138">
        <f t="shared" si="2"/>
        <v>-5.2998605299862112E-3</v>
      </c>
    </row>
    <row r="33" spans="2:31" x14ac:dyDescent="0.25">
      <c r="B33" s="193">
        <v>42527</v>
      </c>
      <c r="C33" s="10">
        <v>160</v>
      </c>
      <c r="D33" s="40">
        <v>34.652000000000001</v>
      </c>
      <c r="E33" s="40">
        <v>36.020000000000003</v>
      </c>
      <c r="F33" s="40">
        <f t="shared" si="4"/>
        <v>218.88000000000034</v>
      </c>
      <c r="G33" s="40">
        <f t="shared" si="5"/>
        <v>5544.32</v>
      </c>
      <c r="H33" s="231">
        <f t="shared" si="6"/>
        <v>3.9478240794182211E-2</v>
      </c>
      <c r="I33" s="40"/>
      <c r="W33" s="133">
        <v>42573</v>
      </c>
      <c r="X33" s="10">
        <v>36.130000000000003</v>
      </c>
      <c r="Y33" s="10">
        <v>36.200000000000003</v>
      </c>
      <c r="Z33" s="10">
        <v>35.799999999999997</v>
      </c>
      <c r="AA33" s="10">
        <v>35.979999999999997</v>
      </c>
      <c r="AB33" s="95">
        <v>3295700</v>
      </c>
      <c r="AC33" s="10">
        <v>35.85</v>
      </c>
      <c r="AD33" s="2">
        <f t="shared" si="1"/>
        <v>0.40000000000000568</v>
      </c>
      <c r="AE33" s="138">
        <f t="shared" si="2"/>
        <v>5.581914596708426E-4</v>
      </c>
    </row>
    <row r="34" spans="2:31" x14ac:dyDescent="0.25">
      <c r="B34" s="193">
        <v>42498</v>
      </c>
      <c r="C34" s="10">
        <v>160</v>
      </c>
      <c r="D34" s="40">
        <v>34.652000000000001</v>
      </c>
      <c r="E34" s="40">
        <v>36.520000000000003</v>
      </c>
      <c r="F34" s="40">
        <f t="shared" si="4"/>
        <v>298.88000000000034</v>
      </c>
      <c r="G34" s="40">
        <f t="shared" si="5"/>
        <v>5544.32</v>
      </c>
      <c r="H34" s="231">
        <f t="shared" si="6"/>
        <v>5.3907422371003176E-2</v>
      </c>
      <c r="I34" s="40"/>
      <c r="W34" s="133">
        <v>42572</v>
      </c>
      <c r="X34" s="10">
        <v>36.29</v>
      </c>
      <c r="Y34" s="10">
        <v>36.32</v>
      </c>
      <c r="Z34" s="10">
        <v>35.82</v>
      </c>
      <c r="AA34" s="10">
        <v>35.96</v>
      </c>
      <c r="AB34" s="95">
        <v>3705400</v>
      </c>
      <c r="AC34" s="10">
        <v>35.83</v>
      </c>
      <c r="AD34" s="2">
        <f t="shared" si="1"/>
        <v>0.5</v>
      </c>
      <c r="AE34" s="138">
        <f t="shared" si="2"/>
        <v>-1.2131237937689665E-2</v>
      </c>
    </row>
    <row r="35" spans="2:31" x14ac:dyDescent="0.25">
      <c r="B35" s="193">
        <v>42531</v>
      </c>
      <c r="C35" s="10">
        <v>60</v>
      </c>
      <c r="D35" s="40">
        <v>30.757000000000001</v>
      </c>
      <c r="E35" s="40">
        <v>36.81</v>
      </c>
      <c r="F35" s="40">
        <f t="shared" si="4"/>
        <v>363.18000000000006</v>
      </c>
      <c r="G35" s="40">
        <f t="shared" si="5"/>
        <v>1845.42</v>
      </c>
      <c r="H35" s="231">
        <f t="shared" si="6"/>
        <v>0.1968007282894951</v>
      </c>
      <c r="I35" s="40"/>
      <c r="W35" s="133">
        <v>42571</v>
      </c>
      <c r="X35" s="10">
        <v>36.39</v>
      </c>
      <c r="Y35" s="10">
        <v>36.549999999999997</v>
      </c>
      <c r="Z35" s="10">
        <v>36.090000000000003</v>
      </c>
      <c r="AA35" s="10">
        <v>36.4</v>
      </c>
      <c r="AB35" s="95">
        <v>4127000</v>
      </c>
      <c r="AC35" s="10">
        <v>36.270000000000003</v>
      </c>
      <c r="AD35" s="2">
        <f t="shared" si="1"/>
        <v>0.45999999999999375</v>
      </c>
      <c r="AE35" s="138">
        <f t="shared" si="2"/>
        <v>5.2660753880267031E-3</v>
      </c>
    </row>
    <row r="36" spans="2:31" x14ac:dyDescent="0.25">
      <c r="B36" s="193">
        <v>42536</v>
      </c>
      <c r="C36" s="7">
        <v>160</v>
      </c>
      <c r="D36" s="44">
        <v>33.652999999999999</v>
      </c>
      <c r="E36" s="40">
        <v>35.71</v>
      </c>
      <c r="F36" s="40">
        <f t="shared" si="4"/>
        <v>329.12000000000035</v>
      </c>
      <c r="G36" s="40">
        <f t="shared" si="5"/>
        <v>5384.48</v>
      </c>
      <c r="H36" s="231">
        <f t="shared" si="6"/>
        <v>6.1123822541823976E-2</v>
      </c>
      <c r="I36" s="40"/>
      <c r="W36" s="133">
        <v>42570</v>
      </c>
      <c r="X36" s="10">
        <v>36.299999999999997</v>
      </c>
      <c r="Y36" s="10">
        <v>36.450000000000003</v>
      </c>
      <c r="Z36" s="10">
        <v>36.049999999999997</v>
      </c>
      <c r="AA36" s="10">
        <v>36.21</v>
      </c>
      <c r="AB36" s="95">
        <v>4820400</v>
      </c>
      <c r="AC36" s="10">
        <v>36.08</v>
      </c>
      <c r="AD36" s="2">
        <f t="shared" si="1"/>
        <v>0.40000000000000568</v>
      </c>
      <c r="AE36" s="138">
        <f t="shared" si="2"/>
        <v>-3.5901684617509755E-3</v>
      </c>
    </row>
    <row r="37" spans="2:31" x14ac:dyDescent="0.25">
      <c r="B37" s="193">
        <v>42542</v>
      </c>
      <c r="C37" s="10">
        <v>160</v>
      </c>
      <c r="D37" s="40">
        <v>33.65</v>
      </c>
      <c r="E37" s="40">
        <v>34.71</v>
      </c>
      <c r="F37" s="40">
        <f t="shared" si="4"/>
        <v>169.60000000000036</v>
      </c>
      <c r="G37" s="40">
        <f t="shared" si="5"/>
        <v>5384</v>
      </c>
      <c r="H37" s="231">
        <f t="shared" si="6"/>
        <v>3.1500742942050589E-2</v>
      </c>
      <c r="I37" s="40"/>
      <c r="W37" s="133">
        <v>42569</v>
      </c>
      <c r="X37" s="10">
        <v>36.69</v>
      </c>
      <c r="Y37" s="10">
        <v>36.85</v>
      </c>
      <c r="Z37" s="10">
        <v>36.299999999999997</v>
      </c>
      <c r="AA37" s="10">
        <v>36.340000000000003</v>
      </c>
      <c r="AB37" s="95">
        <v>8564000</v>
      </c>
      <c r="AC37" s="10">
        <v>36.21</v>
      </c>
      <c r="AD37" s="2">
        <f t="shared" si="1"/>
        <v>0.55000000000000426</v>
      </c>
      <c r="AE37" s="138">
        <f t="shared" si="2"/>
        <v>-9.8441345365053445E-3</v>
      </c>
    </row>
    <row r="38" spans="2:31" x14ac:dyDescent="0.25">
      <c r="B38" s="193">
        <v>42548</v>
      </c>
      <c r="C38" s="10">
        <v>160</v>
      </c>
      <c r="D38" s="40">
        <v>33.652999999999999</v>
      </c>
      <c r="E38" s="40">
        <v>36.619999999999997</v>
      </c>
      <c r="F38" s="40">
        <f t="shared" si="4"/>
        <v>474.7199999999998</v>
      </c>
      <c r="G38" s="40">
        <f t="shared" si="5"/>
        <v>5384.48</v>
      </c>
      <c r="H38" s="231">
        <f t="shared" si="6"/>
        <v>8.8164502421775148E-2</v>
      </c>
      <c r="I38" s="40"/>
      <c r="W38" s="133">
        <v>42566</v>
      </c>
      <c r="X38" s="10">
        <v>37.049999999999997</v>
      </c>
      <c r="Y38" s="10">
        <v>37.26</v>
      </c>
      <c r="Z38" s="10">
        <v>36.44</v>
      </c>
      <c r="AA38" s="10">
        <v>36.71</v>
      </c>
      <c r="AB38" s="95">
        <v>7754100</v>
      </c>
      <c r="AC38" s="10">
        <v>36.57</v>
      </c>
      <c r="AD38" s="2">
        <f t="shared" si="1"/>
        <v>0.82000000000000028</v>
      </c>
      <c r="AE38" s="138">
        <f t="shared" si="2"/>
        <v>-1.5877287405812623E-2</v>
      </c>
    </row>
    <row r="39" spans="2:31" x14ac:dyDescent="0.25">
      <c r="B39" s="193">
        <v>42556</v>
      </c>
      <c r="C39" s="10">
        <v>160</v>
      </c>
      <c r="D39" s="40">
        <v>33.652999999999999</v>
      </c>
      <c r="E39" s="40">
        <v>37.33</v>
      </c>
      <c r="F39" s="40">
        <f t="shared" ref="F39" si="7">C39*(E39-D39)</f>
        <v>588.31999999999994</v>
      </c>
      <c r="G39" s="40">
        <f t="shared" ref="G39" si="8">D39*C39</f>
        <v>5384.48</v>
      </c>
      <c r="H39" s="231">
        <f t="shared" ref="H39" si="9">(E39-D39)/D39</f>
        <v>0.10926217573470418</v>
      </c>
      <c r="I39" s="40"/>
      <c r="W39" s="133">
        <v>42565</v>
      </c>
      <c r="X39" s="10">
        <v>37.479999999999997</v>
      </c>
      <c r="Y39" s="10">
        <v>37.619999999999997</v>
      </c>
      <c r="Z39" s="10">
        <v>37.1</v>
      </c>
      <c r="AA39" s="10">
        <v>37.299999999999997</v>
      </c>
      <c r="AB39" s="95">
        <v>6840400</v>
      </c>
      <c r="AC39" s="10">
        <v>37.159999999999997</v>
      </c>
      <c r="AD39" s="2">
        <f t="shared" si="1"/>
        <v>0.51999999999999602</v>
      </c>
      <c r="AE39" s="138">
        <f t="shared" si="2"/>
        <v>-4.8205677557581206E-3</v>
      </c>
    </row>
    <row r="40" spans="2:31" ht="20.25" thickBot="1" x14ac:dyDescent="0.35">
      <c r="B40" s="193">
        <v>42559</v>
      </c>
      <c r="C40" s="10">
        <v>160</v>
      </c>
      <c r="D40" s="40">
        <v>33.652999999999999</v>
      </c>
      <c r="E40" s="40">
        <v>37.86</v>
      </c>
      <c r="F40" s="40">
        <f t="shared" ref="F40" si="10">C40*(E40-D40)</f>
        <v>673.12000000000012</v>
      </c>
      <c r="G40" s="40">
        <f t="shared" ref="G40" si="11">D40*C40</f>
        <v>5384.48</v>
      </c>
      <c r="H40" s="231">
        <f t="shared" ref="H40" si="12">(E40-D40)/D40</f>
        <v>0.12501114313731318</v>
      </c>
      <c r="I40" s="40"/>
      <c r="O40" s="545" t="s">
        <v>78</v>
      </c>
      <c r="P40" s="545"/>
      <c r="W40" s="133">
        <v>42564</v>
      </c>
      <c r="X40" s="10">
        <v>37.340000000000003</v>
      </c>
      <c r="Y40" s="10">
        <v>37.64</v>
      </c>
      <c r="Z40" s="10">
        <v>37.159999999999997</v>
      </c>
      <c r="AA40" s="10">
        <v>37.479999999999997</v>
      </c>
      <c r="AB40" s="95">
        <v>5704700</v>
      </c>
      <c r="AC40" s="10">
        <v>37.340000000000003</v>
      </c>
      <c r="AD40" s="2">
        <f t="shared" si="1"/>
        <v>0.48000000000000398</v>
      </c>
      <c r="AE40" s="138">
        <f t="shared" si="2"/>
        <v>2.4161073825503809E-3</v>
      </c>
    </row>
    <row r="41" spans="2:31" ht="15.75" thickTop="1" x14ac:dyDescent="0.25">
      <c r="B41" s="193">
        <v>42563</v>
      </c>
      <c r="C41" s="10">
        <v>160</v>
      </c>
      <c r="D41" s="40">
        <v>33.652999999999999</v>
      </c>
      <c r="E41" s="40">
        <v>37.39</v>
      </c>
      <c r="F41" s="40">
        <f t="shared" ref="F41" si="13">C41*(E41-D41)</f>
        <v>597.9200000000003</v>
      </c>
      <c r="G41" s="40">
        <f t="shared" ref="G41" si="14">D41*C41</f>
        <v>5384.48</v>
      </c>
      <c r="H41" s="231">
        <f t="shared" ref="H41" si="15">(E41-D41)/D41</f>
        <v>0.11104507770481092</v>
      </c>
      <c r="I41" s="40"/>
      <c r="O41" s="83">
        <v>1.1000000000000001</v>
      </c>
      <c r="P41" s="83">
        <f>O41*$Q$4</f>
        <v>35.937000000000005</v>
      </c>
      <c r="Q41" s="2"/>
      <c r="W41" s="133">
        <v>42563</v>
      </c>
      <c r="X41" s="10">
        <v>37.56</v>
      </c>
      <c r="Y41" s="10">
        <v>37.57</v>
      </c>
      <c r="Z41" s="10">
        <v>36.979999999999997</v>
      </c>
      <c r="AA41" s="10">
        <v>37.39</v>
      </c>
      <c r="AB41" s="95">
        <v>4572800</v>
      </c>
      <c r="AC41" s="10">
        <v>37.25</v>
      </c>
      <c r="AD41" s="2">
        <f t="shared" si="1"/>
        <v>0.59000000000000341</v>
      </c>
      <c r="AE41" s="138">
        <f t="shared" si="2"/>
        <v>-4.0106951871657914E-3</v>
      </c>
    </row>
    <row r="42" spans="2:31" ht="20.25" thickBot="1" x14ac:dyDescent="0.35">
      <c r="B42" s="193">
        <v>42566</v>
      </c>
      <c r="C42" s="10">
        <v>160</v>
      </c>
      <c r="D42" s="40">
        <v>33.652999999999999</v>
      </c>
      <c r="E42" s="40">
        <v>36.71</v>
      </c>
      <c r="F42" s="40">
        <f t="shared" ref="F42" si="16">C42*(E42-D42)</f>
        <v>489.12000000000035</v>
      </c>
      <c r="G42" s="40">
        <f t="shared" ref="G42" si="17">D42*C42</f>
        <v>5384.48</v>
      </c>
      <c r="H42" s="231">
        <f t="shared" ref="H42" si="18">(E42-D42)/D42</f>
        <v>9.0838855376935257E-2</v>
      </c>
      <c r="I42" s="40"/>
      <c r="O42" s="83">
        <v>1.0900000000000001</v>
      </c>
      <c r="P42" s="83">
        <f t="shared" ref="P42:P61" si="19">O42*$Q$4</f>
        <v>35.610300000000002</v>
      </c>
      <c r="Q42" s="2"/>
      <c r="T42" s="91" t="s">
        <v>113</v>
      </c>
      <c r="W42" s="133">
        <v>42562</v>
      </c>
      <c r="X42" s="10">
        <v>37.869999999999997</v>
      </c>
      <c r="Y42" s="10">
        <v>37.97</v>
      </c>
      <c r="Z42" s="10">
        <v>37.479999999999997</v>
      </c>
      <c r="AA42" s="10">
        <v>37.54</v>
      </c>
      <c r="AB42" s="95">
        <v>5871200</v>
      </c>
      <c r="AC42" s="10">
        <v>37.4</v>
      </c>
      <c r="AD42" s="2">
        <f t="shared" si="1"/>
        <v>0.49000000000000199</v>
      </c>
      <c r="AE42" s="138">
        <f t="shared" si="2"/>
        <v>-8.4835630965005571E-3</v>
      </c>
    </row>
    <row r="43" spans="2:31" ht="15.75" thickTop="1" x14ac:dyDescent="0.25">
      <c r="B43" s="193">
        <v>42570</v>
      </c>
      <c r="C43" s="10">
        <v>160</v>
      </c>
      <c r="D43" s="40">
        <v>33.652999999999999</v>
      </c>
      <c r="E43" s="40">
        <v>36.21</v>
      </c>
      <c r="F43" s="40">
        <f t="shared" ref="F43" si="20">C43*(E43-D43)</f>
        <v>409.12000000000035</v>
      </c>
      <c r="G43" s="40">
        <f t="shared" ref="G43" si="21">D43*C43</f>
        <v>5384.48</v>
      </c>
      <c r="H43" s="231">
        <f t="shared" ref="H43" si="22">(E43-D43)/D43</f>
        <v>7.5981338959379613E-2</v>
      </c>
      <c r="I43" s="40"/>
      <c r="O43" s="83">
        <v>1.08</v>
      </c>
      <c r="P43" s="83">
        <f t="shared" si="19"/>
        <v>35.283600000000007</v>
      </c>
      <c r="Q43" s="2"/>
      <c r="T43" s="128" t="s">
        <v>98</v>
      </c>
      <c r="U43" s="98">
        <v>31.96</v>
      </c>
      <c r="W43" s="133">
        <v>42559</v>
      </c>
      <c r="X43" s="10">
        <v>37.56</v>
      </c>
      <c r="Y43" s="10">
        <v>37.880000000000003</v>
      </c>
      <c r="Z43" s="10">
        <v>37.49</v>
      </c>
      <c r="AA43" s="10">
        <v>37.86</v>
      </c>
      <c r="AB43" s="95">
        <v>5792500</v>
      </c>
      <c r="AC43" s="10">
        <v>37.72</v>
      </c>
      <c r="AD43" s="2">
        <f t="shared" si="1"/>
        <v>0.39000000000000057</v>
      </c>
      <c r="AE43" s="138">
        <f t="shared" si="2"/>
        <v>1.452393760086057E-2</v>
      </c>
    </row>
    <row r="44" spans="2:31" x14ac:dyDescent="0.25">
      <c r="B44" s="193">
        <v>42571</v>
      </c>
      <c r="C44" s="10">
        <v>160</v>
      </c>
      <c r="D44" s="40">
        <v>33.652999999999999</v>
      </c>
      <c r="E44" s="40">
        <v>36.4</v>
      </c>
      <c r="F44" s="40">
        <f t="shared" ref="F44" si="23">C44*(E44-D44)</f>
        <v>439.52</v>
      </c>
      <c r="G44" s="40">
        <f t="shared" ref="G44" si="24">D44*C44</f>
        <v>5384.48</v>
      </c>
      <c r="H44" s="231">
        <f t="shared" ref="H44" si="25">(E44-D44)/D44</f>
        <v>8.16271951980507E-2</v>
      </c>
      <c r="I44" s="40"/>
      <c r="O44" s="83">
        <v>1.07</v>
      </c>
      <c r="P44" s="83">
        <f t="shared" si="19"/>
        <v>34.956900000000005</v>
      </c>
      <c r="Q44" s="2"/>
      <c r="T44" s="93" t="s">
        <v>99</v>
      </c>
      <c r="U44" s="88">
        <v>32.14</v>
      </c>
      <c r="W44" s="133">
        <v>42558</v>
      </c>
      <c r="X44" s="10">
        <v>37.51</v>
      </c>
      <c r="Y44" s="10">
        <v>37.72</v>
      </c>
      <c r="Z44" s="10">
        <v>37.19</v>
      </c>
      <c r="AA44" s="10">
        <v>37.32</v>
      </c>
      <c r="AB44" s="95">
        <v>8280600</v>
      </c>
      <c r="AC44" s="10">
        <v>37.18</v>
      </c>
      <c r="AD44" s="2">
        <f t="shared" si="1"/>
        <v>0.53000000000000114</v>
      </c>
      <c r="AE44" s="138">
        <f t="shared" si="2"/>
        <v>-6.9444444444444198E-3</v>
      </c>
    </row>
    <row r="45" spans="2:31" x14ac:dyDescent="0.25">
      <c r="B45" s="193">
        <v>42572</v>
      </c>
      <c r="C45" s="10">
        <v>160</v>
      </c>
      <c r="D45" s="40">
        <v>33.652999999999999</v>
      </c>
      <c r="E45" s="40">
        <v>35.96</v>
      </c>
      <c r="F45" s="40">
        <f t="shared" ref="F45" si="26">C45*(E45-D45)</f>
        <v>369.12000000000035</v>
      </c>
      <c r="G45" s="40">
        <f t="shared" ref="G45" si="27">D45*C45</f>
        <v>5384.48</v>
      </c>
      <c r="H45" s="231">
        <f t="shared" ref="H45" si="28">(E45-D45)/D45</f>
        <v>6.8552580750601791E-2</v>
      </c>
      <c r="I45" s="40"/>
      <c r="O45" s="83">
        <v>1.06</v>
      </c>
      <c r="P45" s="83">
        <f t="shared" si="19"/>
        <v>34.630200000000002</v>
      </c>
      <c r="Q45" s="2"/>
      <c r="T45" s="93" t="s">
        <v>100</v>
      </c>
      <c r="U45" s="88" t="s">
        <v>522</v>
      </c>
      <c r="W45" s="133">
        <v>42557</v>
      </c>
      <c r="X45" s="10">
        <v>37.31</v>
      </c>
      <c r="Y45" s="10">
        <v>37.65</v>
      </c>
      <c r="Z45" s="10">
        <v>37.28</v>
      </c>
      <c r="AA45" s="10">
        <v>37.58</v>
      </c>
      <c r="AB45" s="95">
        <v>9419300</v>
      </c>
      <c r="AC45" s="10">
        <v>37.44</v>
      </c>
      <c r="AD45" s="2">
        <f t="shared" si="1"/>
        <v>0.36999999999999744</v>
      </c>
      <c r="AE45" s="138">
        <f t="shared" si="2"/>
        <v>6.7222371605271114E-3</v>
      </c>
    </row>
    <row r="46" spans="2:31" x14ac:dyDescent="0.25">
      <c r="B46" s="193">
        <v>42576</v>
      </c>
      <c r="C46" s="10">
        <v>160</v>
      </c>
      <c r="D46" s="40">
        <v>33.652999999999999</v>
      </c>
      <c r="E46" s="40">
        <v>35.79</v>
      </c>
      <c r="F46" s="40">
        <f t="shared" ref="F46" si="29">C46*(E46-D46)</f>
        <v>341.92000000000007</v>
      </c>
      <c r="G46" s="40">
        <f t="shared" ref="G46" si="30">D46*C46</f>
        <v>5384.48</v>
      </c>
      <c r="H46" s="231">
        <f t="shared" ref="H46" si="31">(E46-D46)/D46</f>
        <v>6.3501025168632833E-2</v>
      </c>
      <c r="I46" s="40"/>
      <c r="O46" s="83">
        <v>1.05</v>
      </c>
      <c r="P46" s="83">
        <f t="shared" si="19"/>
        <v>34.303500000000007</v>
      </c>
      <c r="Q46" s="2"/>
      <c r="T46" s="93" t="s">
        <v>101</v>
      </c>
      <c r="U46" s="88" t="s">
        <v>523</v>
      </c>
      <c r="W46" s="133">
        <v>42556</v>
      </c>
      <c r="X46" s="10">
        <v>36.6</v>
      </c>
      <c r="Y46" s="10">
        <v>37.4</v>
      </c>
      <c r="Z46" s="10">
        <v>36.549999999999997</v>
      </c>
      <c r="AA46" s="10">
        <v>37.33</v>
      </c>
      <c r="AB46" s="95">
        <v>8543400</v>
      </c>
      <c r="AC46" s="10">
        <v>37.19</v>
      </c>
      <c r="AD46" s="2">
        <f t="shared" si="1"/>
        <v>0.85000000000000142</v>
      </c>
      <c r="AE46" s="138">
        <f t="shared" si="2"/>
        <v>2.1142229544206304E-2</v>
      </c>
    </row>
    <row r="47" spans="2:31" x14ac:dyDescent="0.25">
      <c r="B47" s="193">
        <v>42577</v>
      </c>
      <c r="C47" s="10">
        <v>160</v>
      </c>
      <c r="D47" s="40">
        <v>33.652999999999999</v>
      </c>
      <c r="E47" s="40">
        <v>36.42</v>
      </c>
      <c r="F47" s="40">
        <f t="shared" ref="F47" si="32">C47*(E47-D47)</f>
        <v>442.72000000000048</v>
      </c>
      <c r="G47" s="40">
        <f t="shared" ref="G47" si="33">D47*C47</f>
        <v>5384.48</v>
      </c>
      <c r="H47" s="231">
        <f t="shared" ref="H47" si="34">(E47-D47)/D47</f>
        <v>8.222149585475301E-2</v>
      </c>
      <c r="I47" s="40"/>
      <c r="O47" s="83">
        <v>1.04</v>
      </c>
      <c r="P47" s="83">
        <f t="shared" si="19"/>
        <v>33.976800000000004</v>
      </c>
      <c r="Q47" s="2"/>
      <c r="T47" s="93" t="s">
        <v>102</v>
      </c>
      <c r="U47" s="88">
        <v>39.380000000000003</v>
      </c>
      <c r="W47" s="133">
        <v>42552</v>
      </c>
      <c r="X47" s="10">
        <v>36.89</v>
      </c>
      <c r="Y47" s="10">
        <v>36.99</v>
      </c>
      <c r="Z47" s="10">
        <v>36.54</v>
      </c>
      <c r="AA47" s="10">
        <v>36.549999999999997</v>
      </c>
      <c r="AB47" s="95">
        <v>7121000</v>
      </c>
      <c r="AC47" s="10">
        <v>36.42</v>
      </c>
      <c r="AD47" s="2">
        <f t="shared" si="1"/>
        <v>0.45000000000000284</v>
      </c>
      <c r="AE47" s="138">
        <f t="shared" si="2"/>
        <v>-6.2755798090040615E-3</v>
      </c>
    </row>
    <row r="48" spans="2:31" x14ac:dyDescent="0.25">
      <c r="B48" s="193">
        <v>42579</v>
      </c>
      <c r="C48" s="10">
        <v>230</v>
      </c>
      <c r="D48" s="40">
        <v>34.006</v>
      </c>
      <c r="E48" s="40">
        <v>34.4</v>
      </c>
      <c r="F48" s="40">
        <f t="shared" ref="F48" si="35">C48*(E48-D48)</f>
        <v>90.619999999999621</v>
      </c>
      <c r="G48" s="40">
        <f t="shared" ref="G48" si="36">D48*C48</f>
        <v>7821.38</v>
      </c>
      <c r="H48" s="231">
        <f t="shared" ref="H48" si="37">(E48-D48)/D48</f>
        <v>1.1586190672234263E-2</v>
      </c>
      <c r="I48" s="40"/>
      <c r="O48" s="83">
        <v>1.03</v>
      </c>
      <c r="P48" s="83">
        <f t="shared" si="19"/>
        <v>33.650100000000002</v>
      </c>
      <c r="Q48" s="2"/>
      <c r="T48" s="93" t="s">
        <v>103</v>
      </c>
      <c r="U48" s="88">
        <v>0.62966100000000003</v>
      </c>
      <c r="W48" s="133">
        <v>42551</v>
      </c>
      <c r="X48" s="10">
        <v>36.450000000000003</v>
      </c>
      <c r="Y48" s="10">
        <v>36.79</v>
      </c>
      <c r="Z48" s="10">
        <v>36.03</v>
      </c>
      <c r="AA48" s="10">
        <v>36.79</v>
      </c>
      <c r="AB48" s="95">
        <v>10256300</v>
      </c>
      <c r="AC48" s="10">
        <v>36.65</v>
      </c>
      <c r="AD48" s="2">
        <f t="shared" si="1"/>
        <v>0.75999999999999801</v>
      </c>
      <c r="AE48" s="138">
        <f t="shared" si="2"/>
        <v>9.0859030837004973E-3</v>
      </c>
    </row>
    <row r="49" spans="2:31" x14ac:dyDescent="0.25">
      <c r="B49" s="193">
        <v>42580</v>
      </c>
      <c r="C49" s="10">
        <v>260</v>
      </c>
      <c r="D49" s="40">
        <v>33.991999999999997</v>
      </c>
      <c r="E49" s="40">
        <v>34.19</v>
      </c>
      <c r="F49" s="40">
        <f t="shared" ref="F49:F51" si="38">C49*(E49-D49)</f>
        <v>51.480000000000103</v>
      </c>
      <c r="G49" s="40">
        <f t="shared" ref="G49:G51" si="39">D49*C49</f>
        <v>8837.92</v>
      </c>
      <c r="H49" s="231">
        <f t="shared" ref="H49:H51" si="40">(E49-D49)/D49</f>
        <v>5.824899976465063E-3</v>
      </c>
      <c r="I49" s="40"/>
      <c r="O49" s="83">
        <v>1.02</v>
      </c>
      <c r="P49" s="83">
        <f t="shared" si="19"/>
        <v>33.323399999999999</v>
      </c>
      <c r="Q49" s="2"/>
      <c r="T49" s="93" t="s">
        <v>104</v>
      </c>
      <c r="U49" s="88" t="s">
        <v>248</v>
      </c>
      <c r="W49" s="133">
        <v>42550</v>
      </c>
      <c r="X49" s="10">
        <v>36.35</v>
      </c>
      <c r="Y49" s="10">
        <v>36.65</v>
      </c>
      <c r="Z49" s="10">
        <v>36.24</v>
      </c>
      <c r="AA49" s="10">
        <v>36.450000000000003</v>
      </c>
      <c r="AB49" s="95">
        <v>7589500</v>
      </c>
      <c r="AC49" s="10">
        <v>36.32</v>
      </c>
      <c r="AD49" s="2">
        <f t="shared" si="1"/>
        <v>0.40999999999999659</v>
      </c>
      <c r="AE49" s="138">
        <f t="shared" si="2"/>
        <v>1.1135857461024523E-2</v>
      </c>
    </row>
    <row r="50" spans="2:31" x14ac:dyDescent="0.25">
      <c r="B50" s="193">
        <v>42584</v>
      </c>
      <c r="C50" s="10">
        <v>300</v>
      </c>
      <c r="D50" s="40">
        <v>33.866</v>
      </c>
      <c r="E50" s="40">
        <v>32.61</v>
      </c>
      <c r="F50" s="40">
        <f t="shared" si="38"/>
        <v>-376.80000000000007</v>
      </c>
      <c r="G50" s="40">
        <f t="shared" si="39"/>
        <v>10159.799999999999</v>
      </c>
      <c r="H50" s="231">
        <f t="shared" si="40"/>
        <v>-3.7087344239059829E-2</v>
      </c>
      <c r="I50" s="40"/>
      <c r="O50" s="83">
        <v>1.01</v>
      </c>
      <c r="P50" s="83">
        <f t="shared" si="19"/>
        <v>32.996700000000004</v>
      </c>
      <c r="Q50" s="2"/>
      <c r="T50" s="93"/>
      <c r="U50" s="88"/>
      <c r="W50" s="133">
        <v>42549</v>
      </c>
      <c r="X50" s="10">
        <v>36.81</v>
      </c>
      <c r="Y50" s="10">
        <v>37</v>
      </c>
      <c r="Z50" s="10">
        <v>35.880000000000003</v>
      </c>
      <c r="AA50" s="10">
        <v>36.049999999999997</v>
      </c>
      <c r="AB50" s="95">
        <v>11941500</v>
      </c>
      <c r="AC50" s="10">
        <v>35.92</v>
      </c>
      <c r="AD50" s="2">
        <f t="shared" si="1"/>
        <v>1.1199999999999974</v>
      </c>
      <c r="AE50" s="138">
        <f t="shared" si="2"/>
        <v>-1.5350877192982337E-2</v>
      </c>
    </row>
    <row r="51" spans="2:31" x14ac:dyDescent="0.25">
      <c r="B51" s="193">
        <v>42586</v>
      </c>
      <c r="C51" s="10">
        <v>400</v>
      </c>
      <c r="D51" s="40">
        <v>33.520000000000003</v>
      </c>
      <c r="E51" s="40">
        <v>32.549999999999997</v>
      </c>
      <c r="F51" s="40">
        <f t="shared" si="38"/>
        <v>-388.00000000000239</v>
      </c>
      <c r="G51" s="40">
        <f t="shared" si="39"/>
        <v>13408.000000000002</v>
      </c>
      <c r="H51" s="231">
        <f t="shared" si="40"/>
        <v>-2.8937947494033587E-2</v>
      </c>
      <c r="I51" s="40"/>
      <c r="O51" s="83">
        <v>1</v>
      </c>
      <c r="P51" s="83">
        <f t="shared" si="19"/>
        <v>32.67</v>
      </c>
      <c r="Q51" s="2"/>
      <c r="T51" s="93" t="s">
        <v>105</v>
      </c>
      <c r="U51" s="88" t="s">
        <v>524</v>
      </c>
      <c r="W51" s="133">
        <v>42548</v>
      </c>
      <c r="X51" s="10">
        <v>34.880000000000003</v>
      </c>
      <c r="Y51" s="10">
        <v>36.869999999999997</v>
      </c>
      <c r="Z51" s="10">
        <v>34.75</v>
      </c>
      <c r="AA51" s="10">
        <v>36.619999999999997</v>
      </c>
      <c r="AB51" s="95">
        <v>19450000</v>
      </c>
      <c r="AC51" s="10">
        <v>36.479999999999997</v>
      </c>
      <c r="AD51" s="2">
        <f t="shared" si="1"/>
        <v>2.1199999999999974</v>
      </c>
      <c r="AE51" s="138">
        <f t="shared" si="2"/>
        <v>4.1988003427592124E-2</v>
      </c>
    </row>
    <row r="52" spans="2:31" x14ac:dyDescent="0.25">
      <c r="B52" s="193">
        <v>42587</v>
      </c>
      <c r="C52" s="10">
        <v>400</v>
      </c>
      <c r="D52" s="40">
        <v>33.387349999999998</v>
      </c>
      <c r="E52" s="40">
        <v>32.729999999999997</v>
      </c>
      <c r="F52" s="40">
        <f t="shared" ref="F52:F54" si="41">C52*(E52-D52)</f>
        <v>-262.9400000000004</v>
      </c>
      <c r="G52" s="40">
        <f t="shared" ref="G52" si="42">D52*C52</f>
        <v>13354.939999999999</v>
      </c>
      <c r="H52" s="231">
        <f t="shared" ref="H52:H54" si="43">(E52-D52)/D52</f>
        <v>-1.9688594632398231E-2</v>
      </c>
      <c r="I52" s="40"/>
      <c r="O52" s="83">
        <v>0.99</v>
      </c>
      <c r="P52" s="83">
        <f t="shared" si="19"/>
        <v>32.343299999999999</v>
      </c>
      <c r="Q52" s="2"/>
      <c r="T52" s="93" t="s">
        <v>106</v>
      </c>
      <c r="U52" s="88" t="s">
        <v>362</v>
      </c>
      <c r="W52" s="133">
        <v>42545</v>
      </c>
      <c r="X52" s="10">
        <v>34</v>
      </c>
      <c r="Y52" s="10">
        <v>35.5</v>
      </c>
      <c r="Z52" s="10">
        <v>33.9</v>
      </c>
      <c r="AA52" s="10">
        <v>35.14</v>
      </c>
      <c r="AB52" s="95">
        <v>14689500</v>
      </c>
      <c r="AC52" s="10">
        <v>35.01</v>
      </c>
      <c r="AD52" s="2">
        <f t="shared" si="1"/>
        <v>1.6000000000000014</v>
      </c>
      <c r="AE52" s="138">
        <f t="shared" si="2"/>
        <v>1.3607411696583638E-2</v>
      </c>
    </row>
    <row r="53" spans="2:31" x14ac:dyDescent="0.25">
      <c r="B53" s="193">
        <v>42598</v>
      </c>
      <c r="C53" s="10">
        <v>400</v>
      </c>
      <c r="D53" s="40">
        <v>33.387349999999998</v>
      </c>
      <c r="E53" s="40">
        <v>32.1</v>
      </c>
      <c r="F53" s="40">
        <f t="shared" si="41"/>
        <v>-514.93999999999858</v>
      </c>
      <c r="G53" s="40">
        <f t="shared" ref="G53:G58" si="44">D53*C53</f>
        <v>13354.939999999999</v>
      </c>
      <c r="H53" s="231">
        <f t="shared" si="43"/>
        <v>-3.8558016733882636E-2</v>
      </c>
      <c r="I53" s="40"/>
      <c r="O53" s="83">
        <v>0.98</v>
      </c>
      <c r="P53" s="83">
        <f t="shared" si="19"/>
        <v>32.016600000000004</v>
      </c>
      <c r="Q53" s="2"/>
      <c r="T53" s="93" t="s">
        <v>107</v>
      </c>
      <c r="U53" s="90">
        <v>7494914</v>
      </c>
      <c r="W53" s="133">
        <v>42544</v>
      </c>
      <c r="X53" s="10">
        <v>34.54</v>
      </c>
      <c r="Y53" s="10">
        <v>34.67</v>
      </c>
      <c r="Z53" s="10">
        <v>34.35</v>
      </c>
      <c r="AA53" s="10">
        <v>34.67</v>
      </c>
      <c r="AB53" s="95">
        <v>8560700</v>
      </c>
      <c r="AC53" s="10">
        <v>34.54</v>
      </c>
      <c r="AD53" s="2">
        <f t="shared" si="1"/>
        <v>0.32000000000000028</v>
      </c>
      <c r="AE53" s="138">
        <f t="shared" si="2"/>
        <v>1.3200352009386851E-2</v>
      </c>
    </row>
    <row r="54" spans="2:31" x14ac:dyDescent="0.25">
      <c r="B54" s="193">
        <v>42599</v>
      </c>
      <c r="C54" s="449">
        <v>500</v>
      </c>
      <c r="D54" s="532">
        <v>33.045879999999997</v>
      </c>
      <c r="E54" s="40">
        <v>31.88</v>
      </c>
      <c r="F54" s="40">
        <f t="shared" si="41"/>
        <v>-582.93999999999892</v>
      </c>
      <c r="G54" s="40">
        <f t="shared" si="44"/>
        <v>16522.939999999999</v>
      </c>
      <c r="H54" s="231">
        <f t="shared" si="43"/>
        <v>-3.5280646180401248E-2</v>
      </c>
      <c r="I54" s="40"/>
      <c r="O54" s="83">
        <v>0.97</v>
      </c>
      <c r="P54" s="83">
        <f t="shared" si="19"/>
        <v>31.689900000000002</v>
      </c>
      <c r="T54" s="93" t="s">
        <v>110</v>
      </c>
      <c r="U54" s="90">
        <v>9405060</v>
      </c>
      <c r="W54" s="133">
        <v>42543</v>
      </c>
      <c r="X54" s="10">
        <v>34.5</v>
      </c>
      <c r="Y54" s="10">
        <v>34.54</v>
      </c>
      <c r="Z54" s="10">
        <v>34.08</v>
      </c>
      <c r="AA54" s="10">
        <v>34.22</v>
      </c>
      <c r="AB54" s="95">
        <v>16952500</v>
      </c>
      <c r="AC54" s="10">
        <v>34.090000000000003</v>
      </c>
      <c r="AD54" s="2">
        <f t="shared" si="1"/>
        <v>0.46000000000000085</v>
      </c>
      <c r="AE54" s="138">
        <f t="shared" si="2"/>
        <v>-7.2801397786838029E-3</v>
      </c>
    </row>
    <row r="55" spans="2:31" x14ac:dyDescent="0.25">
      <c r="B55" s="193">
        <v>42600</v>
      </c>
      <c r="C55" s="10">
        <v>500</v>
      </c>
      <c r="D55" s="40">
        <v>33.045879999999997</v>
      </c>
      <c r="E55" s="40">
        <v>32.46</v>
      </c>
      <c r="F55" s="40">
        <f t="shared" ref="F55" si="45">C55*(E55-D55)</f>
        <v>-292.93999999999801</v>
      </c>
      <c r="G55" s="40">
        <f t="shared" si="44"/>
        <v>16522.939999999999</v>
      </c>
      <c r="H55" s="231">
        <f t="shared" ref="H55" si="46">(E55-D55)/D55</f>
        <v>-1.7729290307899079E-2</v>
      </c>
      <c r="I55" s="40"/>
      <c r="O55" s="83">
        <v>0.96</v>
      </c>
      <c r="P55" s="83">
        <f t="shared" si="19"/>
        <v>31.363199999999999</v>
      </c>
      <c r="T55" s="93" t="s">
        <v>108</v>
      </c>
      <c r="U55" s="88" t="s">
        <v>525</v>
      </c>
      <c r="W55" s="133">
        <v>42542</v>
      </c>
      <c r="X55" s="10">
        <v>34.75</v>
      </c>
      <c r="Y55" s="10">
        <v>34.82</v>
      </c>
      <c r="Z55" s="10">
        <v>34.28</v>
      </c>
      <c r="AA55" s="10">
        <v>34.47</v>
      </c>
      <c r="AB55" s="95">
        <v>13322800</v>
      </c>
      <c r="AC55" s="10">
        <v>34.340000000000003</v>
      </c>
      <c r="AD55" s="2">
        <f t="shared" si="1"/>
        <v>0.53999999999999915</v>
      </c>
      <c r="AE55" s="138">
        <f t="shared" si="2"/>
        <v>-6.9404279930593837E-3</v>
      </c>
    </row>
    <row r="56" spans="2:31" x14ac:dyDescent="0.25">
      <c r="B56" s="193">
        <v>42601</v>
      </c>
      <c r="C56" s="10">
        <v>500</v>
      </c>
      <c r="D56" s="40">
        <v>33.045879999999997</v>
      </c>
      <c r="E56" s="40">
        <v>32.61</v>
      </c>
      <c r="F56" s="40">
        <f t="shared" ref="F56" si="47">C56*(E56-D56)</f>
        <v>-217.93999999999869</v>
      </c>
      <c r="G56" s="40">
        <f t="shared" si="44"/>
        <v>16522.939999999999</v>
      </c>
      <c r="H56" s="231">
        <f t="shared" ref="H56" si="48">(E56-D56)/D56</f>
        <v>-1.3190146547769266E-2</v>
      </c>
      <c r="I56" s="40"/>
      <c r="O56" s="83">
        <v>0.95</v>
      </c>
      <c r="P56" s="83">
        <f t="shared" si="19"/>
        <v>31.0365</v>
      </c>
      <c r="T56" s="93" t="s">
        <v>111</v>
      </c>
      <c r="U56" s="88">
        <v>15.21</v>
      </c>
      <c r="W56" s="133">
        <v>42541</v>
      </c>
      <c r="X56" s="10">
        <v>35.299999999999997</v>
      </c>
      <c r="Y56" s="10">
        <v>35.67</v>
      </c>
      <c r="Z56" s="10">
        <v>34.71</v>
      </c>
      <c r="AA56" s="10">
        <v>34.71</v>
      </c>
      <c r="AB56" s="95">
        <v>9017900</v>
      </c>
      <c r="AC56" s="10">
        <v>34.58</v>
      </c>
      <c r="AD56" s="2">
        <f t="shared" si="1"/>
        <v>0.96000000000000085</v>
      </c>
      <c r="AE56" s="138">
        <f t="shared" si="2"/>
        <v>-1.3409415121255264E-2</v>
      </c>
    </row>
    <row r="57" spans="2:31" x14ac:dyDescent="0.25">
      <c r="B57" s="193">
        <v>42604</v>
      </c>
      <c r="C57" s="10">
        <v>500</v>
      </c>
      <c r="D57" s="40">
        <v>33.045879999999997</v>
      </c>
      <c r="E57" s="40">
        <v>32.86</v>
      </c>
      <c r="F57" s="40">
        <f t="shared" ref="F57" si="49">C57*(E57-D57)</f>
        <v>-92.93999999999869</v>
      </c>
      <c r="G57" s="40">
        <f t="shared" si="44"/>
        <v>16522.939999999999</v>
      </c>
      <c r="H57" s="231">
        <f t="shared" ref="H57" si="50">(E57-D57)/D57</f>
        <v>-5.624906947552839E-3</v>
      </c>
      <c r="I57" s="40"/>
      <c r="O57" s="83">
        <v>0.94</v>
      </c>
      <c r="P57" s="83">
        <f t="shared" si="19"/>
        <v>30.709800000000001</v>
      </c>
      <c r="T57" s="93" t="s">
        <v>112</v>
      </c>
      <c r="U57" s="88">
        <v>2.14</v>
      </c>
      <c r="W57" s="133">
        <v>42538</v>
      </c>
      <c r="X57" s="10">
        <v>35.369999999999997</v>
      </c>
      <c r="Y57" s="10">
        <v>35.5</v>
      </c>
      <c r="Z57" s="10">
        <v>34.520000000000003</v>
      </c>
      <c r="AA57" s="10">
        <v>35.18</v>
      </c>
      <c r="AB57" s="95">
        <v>16578200</v>
      </c>
      <c r="AC57" s="10">
        <v>35.049999999999997</v>
      </c>
      <c r="AD57" s="2">
        <f t="shared" si="1"/>
        <v>0.97999999999999687</v>
      </c>
      <c r="AE57" s="138">
        <f t="shared" si="2"/>
        <v>-8.2059988681382201E-3</v>
      </c>
    </row>
    <row r="58" spans="2:31" x14ac:dyDescent="0.25">
      <c r="B58" s="193">
        <v>42605</v>
      </c>
      <c r="C58" s="10">
        <v>500</v>
      </c>
      <c r="D58" s="40">
        <v>33.045879999999997</v>
      </c>
      <c r="E58" s="40">
        <v>32.25</v>
      </c>
      <c r="F58" s="40">
        <f t="shared" ref="F58" si="51">C58*(E58-D58)</f>
        <v>-397.93999999999841</v>
      </c>
      <c r="G58" s="40">
        <f t="shared" si="44"/>
        <v>16522.939999999999</v>
      </c>
      <c r="H58" s="231">
        <f t="shared" ref="H58" si="52">(E58-D58)/D58</f>
        <v>-2.4084091572080902E-2</v>
      </c>
      <c r="I58" s="40"/>
      <c r="O58" s="83">
        <v>0.93</v>
      </c>
      <c r="P58" s="83">
        <f t="shared" si="19"/>
        <v>30.383100000000002</v>
      </c>
      <c r="T58" s="93" t="s">
        <v>109</v>
      </c>
      <c r="U58" s="88" t="s">
        <v>588</v>
      </c>
      <c r="W58" s="133">
        <v>42537</v>
      </c>
      <c r="X58" s="10">
        <v>36.979999999999997</v>
      </c>
      <c r="Y58" s="10">
        <v>36.979999999999997</v>
      </c>
      <c r="Z58" s="10">
        <v>35.35</v>
      </c>
      <c r="AA58" s="10">
        <v>35.47</v>
      </c>
      <c r="AB58" s="95">
        <v>19034000</v>
      </c>
      <c r="AC58" s="10">
        <v>35.340000000000003</v>
      </c>
      <c r="AD58" s="2">
        <f t="shared" si="1"/>
        <v>1.6299999999999955</v>
      </c>
      <c r="AE58" s="138">
        <f t="shared" si="2"/>
        <v>-6.7453625632376557E-3</v>
      </c>
    </row>
    <row r="59" spans="2:31" x14ac:dyDescent="0.25">
      <c r="B59" s="193">
        <v>42606</v>
      </c>
      <c r="C59" s="10">
        <v>500</v>
      </c>
      <c r="D59" s="40">
        <v>33.045879999999997</v>
      </c>
      <c r="E59" s="40">
        <v>32.99</v>
      </c>
      <c r="F59" s="40">
        <f t="shared" ref="F59" si="53">C59*(E59-D59)</f>
        <v>-27.939999999997411</v>
      </c>
      <c r="G59" s="40">
        <f t="shared" ref="G59" si="54">D59*C59</f>
        <v>16522.939999999999</v>
      </c>
      <c r="H59" s="231">
        <f t="shared" ref="H59" si="55">(E59-D59)/D59</f>
        <v>-1.6909823554402191E-3</v>
      </c>
      <c r="I59" s="40"/>
      <c r="O59" s="83">
        <v>0.92</v>
      </c>
      <c r="P59" s="83">
        <f t="shared" si="19"/>
        <v>30.056400000000004</v>
      </c>
      <c r="W59" s="133">
        <v>42536</v>
      </c>
      <c r="X59" s="10">
        <v>35.479999999999997</v>
      </c>
      <c r="Y59" s="10">
        <v>36.01</v>
      </c>
      <c r="Z59" s="10">
        <v>35.14</v>
      </c>
      <c r="AA59" s="10">
        <v>35.71</v>
      </c>
      <c r="AB59" s="95">
        <v>13499800</v>
      </c>
      <c r="AC59" s="10">
        <v>35.58</v>
      </c>
      <c r="AD59" s="2">
        <f t="shared" si="1"/>
        <v>0.86999999999999744</v>
      </c>
      <c r="AE59" s="138">
        <f t="shared" si="2"/>
        <v>-1.4033118158855995E-3</v>
      </c>
    </row>
    <row r="60" spans="2:31" x14ac:dyDescent="0.25">
      <c r="B60" s="193">
        <v>42607</v>
      </c>
      <c r="C60" s="10">
        <v>500</v>
      </c>
      <c r="D60" s="40">
        <v>33.045879999999997</v>
      </c>
      <c r="E60" s="40">
        <v>32.76</v>
      </c>
      <c r="F60" s="40">
        <f t="shared" ref="F60" si="56">C60*(E60-D60)</f>
        <v>-142.9399999999994</v>
      </c>
      <c r="G60" s="40">
        <f t="shared" ref="G60" si="57">D60*C60</f>
        <v>16522.939999999999</v>
      </c>
      <c r="H60" s="231">
        <f t="shared" ref="H60" si="58">(E60-D60)/D60</f>
        <v>-8.6510027876394533E-3</v>
      </c>
      <c r="I60" s="40"/>
      <c r="O60" s="83">
        <v>0.91</v>
      </c>
      <c r="P60" s="83">
        <f t="shared" si="19"/>
        <v>29.729700000000001</v>
      </c>
      <c r="W60" s="133">
        <v>42535</v>
      </c>
      <c r="X60" s="10">
        <v>35.96</v>
      </c>
      <c r="Y60" s="10">
        <v>36.18</v>
      </c>
      <c r="Z60" s="10">
        <v>35.409999999999997</v>
      </c>
      <c r="AA60" s="10">
        <v>35.76</v>
      </c>
      <c r="AB60" s="95">
        <v>8839800</v>
      </c>
      <c r="AC60" s="10">
        <v>35.630000000000003</v>
      </c>
      <c r="AD60" s="2">
        <f t="shared" si="1"/>
        <v>0.77000000000000313</v>
      </c>
      <c r="AE60" s="138">
        <f t="shared" si="2"/>
        <v>-1.0552624271035649E-2</v>
      </c>
    </row>
    <row r="61" spans="2:31" x14ac:dyDescent="0.25">
      <c r="B61" s="193">
        <v>42611</v>
      </c>
      <c r="C61" s="10">
        <v>500</v>
      </c>
      <c r="D61" s="40">
        <v>33.045879999999997</v>
      </c>
      <c r="E61" s="40">
        <v>32.33</v>
      </c>
      <c r="F61" s="40">
        <f t="shared" ref="F61" si="59">C61*(E61-D61)</f>
        <v>-357.93999999999926</v>
      </c>
      <c r="G61" s="40">
        <f t="shared" ref="G61" si="60">D61*C61</f>
        <v>16522.939999999999</v>
      </c>
      <c r="H61" s="231">
        <f t="shared" ref="H61" si="61">(E61-D61)/D61</f>
        <v>-2.1663214900011697E-2</v>
      </c>
      <c r="I61" s="40"/>
      <c r="O61" s="83">
        <v>0.9</v>
      </c>
      <c r="P61" s="83">
        <f t="shared" si="19"/>
        <v>29.403000000000002</v>
      </c>
      <c r="W61" s="133">
        <v>42534</v>
      </c>
      <c r="X61" s="10">
        <v>36.450000000000003</v>
      </c>
      <c r="Y61" s="10">
        <v>36.56</v>
      </c>
      <c r="Z61" s="10">
        <v>35.92</v>
      </c>
      <c r="AA61" s="10">
        <v>36.14</v>
      </c>
      <c r="AB61" s="95">
        <v>9025300</v>
      </c>
      <c r="AC61" s="10">
        <v>36.01</v>
      </c>
      <c r="AD61" s="2">
        <f t="shared" si="1"/>
        <v>0.64000000000000057</v>
      </c>
      <c r="AE61" s="138">
        <f t="shared" si="2"/>
        <v>-1.7998363785110549E-2</v>
      </c>
    </row>
    <row r="62" spans="2:31" x14ac:dyDescent="0.25">
      <c r="B62" s="193">
        <v>42612</v>
      </c>
      <c r="C62" s="10">
        <v>500</v>
      </c>
      <c r="D62" s="40">
        <v>33.045879999999997</v>
      </c>
      <c r="E62" s="40">
        <v>32.159999999999997</v>
      </c>
      <c r="F62" s="40">
        <f t="shared" ref="F62" si="62">C62*(E62-D62)</f>
        <v>-442.94000000000011</v>
      </c>
      <c r="G62" s="40">
        <f t="shared" ref="G62" si="63">D62*C62</f>
        <v>16522.939999999999</v>
      </c>
      <c r="H62" s="231">
        <f t="shared" ref="H62" si="64">(E62-D62)/D62</f>
        <v>-2.6807577828158919E-2</v>
      </c>
      <c r="I62" s="40"/>
      <c r="W62" s="133">
        <v>42531</v>
      </c>
      <c r="X62" s="10">
        <v>36.380000000000003</v>
      </c>
      <c r="Y62" s="10">
        <v>37</v>
      </c>
      <c r="Z62" s="10">
        <v>36.17</v>
      </c>
      <c r="AA62" s="10">
        <v>36.81</v>
      </c>
      <c r="AB62" s="95">
        <v>7768800</v>
      </c>
      <c r="AC62" s="10">
        <v>36.67</v>
      </c>
      <c r="AD62" s="2">
        <f t="shared" si="1"/>
        <v>0.82999999999999829</v>
      </c>
      <c r="AE62" s="138">
        <f t="shared" si="2"/>
        <v>6.3117453347969477E-3</v>
      </c>
    </row>
    <row r="63" spans="2:31" x14ac:dyDescent="0.25">
      <c r="B63" s="193">
        <v>42614</v>
      </c>
      <c r="C63" s="10">
        <v>500</v>
      </c>
      <c r="D63" s="40">
        <v>33.045879999999997</v>
      </c>
      <c r="E63" s="40">
        <v>31.96</v>
      </c>
      <c r="F63" s="40">
        <f t="shared" ref="F63" si="65">C63*(E63-D63)</f>
        <v>-542.93999999999801</v>
      </c>
      <c r="G63" s="40">
        <f t="shared" ref="G63" si="66">D63*C63</f>
        <v>16522.939999999999</v>
      </c>
      <c r="H63" s="231">
        <f t="shared" ref="H63" si="67">(E63-D63)/D63</f>
        <v>-3.2859769508331936E-2</v>
      </c>
      <c r="I63" s="40"/>
      <c r="W63" s="133">
        <v>42530</v>
      </c>
      <c r="X63" s="10">
        <v>36.5</v>
      </c>
      <c r="Y63" s="10">
        <v>36.799999999999997</v>
      </c>
      <c r="Z63" s="10">
        <v>36.32</v>
      </c>
      <c r="AA63" s="10">
        <v>36.58</v>
      </c>
      <c r="AB63" s="95">
        <v>7083500</v>
      </c>
      <c r="AC63" s="10">
        <v>36.44</v>
      </c>
      <c r="AD63" s="2">
        <f t="shared" si="1"/>
        <v>0.47999999999999687</v>
      </c>
      <c r="AE63" s="138">
        <f t="shared" si="2"/>
        <v>1.3740038472107585E-3</v>
      </c>
    </row>
    <row r="64" spans="2:31" x14ac:dyDescent="0.25">
      <c r="B64" s="193">
        <v>42615</v>
      </c>
      <c r="C64" s="10">
        <v>500</v>
      </c>
      <c r="D64" s="40">
        <v>32.94988</v>
      </c>
      <c r="E64" s="40">
        <v>32.5</v>
      </c>
      <c r="F64" s="40">
        <f t="shared" ref="F64" si="68">C64*(E64-D64)</f>
        <v>-224.94000000000014</v>
      </c>
      <c r="G64" s="40">
        <f t="shared" ref="G64" si="69">D64*C64</f>
        <v>16474.939999999999</v>
      </c>
      <c r="H64" s="231">
        <f t="shared" ref="H64" si="70">(E64-D64)/D64</f>
        <v>-1.3653463988336233E-2</v>
      </c>
      <c r="I64" s="40" t="s">
        <v>195</v>
      </c>
      <c r="W64" s="133">
        <v>42529</v>
      </c>
      <c r="X64" s="10">
        <v>36.31</v>
      </c>
      <c r="Y64" s="10">
        <v>36.700000000000003</v>
      </c>
      <c r="Z64" s="10">
        <v>36.17</v>
      </c>
      <c r="AA64" s="10">
        <v>36.520000000000003</v>
      </c>
      <c r="AB64" s="95">
        <v>5173000</v>
      </c>
      <c r="AC64" s="10">
        <v>36.39</v>
      </c>
      <c r="AD64" s="2">
        <f t="shared" si="1"/>
        <v>0.53000000000000114</v>
      </c>
      <c r="AE64" s="138">
        <f t="shared" si="2"/>
        <v>6.3606194690266626E-3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42528</v>
      </c>
      <c r="X65" s="10">
        <v>36.11</v>
      </c>
      <c r="Y65" s="10">
        <v>36.520000000000003</v>
      </c>
      <c r="Z65" s="10">
        <v>35.92</v>
      </c>
      <c r="AA65" s="10">
        <v>36.29</v>
      </c>
      <c r="AB65" s="95">
        <v>3577200</v>
      </c>
      <c r="AC65" s="10">
        <v>36.159999999999997</v>
      </c>
      <c r="AD65" s="2">
        <f t="shared" si="1"/>
        <v>0.60000000000000142</v>
      </c>
      <c r="AE65" s="138">
        <f t="shared" si="2"/>
        <v>7.5229869044299846E-3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42527</v>
      </c>
      <c r="X66" s="10">
        <v>36.22</v>
      </c>
      <c r="Y66" s="10">
        <v>36.42</v>
      </c>
      <c r="Z66" s="10">
        <v>35.99</v>
      </c>
      <c r="AA66" s="10">
        <v>36.020000000000003</v>
      </c>
      <c r="AB66" s="95">
        <v>3684300</v>
      </c>
      <c r="AC66" s="10">
        <v>35.89</v>
      </c>
      <c r="AD66" s="2">
        <f t="shared" si="1"/>
        <v>0.42999999999999972</v>
      </c>
      <c r="AE66" s="138">
        <f t="shared" si="2"/>
        <v>-6.3676633444074149E-3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42524</v>
      </c>
      <c r="X67" s="10">
        <v>36.200000000000003</v>
      </c>
      <c r="Y67" s="10">
        <v>36.35</v>
      </c>
      <c r="Z67" s="10">
        <v>36</v>
      </c>
      <c r="AA67" s="10">
        <v>36.25</v>
      </c>
      <c r="AB67" s="95">
        <v>4697100</v>
      </c>
      <c r="AC67" s="10">
        <v>36.119999999999997</v>
      </c>
      <c r="AD67" s="2">
        <f>Y67-Z67</f>
        <v>0.35000000000000142</v>
      </c>
      <c r="AE67" s="138" t="e">
        <f>AC67/#REF!-1</f>
        <v>#REF!</v>
      </c>
    </row>
    <row r="68" spans="2:31" x14ac:dyDescent="0.25">
      <c r="W68" s="133">
        <v>42523</v>
      </c>
      <c r="X68" s="10">
        <v>36.299999999999997</v>
      </c>
      <c r="Y68" s="10">
        <v>36.520000000000003</v>
      </c>
      <c r="Z68" s="10">
        <v>36.090000000000003</v>
      </c>
      <c r="AA68" s="10">
        <v>36.44</v>
      </c>
      <c r="AB68" s="95">
        <v>5360700</v>
      </c>
      <c r="AC68" s="10">
        <v>36.31</v>
      </c>
      <c r="AD68" s="2" t="e">
        <f>#REF!-#REF!</f>
        <v>#REF!</v>
      </c>
      <c r="AE68" s="138" t="e">
        <f>#REF!/AC69-1</f>
        <v>#REF!</v>
      </c>
    </row>
    <row r="69" spans="2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598" priority="31">
      <formula>F29&gt;0</formula>
    </cfRule>
    <cfRule type="expression" dxfId="597" priority="32">
      <formula>F29&lt;0</formula>
    </cfRule>
  </conditionalFormatting>
  <conditionalFormatting sqref="F34:F47 F50:F67">
    <cfRule type="expression" dxfId="596" priority="27">
      <formula>F34&gt;0</formula>
    </cfRule>
    <cfRule type="expression" dxfId="595" priority="28">
      <formula>F34&lt;0</formula>
    </cfRule>
  </conditionalFormatting>
  <conditionalFormatting sqref="F34:F47 F50:F67">
    <cfRule type="expression" dxfId="594" priority="29">
      <formula>F34&gt;0</formula>
    </cfRule>
    <cfRule type="expression" dxfId="593" priority="30">
      <formula>F34&lt;0</formula>
    </cfRule>
  </conditionalFormatting>
  <conditionalFormatting sqref="H29:H47 H50:H67">
    <cfRule type="expression" dxfId="592" priority="25">
      <formula>H29&gt;0</formula>
    </cfRule>
    <cfRule type="expression" dxfId="591" priority="26">
      <formula>H29&lt;0</formula>
    </cfRule>
  </conditionalFormatting>
  <conditionalFormatting sqref="F25:F28">
    <cfRule type="expression" dxfId="590" priority="19">
      <formula>F25&gt;0</formula>
    </cfRule>
    <cfRule type="expression" dxfId="589" priority="20">
      <formula>F25&lt;0</formula>
    </cfRule>
  </conditionalFormatting>
  <conditionalFormatting sqref="H25:H28">
    <cfRule type="expression" dxfId="588" priority="17">
      <formula>H25&gt;0</formula>
    </cfRule>
    <cfRule type="expression" dxfId="587" priority="18">
      <formula>H25&lt;0</formula>
    </cfRule>
  </conditionalFormatting>
  <conditionalFormatting sqref="Q8">
    <cfRule type="expression" dxfId="586" priority="13">
      <formula>Q8&gt;0</formula>
    </cfRule>
    <cfRule type="expression" dxfId="585" priority="14">
      <formula>Q8&lt;0</formula>
    </cfRule>
  </conditionalFormatting>
  <conditionalFormatting sqref="Q7">
    <cfRule type="expression" dxfId="584" priority="15">
      <formula>Q7&gt;0</formula>
    </cfRule>
    <cfRule type="expression" dxfId="583" priority="16">
      <formula>Q7&lt;0</formula>
    </cfRule>
  </conditionalFormatting>
  <conditionalFormatting sqref="F48">
    <cfRule type="expression" dxfId="582" priority="9">
      <formula>F48&gt;0</formula>
    </cfRule>
    <cfRule type="expression" dxfId="581" priority="10">
      <formula>F48&lt;0</formula>
    </cfRule>
  </conditionalFormatting>
  <conditionalFormatting sqref="F48">
    <cfRule type="expression" dxfId="580" priority="11">
      <formula>F48&gt;0</formula>
    </cfRule>
    <cfRule type="expression" dxfId="579" priority="12">
      <formula>F48&lt;0</formula>
    </cfRule>
  </conditionalFormatting>
  <conditionalFormatting sqref="H48">
    <cfRule type="expression" dxfId="578" priority="7">
      <formula>H48&gt;0</formula>
    </cfRule>
    <cfRule type="expression" dxfId="577" priority="8">
      <formula>H48&lt;0</formula>
    </cfRule>
  </conditionalFormatting>
  <conditionalFormatting sqref="F49">
    <cfRule type="expression" dxfId="576" priority="3">
      <formula>F49&gt;0</formula>
    </cfRule>
    <cfRule type="expression" dxfId="575" priority="4">
      <formula>F49&lt;0</formula>
    </cfRule>
  </conditionalFormatting>
  <conditionalFormatting sqref="F49">
    <cfRule type="expression" dxfId="574" priority="5">
      <formula>F49&gt;0</formula>
    </cfRule>
    <cfRule type="expression" dxfId="573" priority="6">
      <formula>F49&lt;0</formula>
    </cfRule>
  </conditionalFormatting>
  <conditionalFormatting sqref="H49">
    <cfRule type="expression" dxfId="572" priority="1">
      <formula>H49&gt;0</formula>
    </cfRule>
    <cfRule type="expression" dxfId="571" priority="2">
      <formula>H49&lt;0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208</v>
      </c>
      <c r="B2" s="475">
        <v>42488</v>
      </c>
      <c r="C2" s="7">
        <v>100</v>
      </c>
      <c r="D2" s="44">
        <v>13.8</v>
      </c>
      <c r="E2" s="44">
        <v>0</v>
      </c>
      <c r="F2" s="44">
        <f>D2*C2+E2</f>
        <v>1380</v>
      </c>
      <c r="G2" s="475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42614</v>
      </c>
      <c r="M2" s="44">
        <v>45</v>
      </c>
      <c r="O2" s="11" t="s">
        <v>57</v>
      </c>
      <c r="Q2">
        <f>C18-H18</f>
        <v>250</v>
      </c>
      <c r="T2" s="1">
        <v>42627</v>
      </c>
      <c r="U2" t="s">
        <v>569</v>
      </c>
      <c r="W2" s="133">
        <v>42615</v>
      </c>
      <c r="X2" s="10">
        <v>12.53</v>
      </c>
      <c r="Y2" s="10">
        <v>12.57</v>
      </c>
      <c r="Z2" s="10">
        <v>12.46</v>
      </c>
      <c r="AA2" s="10">
        <v>12.5</v>
      </c>
      <c r="AB2" s="95">
        <v>21025000</v>
      </c>
      <c r="AC2" s="10">
        <v>12.5</v>
      </c>
      <c r="AD2" s="2">
        <f>Y2-Z2</f>
        <v>0.10999999999999943</v>
      </c>
      <c r="AE2" s="138">
        <f>AC2/AC3-1</f>
        <v>4.8231511254019921E-3</v>
      </c>
    </row>
    <row r="3" spans="1:31" x14ac:dyDescent="0.25">
      <c r="A3" s="23" t="s">
        <v>71</v>
      </c>
      <c r="B3" s="475">
        <v>42507</v>
      </c>
      <c r="C3" s="7">
        <v>100</v>
      </c>
      <c r="D3" s="44">
        <v>13.08</v>
      </c>
      <c r="E3" s="44">
        <v>0</v>
      </c>
      <c r="F3" s="44">
        <f>D3*C3+E3</f>
        <v>1308</v>
      </c>
      <c r="G3" s="475">
        <v>42559</v>
      </c>
      <c r="H3" s="82">
        <v>100</v>
      </c>
      <c r="I3" s="44">
        <v>13.08</v>
      </c>
      <c r="J3" s="44">
        <v>0.03</v>
      </c>
      <c r="K3" s="44">
        <f>I3*H3-J3</f>
        <v>1307.97</v>
      </c>
      <c r="O3" s="11" t="s">
        <v>58</v>
      </c>
      <c r="Q3" s="230">
        <f>IF(Q2=0, Q4, (F18-K18-M18)/Q2)</f>
        <v>12.10632</v>
      </c>
      <c r="T3" s="1"/>
      <c r="W3" s="133">
        <v>42614</v>
      </c>
      <c r="X3" s="10">
        <v>12.66</v>
      </c>
      <c r="Y3" s="10">
        <v>12.72</v>
      </c>
      <c r="Z3" s="10">
        <v>12.35</v>
      </c>
      <c r="AA3" s="10">
        <v>12.44</v>
      </c>
      <c r="AB3" s="95">
        <v>40510400</v>
      </c>
      <c r="AC3" s="10">
        <v>12.44</v>
      </c>
      <c r="AD3" s="2">
        <f t="shared" ref="AD3:AD66" si="0">Y3-Z3</f>
        <v>0.37000000000000099</v>
      </c>
      <c r="AE3" s="138">
        <f t="shared" ref="AE3:AE66" si="1">AC3/AC4-1</f>
        <v>-1.2698412698412764E-2</v>
      </c>
    </row>
    <row r="4" spans="1:31" x14ac:dyDescent="0.25">
      <c r="B4" s="475">
        <v>42545</v>
      </c>
      <c r="C4" s="7">
        <v>50</v>
      </c>
      <c r="D4" s="44">
        <v>12.75</v>
      </c>
      <c r="E4" s="44">
        <v>0</v>
      </c>
      <c r="F4" s="44">
        <f>D4*C4+E4</f>
        <v>637.5</v>
      </c>
      <c r="G4" s="475">
        <v>42577</v>
      </c>
      <c r="H4" s="82">
        <v>50</v>
      </c>
      <c r="I4" s="44">
        <v>13.78</v>
      </c>
      <c r="J4" s="44">
        <v>0.02</v>
      </c>
      <c r="K4" s="44">
        <f>I4*H4-J4</f>
        <v>688.98</v>
      </c>
      <c r="O4" s="11" t="s">
        <v>66</v>
      </c>
      <c r="Q4" s="55">
        <v>12.67</v>
      </c>
      <c r="T4" s="163"/>
      <c r="W4" s="133">
        <v>42613</v>
      </c>
      <c r="X4" s="10">
        <v>12.48</v>
      </c>
      <c r="Y4" s="10">
        <v>12.61</v>
      </c>
      <c r="Z4" s="10">
        <v>12.48</v>
      </c>
      <c r="AA4" s="10">
        <v>12.6</v>
      </c>
      <c r="AB4" s="95">
        <v>26030600</v>
      </c>
      <c r="AC4" s="10">
        <v>12.6</v>
      </c>
      <c r="AD4" s="2">
        <f t="shared" si="0"/>
        <v>0.12999999999999901</v>
      </c>
      <c r="AE4" s="138">
        <f t="shared" si="1"/>
        <v>3.9840637450199168E-3</v>
      </c>
    </row>
    <row r="5" spans="1:31" x14ac:dyDescent="0.25">
      <c r="B5" s="74">
        <v>42545</v>
      </c>
      <c r="C5" s="4">
        <v>100</v>
      </c>
      <c r="D5" s="3">
        <v>12.75</v>
      </c>
      <c r="E5" s="3">
        <v>0</v>
      </c>
      <c r="F5" s="3">
        <f>D5*C5+E5</f>
        <v>1275</v>
      </c>
      <c r="H5" s="72"/>
      <c r="I5" s="3"/>
      <c r="J5" s="3"/>
      <c r="K5" s="3"/>
      <c r="O5" s="11" t="s">
        <v>67</v>
      </c>
      <c r="Q5" s="3">
        <f>Q4*Q2</f>
        <v>3167.5</v>
      </c>
      <c r="W5" s="133">
        <v>42612</v>
      </c>
      <c r="X5" s="10">
        <v>12.47</v>
      </c>
      <c r="Y5" s="10">
        <v>12.56</v>
      </c>
      <c r="Z5" s="10">
        <v>12.43</v>
      </c>
      <c r="AA5" s="10">
        <v>12.55</v>
      </c>
      <c r="AB5" s="95">
        <v>26040400</v>
      </c>
      <c r="AC5" s="10">
        <v>12.55</v>
      </c>
      <c r="AD5" s="2">
        <f t="shared" si="0"/>
        <v>0.13000000000000078</v>
      </c>
      <c r="AE5" s="138">
        <f t="shared" si="1"/>
        <v>6.4153969526865584E-3</v>
      </c>
    </row>
    <row r="6" spans="1:31" x14ac:dyDescent="0.25">
      <c r="B6" s="74">
        <v>42548</v>
      </c>
      <c r="C6" s="4">
        <v>150</v>
      </c>
      <c r="D6" s="3">
        <v>12.18</v>
      </c>
      <c r="E6" s="3">
        <v>0</v>
      </c>
      <c r="F6" s="3">
        <f>D6*C6+E6</f>
        <v>1827</v>
      </c>
      <c r="G6" s="4"/>
      <c r="H6" s="185"/>
      <c r="I6" s="3"/>
      <c r="J6" s="3"/>
      <c r="K6" s="3"/>
      <c r="O6" s="11" t="s">
        <v>64</v>
      </c>
      <c r="Q6" s="2">
        <f>Q3*Q2</f>
        <v>3026.58</v>
      </c>
      <c r="W6" s="133">
        <v>42611</v>
      </c>
      <c r="X6" s="10">
        <v>12.38</v>
      </c>
      <c r="Y6" s="10">
        <v>12.5</v>
      </c>
      <c r="Z6" s="10">
        <v>12.38</v>
      </c>
      <c r="AA6" s="10">
        <v>12.47</v>
      </c>
      <c r="AB6" s="95">
        <v>22243200</v>
      </c>
      <c r="AC6" s="10">
        <v>12.47</v>
      </c>
      <c r="AD6" s="2">
        <f t="shared" si="0"/>
        <v>0.11999999999999922</v>
      </c>
      <c r="AE6" s="138">
        <f t="shared" si="1"/>
        <v>7.2697899838449764E-3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187</v>
      </c>
      <c r="Q7" s="2">
        <f>Q10+Q8</f>
        <v>140.92000000000007</v>
      </c>
      <c r="R7">
        <v>250</v>
      </c>
      <c r="W7" s="133">
        <v>42608</v>
      </c>
      <c r="X7" s="10">
        <v>12.47</v>
      </c>
      <c r="Y7" s="10">
        <v>12.55</v>
      </c>
      <c r="Z7" s="10">
        <v>12.34</v>
      </c>
      <c r="AA7" s="10">
        <v>12.38</v>
      </c>
      <c r="AB7" s="95">
        <v>22645900</v>
      </c>
      <c r="AC7" s="10">
        <v>12.38</v>
      </c>
      <c r="AD7" s="2">
        <f t="shared" si="0"/>
        <v>0.21000000000000085</v>
      </c>
      <c r="AE7" s="138">
        <f t="shared" si="1"/>
        <v>-7.2173215717722394E-3</v>
      </c>
    </row>
    <row r="8" spans="1:31" x14ac:dyDescent="0.25">
      <c r="H8" s="72"/>
      <c r="O8" s="11" t="s">
        <v>190</v>
      </c>
      <c r="P8" s="34"/>
      <c r="Q8" s="2">
        <f>K18+M18-F18+Q2*Q4</f>
        <v>140.92000000000007</v>
      </c>
      <c r="W8" s="133">
        <v>42607</v>
      </c>
      <c r="X8" s="10">
        <v>12.3</v>
      </c>
      <c r="Y8" s="10">
        <v>12.52</v>
      </c>
      <c r="Z8" s="10">
        <v>12.21</v>
      </c>
      <c r="AA8" s="10">
        <v>12.47</v>
      </c>
      <c r="AB8" s="95">
        <v>44713700</v>
      </c>
      <c r="AC8" s="10">
        <v>12.47</v>
      </c>
      <c r="AD8" s="2">
        <f t="shared" si="0"/>
        <v>0.30999999999999872</v>
      </c>
      <c r="AE8" s="138">
        <f t="shared" si="1"/>
        <v>1.38211382113822E-2</v>
      </c>
    </row>
    <row r="9" spans="1:31" x14ac:dyDescent="0.25">
      <c r="H9" s="72"/>
      <c r="O9" s="11" t="s">
        <v>224</v>
      </c>
      <c r="Q9" s="138">
        <f>IF(Q2=0, 0, Q8/Q6)</f>
        <v>4.6560804604537161E-2</v>
      </c>
      <c r="W9" s="133">
        <v>42606</v>
      </c>
      <c r="X9" s="10">
        <v>12.41</v>
      </c>
      <c r="Y9" s="10">
        <v>12.44</v>
      </c>
      <c r="Z9" s="10">
        <v>12.28</v>
      </c>
      <c r="AA9" s="10">
        <v>12.3</v>
      </c>
      <c r="AB9" s="95">
        <v>19999600</v>
      </c>
      <c r="AC9" s="10">
        <v>12.3</v>
      </c>
      <c r="AD9" s="2">
        <f t="shared" si="0"/>
        <v>0.16000000000000014</v>
      </c>
      <c r="AE9" s="138">
        <f t="shared" si="1"/>
        <v>-9.6618357487922024E-3</v>
      </c>
    </row>
    <row r="10" spans="1:31" x14ac:dyDescent="0.25">
      <c r="H10" s="72"/>
      <c r="O10" s="11" t="s">
        <v>223</v>
      </c>
      <c r="P10" s="34"/>
      <c r="Q10" s="2">
        <f>M32</f>
        <v>0</v>
      </c>
      <c r="W10" s="133">
        <v>42605</v>
      </c>
      <c r="X10" s="10">
        <v>12.4</v>
      </c>
      <c r="Y10" s="10">
        <v>12.43</v>
      </c>
      <c r="Z10" s="10">
        <v>12.33</v>
      </c>
      <c r="AA10" s="10">
        <v>12.42</v>
      </c>
      <c r="AB10" s="95">
        <v>34634100</v>
      </c>
      <c r="AC10" s="10">
        <v>12.42</v>
      </c>
      <c r="AD10" s="2">
        <f t="shared" si="0"/>
        <v>9.9999999999999645E-2</v>
      </c>
      <c r="AE10" s="138">
        <f t="shared" si="1"/>
        <v>4.8543689320388328E-3</v>
      </c>
    </row>
    <row r="11" spans="1:31" x14ac:dyDescent="0.25">
      <c r="H11" s="72"/>
      <c r="O11" s="11" t="s">
        <v>184</v>
      </c>
      <c r="P11" s="34"/>
      <c r="Q11" s="138">
        <f>VALUE(TRIM(CLEAN(MID(U58, FIND("(", U58)+1, 5))))</f>
        <v>4.8000000000000001E-2</v>
      </c>
      <c r="W11" s="133">
        <v>42604</v>
      </c>
      <c r="X11" s="10">
        <v>12.35</v>
      </c>
      <c r="Y11" s="10">
        <v>12.38</v>
      </c>
      <c r="Z11" s="10">
        <v>12.29</v>
      </c>
      <c r="AA11" s="10">
        <v>12.36</v>
      </c>
      <c r="AB11" s="95">
        <v>22458400</v>
      </c>
      <c r="AC11" s="10">
        <v>12.36</v>
      </c>
      <c r="AD11" s="2">
        <f t="shared" si="0"/>
        <v>9.0000000000001634E-2</v>
      </c>
      <c r="AE11" s="138">
        <f t="shared" si="1"/>
        <v>-2.4213075060534051E-3</v>
      </c>
    </row>
    <row r="12" spans="1:31" x14ac:dyDescent="0.25">
      <c r="H12" s="72"/>
      <c r="W12" s="133">
        <v>42601</v>
      </c>
      <c r="X12" s="10">
        <v>12.3</v>
      </c>
      <c r="Y12" s="10">
        <v>12.41</v>
      </c>
      <c r="Z12" s="10">
        <v>12.25</v>
      </c>
      <c r="AA12" s="10">
        <v>12.39</v>
      </c>
      <c r="AB12" s="95">
        <v>21891400</v>
      </c>
      <c r="AC12" s="10">
        <v>12.39</v>
      </c>
      <c r="AD12" s="2">
        <f t="shared" si="0"/>
        <v>0.16000000000000014</v>
      </c>
      <c r="AE12" s="138">
        <f t="shared" si="1"/>
        <v>4.8661800486617945E-3</v>
      </c>
    </row>
    <row r="13" spans="1:31" x14ac:dyDescent="0.25">
      <c r="H13" s="72"/>
      <c r="W13" s="133">
        <v>42600</v>
      </c>
      <c r="X13" s="10">
        <v>12.33</v>
      </c>
      <c r="Y13" s="10">
        <v>12.36</v>
      </c>
      <c r="Z13" s="10">
        <v>12.27</v>
      </c>
      <c r="AA13" s="10">
        <v>12.33</v>
      </c>
      <c r="AB13" s="95">
        <v>23629500</v>
      </c>
      <c r="AC13" s="10">
        <v>12.33</v>
      </c>
      <c r="AD13" s="2">
        <f t="shared" si="0"/>
        <v>8.9999999999999858E-2</v>
      </c>
      <c r="AE13" s="138">
        <f t="shared" si="1"/>
        <v>-4.8426150121065881E-3</v>
      </c>
    </row>
    <row r="14" spans="1:31" x14ac:dyDescent="0.25">
      <c r="H14" s="72"/>
      <c r="W14" s="133">
        <v>42599</v>
      </c>
      <c r="X14" s="10">
        <v>12.33</v>
      </c>
      <c r="Y14" s="10">
        <v>12.39</v>
      </c>
      <c r="Z14" s="10">
        <v>12.23</v>
      </c>
      <c r="AA14" s="10">
        <v>12.39</v>
      </c>
      <c r="AB14" s="95">
        <v>23434500</v>
      </c>
      <c r="AC14" s="10">
        <v>12.39</v>
      </c>
      <c r="AD14" s="2">
        <f t="shared" si="0"/>
        <v>0.16000000000000014</v>
      </c>
      <c r="AE14" s="138">
        <f t="shared" si="1"/>
        <v>4.0518638573745491E-3</v>
      </c>
    </row>
    <row r="15" spans="1:31" x14ac:dyDescent="0.25">
      <c r="H15" s="72"/>
      <c r="W15" s="133">
        <v>42598</v>
      </c>
      <c r="X15" s="10">
        <v>12.35</v>
      </c>
      <c r="Y15" s="10">
        <v>12.43</v>
      </c>
      <c r="Z15" s="10">
        <v>12.33</v>
      </c>
      <c r="AA15" s="10">
        <v>12.34</v>
      </c>
      <c r="AB15" s="95">
        <v>20450100</v>
      </c>
      <c r="AC15" s="10">
        <v>12.34</v>
      </c>
      <c r="AD15" s="2">
        <f t="shared" si="0"/>
        <v>9.9999999999999645E-2</v>
      </c>
      <c r="AE15" s="138">
        <f t="shared" si="1"/>
        <v>-7.2405470635559244E-3</v>
      </c>
    </row>
    <row r="16" spans="1:31" x14ac:dyDescent="0.25">
      <c r="H16" s="72"/>
      <c r="W16" s="133">
        <v>42597</v>
      </c>
      <c r="X16" s="10">
        <v>12.37</v>
      </c>
      <c r="Y16" s="10">
        <v>12.44</v>
      </c>
      <c r="Z16" s="10">
        <v>12.36</v>
      </c>
      <c r="AA16" s="10">
        <v>12.43</v>
      </c>
      <c r="AB16" s="95">
        <v>16371100</v>
      </c>
      <c r="AC16" s="10">
        <v>12.43</v>
      </c>
      <c r="AD16" s="2">
        <f t="shared" si="0"/>
        <v>8.0000000000000071E-2</v>
      </c>
      <c r="AE16" s="138">
        <f t="shared" si="1"/>
        <v>8.1103000811029169E-3</v>
      </c>
    </row>
    <row r="17" spans="1:31" x14ac:dyDescent="0.25">
      <c r="H17" s="72"/>
      <c r="W17" s="133">
        <v>42594</v>
      </c>
      <c r="X17" s="10">
        <v>12.29</v>
      </c>
      <c r="Y17" s="10">
        <v>12.37</v>
      </c>
      <c r="Z17" s="10">
        <v>12.25</v>
      </c>
      <c r="AA17" s="10">
        <v>12.33</v>
      </c>
      <c r="AB17" s="95">
        <v>18816900</v>
      </c>
      <c r="AC17" s="10">
        <v>12.33</v>
      </c>
      <c r="AD17" s="2">
        <f t="shared" si="0"/>
        <v>0.11999999999999922</v>
      </c>
      <c r="AE17" s="138">
        <f t="shared" si="1"/>
        <v>1.6246953696181787E-3</v>
      </c>
    </row>
    <row r="18" spans="1:31" x14ac:dyDescent="0.25">
      <c r="A18" s="32" t="s">
        <v>81</v>
      </c>
      <c r="B18" s="14"/>
      <c r="C18" s="14">
        <f>SUM(C2:C6)</f>
        <v>500</v>
      </c>
      <c r="D18" s="18"/>
      <c r="E18" s="18"/>
      <c r="F18" s="18">
        <f>SUM(F2:F6)</f>
        <v>6427.5</v>
      </c>
      <c r="G18" s="14"/>
      <c r="H18" s="14">
        <f>SUM(H2:H17)</f>
        <v>250</v>
      </c>
      <c r="I18" s="18"/>
      <c r="J18" s="18"/>
      <c r="K18" s="18">
        <f>SUM(K2:K17)</f>
        <v>3355.92</v>
      </c>
      <c r="L18" s="14"/>
      <c r="M18" s="18">
        <f>SUM(M2:M17)</f>
        <v>45</v>
      </c>
      <c r="W18" s="133">
        <v>42593</v>
      </c>
      <c r="X18" s="10">
        <v>12.31</v>
      </c>
      <c r="Y18" s="10">
        <v>12.37</v>
      </c>
      <c r="Z18" s="10">
        <v>12.26</v>
      </c>
      <c r="AA18" s="10">
        <v>12.31</v>
      </c>
      <c r="AB18" s="95">
        <v>24987300</v>
      </c>
      <c r="AC18" s="10">
        <v>12.31</v>
      </c>
      <c r="AD18" s="2">
        <f t="shared" si="0"/>
        <v>0.10999999999999943</v>
      </c>
      <c r="AE18" s="138">
        <f t="shared" si="1"/>
        <v>4.8979591836735281E-3</v>
      </c>
    </row>
    <row r="19" spans="1:31" ht="15.75" thickBot="1" x14ac:dyDescent="0.3">
      <c r="A19" s="359" t="s">
        <v>204</v>
      </c>
      <c r="B19" s="360"/>
      <c r="C19" s="361">
        <f>SumByColor($A$19,C2:C17)</f>
        <v>250</v>
      </c>
      <c r="D19" s="361"/>
      <c r="E19" s="361"/>
      <c r="F19" s="362">
        <f>SumByColor($A$19,F2:F17)</f>
        <v>3326</v>
      </c>
      <c r="G19" s="361"/>
      <c r="H19" s="361">
        <f>SumByColor($A$19,H2:H17)</f>
        <v>250</v>
      </c>
      <c r="I19" s="361"/>
      <c r="J19" s="361"/>
      <c r="K19" s="362">
        <f>SumByColor($A$19,K2:K17)</f>
        <v>3356</v>
      </c>
      <c r="L19" s="361"/>
      <c r="M19" s="362">
        <f t="shared" ref="M19" si="2">SumByColor($A$19,M2:M17)</f>
        <v>45</v>
      </c>
      <c r="W19" s="133">
        <v>42592</v>
      </c>
      <c r="X19" s="10">
        <v>12.3</v>
      </c>
      <c r="Y19" s="10">
        <v>12.36</v>
      </c>
      <c r="Z19" s="10">
        <v>12.23</v>
      </c>
      <c r="AA19" s="10">
        <v>12.25</v>
      </c>
      <c r="AB19" s="95">
        <v>24555800</v>
      </c>
      <c r="AC19" s="10">
        <v>12.25</v>
      </c>
      <c r="AD19" s="2">
        <f t="shared" si="0"/>
        <v>0.12999999999999901</v>
      </c>
      <c r="AE19" s="138">
        <f t="shared" si="1"/>
        <v>-4.8740861088546472E-3</v>
      </c>
    </row>
    <row r="20" spans="1:31" x14ac:dyDescent="0.25">
      <c r="W20" s="133">
        <v>42591</v>
      </c>
      <c r="X20" s="10">
        <v>12.16</v>
      </c>
      <c r="Y20" s="10">
        <v>12.38</v>
      </c>
      <c r="Z20" s="10">
        <v>12.15</v>
      </c>
      <c r="AA20" s="10">
        <v>12.31</v>
      </c>
      <c r="AB20" s="95">
        <v>30097800</v>
      </c>
      <c r="AC20" s="10">
        <v>12.31</v>
      </c>
      <c r="AD20" s="2">
        <f t="shared" si="0"/>
        <v>0.23000000000000043</v>
      </c>
      <c r="AE20" s="138">
        <f t="shared" si="1"/>
        <v>1.0673234811165999E-2</v>
      </c>
    </row>
    <row r="21" spans="1:31" x14ac:dyDescent="0.25">
      <c r="W21" s="133">
        <v>42590</v>
      </c>
      <c r="X21" s="10">
        <v>12.22</v>
      </c>
      <c r="Y21" s="10">
        <v>12.33</v>
      </c>
      <c r="Z21" s="10">
        <v>12.15</v>
      </c>
      <c r="AA21" s="10">
        <v>12.18</v>
      </c>
      <c r="AB21" s="95">
        <v>33310600</v>
      </c>
      <c r="AC21" s="10">
        <v>12.18</v>
      </c>
      <c r="AD21" s="2">
        <f t="shared" si="0"/>
        <v>0.17999999999999972</v>
      </c>
      <c r="AE21" s="138">
        <f t="shared" si="1"/>
        <v>-8.2034454470880647E-4</v>
      </c>
    </row>
    <row r="22" spans="1:31" x14ac:dyDescent="0.25">
      <c r="W22" s="133">
        <v>42587</v>
      </c>
      <c r="X22" s="10">
        <v>12.16</v>
      </c>
      <c r="Y22" s="10">
        <v>12.26</v>
      </c>
      <c r="Z22" s="10">
        <v>12.16</v>
      </c>
      <c r="AA22" s="10">
        <v>12.19</v>
      </c>
      <c r="AB22" s="95">
        <v>31219500</v>
      </c>
      <c r="AC22" s="10">
        <v>12.19</v>
      </c>
      <c r="AD22" s="2">
        <f t="shared" si="0"/>
        <v>9.9999999999999645E-2</v>
      </c>
      <c r="AE22" s="138">
        <f t="shared" si="1"/>
        <v>9.1059602649006255E-3</v>
      </c>
    </row>
    <row r="23" spans="1:31" x14ac:dyDescent="0.25">
      <c r="W23" s="133">
        <v>42586</v>
      </c>
      <c r="X23" s="10">
        <v>12.12</v>
      </c>
      <c r="Y23" s="10">
        <v>12.23</v>
      </c>
      <c r="Z23" s="10">
        <v>12.05</v>
      </c>
      <c r="AA23" s="10">
        <v>12.08</v>
      </c>
      <c r="AB23" s="95">
        <v>38443200</v>
      </c>
      <c r="AC23" s="10">
        <v>12.08</v>
      </c>
      <c r="AD23" s="2">
        <f t="shared" si="0"/>
        <v>0.17999999999999972</v>
      </c>
      <c r="AE23" s="138">
        <f t="shared" si="1"/>
        <v>-4.1220115416323866E-3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42585</v>
      </c>
      <c r="X24" s="10">
        <v>12.02</v>
      </c>
      <c r="Y24" s="10">
        <v>12.2</v>
      </c>
      <c r="Z24" s="10">
        <v>11.94</v>
      </c>
      <c r="AA24" s="10">
        <v>12.13</v>
      </c>
      <c r="AB24" s="95">
        <v>47323300</v>
      </c>
      <c r="AC24" s="10">
        <v>12.13</v>
      </c>
      <c r="AD24" s="2">
        <f t="shared" si="0"/>
        <v>0.25999999999999979</v>
      </c>
      <c r="AE24" s="138">
        <f t="shared" si="1"/>
        <v>1.5912897822445649E-2</v>
      </c>
    </row>
    <row r="25" spans="1:31" x14ac:dyDescent="0.25">
      <c r="B25" s="193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31">
        <f>(E25-D25)/D25</f>
        <v>-1.7391304347826101E-2</v>
      </c>
      <c r="I25" s="40"/>
      <c r="W25" s="133">
        <v>42584</v>
      </c>
      <c r="X25" s="10">
        <v>12.35</v>
      </c>
      <c r="Y25" s="10">
        <v>12.36</v>
      </c>
      <c r="Z25" s="10">
        <v>11.9</v>
      </c>
      <c r="AA25" s="10">
        <v>11.94</v>
      </c>
      <c r="AB25" s="95">
        <v>101624900</v>
      </c>
      <c r="AC25" s="10">
        <v>11.94</v>
      </c>
      <c r="AD25" s="2">
        <f t="shared" si="0"/>
        <v>0.45999999999999908</v>
      </c>
      <c r="AE25" s="138">
        <f t="shared" si="1"/>
        <v>-4.3269230769230838E-2</v>
      </c>
    </row>
    <row r="26" spans="1:31" x14ac:dyDescent="0.25">
      <c r="B26" s="193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31">
        <f>(E26-D26)/D26</f>
        <v>-3.5507246376811609E-2</v>
      </c>
      <c r="I26" s="40"/>
      <c r="W26" s="133">
        <v>42583</v>
      </c>
      <c r="X26" s="10">
        <v>12.61</v>
      </c>
      <c r="Y26" s="10">
        <v>12.62</v>
      </c>
      <c r="Z26" s="10">
        <v>12.4</v>
      </c>
      <c r="AA26" s="10">
        <v>12.48</v>
      </c>
      <c r="AB26" s="95">
        <v>51963100</v>
      </c>
      <c r="AC26" s="10">
        <v>12.48</v>
      </c>
      <c r="AD26" s="2">
        <f t="shared" si="0"/>
        <v>0.21999999999999886</v>
      </c>
      <c r="AE26" s="138">
        <f t="shared" si="1"/>
        <v>-1.4218009478672911E-2</v>
      </c>
    </row>
    <row r="27" spans="1:31" x14ac:dyDescent="0.25">
      <c r="B27" s="193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31">
        <f>(E27-D27)/D27</f>
        <v>-2.2321428571428492E-2</v>
      </c>
      <c r="I27" s="40"/>
      <c r="W27" s="133">
        <v>42580</v>
      </c>
      <c r="X27" s="10">
        <v>12.61</v>
      </c>
      <c r="Y27" s="10">
        <v>12.88</v>
      </c>
      <c r="Z27" s="10">
        <v>12.6</v>
      </c>
      <c r="AA27" s="10">
        <v>12.66</v>
      </c>
      <c r="AB27" s="95">
        <v>59754100</v>
      </c>
      <c r="AC27" s="10">
        <v>12.66</v>
      </c>
      <c r="AD27" s="2">
        <f t="shared" si="0"/>
        <v>0.28000000000000114</v>
      </c>
      <c r="AE27" s="138">
        <f t="shared" si="1"/>
        <v>-3.9339103068450898E-3</v>
      </c>
    </row>
    <row r="28" spans="1:31" x14ac:dyDescent="0.25">
      <c r="B28" s="193">
        <v>42515</v>
      </c>
      <c r="C28" s="10">
        <v>100</v>
      </c>
      <c r="D28" s="40">
        <v>13.2903</v>
      </c>
      <c r="E28" s="40">
        <v>13.52</v>
      </c>
      <c r="F28" s="40">
        <f t="shared" ref="F28:F34" si="3">C28*(E28-D28)</f>
        <v>22.969999999999935</v>
      </c>
      <c r="G28" s="40">
        <f t="shared" ref="G28:G34" si="4">D28*C28</f>
        <v>1329.03</v>
      </c>
      <c r="H28" s="231">
        <f t="shared" ref="H28:H34" si="5">(E28-D28)/D28</f>
        <v>1.7283281791983577E-2</v>
      </c>
      <c r="I28" s="40"/>
      <c r="W28" s="133">
        <v>42579</v>
      </c>
      <c r="X28" s="10">
        <v>12.78</v>
      </c>
      <c r="Y28" s="10">
        <v>12.86</v>
      </c>
      <c r="Z28" s="10">
        <v>12.45</v>
      </c>
      <c r="AA28" s="10">
        <v>12.71</v>
      </c>
      <c r="AB28" s="95">
        <v>142168600</v>
      </c>
      <c r="AC28" s="10">
        <v>12.71</v>
      </c>
      <c r="AD28" s="2">
        <f t="shared" si="0"/>
        <v>0.41000000000000014</v>
      </c>
      <c r="AE28" s="138">
        <f t="shared" si="1"/>
        <v>-8.1647398843930574E-2</v>
      </c>
    </row>
    <row r="29" spans="1:31" x14ac:dyDescent="0.25">
      <c r="B29" s="193">
        <v>42527</v>
      </c>
      <c r="C29" s="10">
        <v>100</v>
      </c>
      <c r="D29" s="40">
        <v>13.2903</v>
      </c>
      <c r="E29" s="40">
        <v>13.18</v>
      </c>
      <c r="F29" s="40">
        <f t="shared" si="3"/>
        <v>-11.030000000000051</v>
      </c>
      <c r="G29" s="40">
        <f t="shared" si="4"/>
        <v>1329.03</v>
      </c>
      <c r="H29" s="231">
        <f t="shared" si="5"/>
        <v>-8.2992859453887811E-3</v>
      </c>
      <c r="I29" s="40"/>
      <c r="W29" s="133">
        <v>42578</v>
      </c>
      <c r="X29" s="10">
        <v>13.86</v>
      </c>
      <c r="Y29" s="10">
        <v>13.99</v>
      </c>
      <c r="Z29" s="10">
        <v>13.75</v>
      </c>
      <c r="AA29" s="10">
        <v>13.84</v>
      </c>
      <c r="AB29" s="95">
        <v>34625500</v>
      </c>
      <c r="AC29" s="10">
        <v>13.84</v>
      </c>
      <c r="AD29" s="2">
        <f t="shared" si="0"/>
        <v>0.24000000000000021</v>
      </c>
      <c r="AE29" s="138">
        <f t="shared" si="1"/>
        <v>-1.4430014430013571E-3</v>
      </c>
    </row>
    <row r="30" spans="1:31" x14ac:dyDescent="0.25">
      <c r="B30" s="193">
        <v>42528</v>
      </c>
      <c r="C30" s="10">
        <v>100</v>
      </c>
      <c r="D30" s="40">
        <v>13.2903</v>
      </c>
      <c r="E30" s="40">
        <v>13.38</v>
      </c>
      <c r="F30" s="40">
        <f t="shared" si="3"/>
        <v>8.9700000000000557</v>
      </c>
      <c r="G30" s="40">
        <f t="shared" si="4"/>
        <v>1329.03</v>
      </c>
      <c r="H30" s="231">
        <f t="shared" si="5"/>
        <v>6.7492833118891638E-3</v>
      </c>
      <c r="I30" s="40"/>
      <c r="W30" s="133">
        <v>42577</v>
      </c>
      <c r="X30" s="10">
        <v>13.73</v>
      </c>
      <c r="Y30" s="10">
        <v>13.88</v>
      </c>
      <c r="Z30" s="10">
        <v>13.69</v>
      </c>
      <c r="AA30" s="10">
        <v>13.86</v>
      </c>
      <c r="AB30" s="95">
        <v>28467200</v>
      </c>
      <c r="AC30" s="10">
        <v>13.86</v>
      </c>
      <c r="AD30" s="2">
        <f t="shared" si="0"/>
        <v>0.19000000000000128</v>
      </c>
      <c r="AE30" s="138" t="e">
        <f t="shared" si="1"/>
        <v>#DIV/0!</v>
      </c>
    </row>
    <row r="31" spans="1:31" x14ac:dyDescent="0.25">
      <c r="B31" s="193">
        <v>42535</v>
      </c>
      <c r="C31" s="10">
        <v>100</v>
      </c>
      <c r="D31" s="40">
        <v>13.29</v>
      </c>
      <c r="E31" s="40">
        <v>12.84</v>
      </c>
      <c r="F31" s="40">
        <f t="shared" si="3"/>
        <v>-44.999999999999929</v>
      </c>
      <c r="G31" s="40">
        <f t="shared" si="4"/>
        <v>1329</v>
      </c>
      <c r="H31" s="231">
        <f t="shared" si="5"/>
        <v>-3.386004514672681E-2</v>
      </c>
      <c r="I31" s="40"/>
      <c r="W31" s="133">
        <v>42577</v>
      </c>
      <c r="X31" s="10" t="s">
        <v>185</v>
      </c>
      <c r="Y31" s="10"/>
      <c r="Z31" s="10"/>
      <c r="AA31" s="10"/>
      <c r="AB31" s="95"/>
      <c r="AC31" s="10"/>
      <c r="AD31" s="2">
        <f t="shared" si="0"/>
        <v>0</v>
      </c>
      <c r="AE31" s="138">
        <f t="shared" si="1"/>
        <v>-1</v>
      </c>
    </row>
    <row r="32" spans="1:31" x14ac:dyDescent="0.25">
      <c r="B32" s="193">
        <v>42542</v>
      </c>
      <c r="C32" s="10">
        <v>100</v>
      </c>
      <c r="D32" s="40">
        <v>13.2903</v>
      </c>
      <c r="E32" s="40">
        <v>13.42</v>
      </c>
      <c r="F32" s="40">
        <f t="shared" si="3"/>
        <v>12.96999999999997</v>
      </c>
      <c r="G32" s="40">
        <f t="shared" si="4"/>
        <v>1329.03</v>
      </c>
      <c r="H32" s="231">
        <f t="shared" si="5"/>
        <v>9.758997163344673E-3</v>
      </c>
      <c r="I32" s="40"/>
      <c r="W32" s="133">
        <v>42576</v>
      </c>
      <c r="X32" s="10">
        <v>13.86</v>
      </c>
      <c r="Y32" s="10">
        <v>13.95</v>
      </c>
      <c r="Z32" s="10">
        <v>13.76</v>
      </c>
      <c r="AA32" s="10">
        <v>13.83</v>
      </c>
      <c r="AB32" s="95">
        <v>26248500</v>
      </c>
      <c r="AC32" s="10">
        <v>13.68</v>
      </c>
      <c r="AD32" s="2">
        <f t="shared" si="0"/>
        <v>0.1899999999999995</v>
      </c>
      <c r="AE32" s="138">
        <f t="shared" si="1"/>
        <v>-7.3046018991962391E-4</v>
      </c>
    </row>
    <row r="33" spans="2:31" x14ac:dyDescent="0.25">
      <c r="B33" s="193">
        <v>42545</v>
      </c>
      <c r="C33" s="456">
        <v>250</v>
      </c>
      <c r="D33" s="458">
        <v>12.966100000000001</v>
      </c>
      <c r="E33" s="40">
        <v>12.52</v>
      </c>
      <c r="F33" s="40">
        <f t="shared" si="3"/>
        <v>-111.52500000000032</v>
      </c>
      <c r="G33" s="40">
        <f t="shared" si="4"/>
        <v>3241.5250000000001</v>
      </c>
      <c r="H33" s="231">
        <f t="shared" si="5"/>
        <v>-3.4405102536614808E-2</v>
      </c>
      <c r="I33" s="40"/>
      <c r="W33" s="133">
        <v>42573</v>
      </c>
      <c r="X33" s="10">
        <v>13.92</v>
      </c>
      <c r="Y33" s="10">
        <v>13.93</v>
      </c>
      <c r="Z33" s="10">
        <v>13.71</v>
      </c>
      <c r="AA33" s="10">
        <v>13.84</v>
      </c>
      <c r="AB33" s="95">
        <v>25134100</v>
      </c>
      <c r="AC33" s="10">
        <v>13.69</v>
      </c>
      <c r="AD33" s="2">
        <f t="shared" si="0"/>
        <v>0.21999999999999886</v>
      </c>
      <c r="AE33" s="138">
        <f t="shared" si="1"/>
        <v>-5.8097312999273454E-3</v>
      </c>
    </row>
    <row r="34" spans="2:31" x14ac:dyDescent="0.25">
      <c r="B34" s="193">
        <v>42548</v>
      </c>
      <c r="C34" s="10">
        <v>400</v>
      </c>
      <c r="D34" s="40">
        <v>12.6713</v>
      </c>
      <c r="E34" s="40">
        <v>12.16</v>
      </c>
      <c r="F34" s="40">
        <f t="shared" si="3"/>
        <v>-204.52000000000012</v>
      </c>
      <c r="G34" s="40">
        <f t="shared" si="4"/>
        <v>5068.5200000000004</v>
      </c>
      <c r="H34" s="231">
        <f t="shared" si="5"/>
        <v>-4.0351029491843798E-2</v>
      </c>
      <c r="I34" s="40"/>
      <c r="W34" s="133">
        <v>42572</v>
      </c>
      <c r="X34" s="10">
        <v>13.87</v>
      </c>
      <c r="Y34" s="10">
        <v>14.04</v>
      </c>
      <c r="Z34" s="10">
        <v>13.86</v>
      </c>
      <c r="AA34" s="10">
        <v>13.92</v>
      </c>
      <c r="AB34" s="95">
        <v>40574400</v>
      </c>
      <c r="AC34" s="10">
        <v>13.77</v>
      </c>
      <c r="AD34" s="2">
        <f t="shared" si="0"/>
        <v>0.17999999999999972</v>
      </c>
      <c r="AE34" s="138">
        <f t="shared" si="1"/>
        <v>1.3245033112582849E-2</v>
      </c>
    </row>
    <row r="35" spans="2:31" x14ac:dyDescent="0.25">
      <c r="B35" s="193">
        <v>42552</v>
      </c>
      <c r="C35" s="10">
        <v>400</v>
      </c>
      <c r="D35" s="40">
        <v>12.6713</v>
      </c>
      <c r="E35" s="40">
        <v>12.72</v>
      </c>
      <c r="F35" s="40">
        <f t="shared" ref="F35" si="6">C35*(E35-D35)</f>
        <v>19.480000000000075</v>
      </c>
      <c r="G35" s="40">
        <f t="shared" ref="G35" si="7">D35*C35</f>
        <v>5068.5200000000004</v>
      </c>
      <c r="H35" s="231">
        <f t="shared" ref="H35" si="8">(E35-D35)/D35</f>
        <v>3.843330992084489E-3</v>
      </c>
      <c r="I35" s="40"/>
      <c r="W35" s="133">
        <v>42571</v>
      </c>
      <c r="X35" s="10">
        <v>13.61</v>
      </c>
      <c r="Y35" s="10">
        <v>13.78</v>
      </c>
      <c r="Z35" s="10">
        <v>13.56</v>
      </c>
      <c r="AA35" s="10">
        <v>13.74</v>
      </c>
      <c r="AB35" s="95">
        <v>22588900</v>
      </c>
      <c r="AC35" s="10">
        <v>13.59</v>
      </c>
      <c r="AD35" s="2">
        <f t="shared" si="0"/>
        <v>0.21999999999999886</v>
      </c>
      <c r="AE35" s="138">
        <f t="shared" si="1"/>
        <v>6.6666666666665986E-3</v>
      </c>
    </row>
    <row r="36" spans="2:31" x14ac:dyDescent="0.25">
      <c r="B36" s="193">
        <v>42556</v>
      </c>
      <c r="C36" s="7">
        <v>400</v>
      </c>
      <c r="D36" s="44">
        <v>12.6713</v>
      </c>
      <c r="E36" s="40">
        <v>12.4</v>
      </c>
      <c r="F36" s="40">
        <f t="shared" ref="F36:F37" si="9">C36*(E36-D36)</f>
        <v>-108.52000000000004</v>
      </c>
      <c r="G36" s="40">
        <f t="shared" ref="G36:G37" si="10">D36*C36</f>
        <v>5068.5200000000004</v>
      </c>
      <c r="H36" s="231">
        <f t="shared" ref="H36:H37" si="11">(E36-D36)/D36</f>
        <v>-2.1410589284445961E-2</v>
      </c>
      <c r="I36" s="236">
        <v>11.5</v>
      </c>
      <c r="W36" s="133">
        <v>42570</v>
      </c>
      <c r="X36" s="10">
        <v>13.56</v>
      </c>
      <c r="Y36" s="10">
        <v>13.72</v>
      </c>
      <c r="Z36" s="10">
        <v>13.5</v>
      </c>
      <c r="AA36" s="10">
        <v>13.65</v>
      </c>
      <c r="AB36" s="95">
        <v>26183400</v>
      </c>
      <c r="AC36" s="10">
        <v>13.5</v>
      </c>
      <c r="AD36" s="2">
        <f t="shared" si="0"/>
        <v>0.22000000000000064</v>
      </c>
      <c r="AE36" s="138">
        <f t="shared" si="1"/>
        <v>0</v>
      </c>
    </row>
    <row r="37" spans="2:31" x14ac:dyDescent="0.25">
      <c r="B37" s="193">
        <v>42566</v>
      </c>
      <c r="C37" s="10">
        <v>300</v>
      </c>
      <c r="D37" s="40">
        <v>12.5352</v>
      </c>
      <c r="E37" s="40">
        <v>13.57</v>
      </c>
      <c r="F37" s="40">
        <f t="shared" si="9"/>
        <v>310.44000000000017</v>
      </c>
      <c r="G37" s="40">
        <f t="shared" si="10"/>
        <v>3760.56</v>
      </c>
      <c r="H37" s="231">
        <f t="shared" si="11"/>
        <v>8.2551534877784216E-2</v>
      </c>
      <c r="I37" s="236"/>
      <c r="W37" s="133">
        <v>42569</v>
      </c>
      <c r="X37" s="10">
        <v>13.56</v>
      </c>
      <c r="Y37" s="10">
        <v>13.68</v>
      </c>
      <c r="Z37" s="10">
        <v>13.42</v>
      </c>
      <c r="AA37" s="10">
        <v>13.65</v>
      </c>
      <c r="AB37" s="95">
        <v>22545800</v>
      </c>
      <c r="AC37" s="10">
        <v>13.5</v>
      </c>
      <c r="AD37" s="2">
        <f t="shared" si="0"/>
        <v>0.25999999999999979</v>
      </c>
      <c r="AE37" s="138">
        <f t="shared" si="1"/>
        <v>5.9612518628913147E-3</v>
      </c>
    </row>
    <row r="38" spans="2:31" x14ac:dyDescent="0.25">
      <c r="B38" s="193">
        <v>42570</v>
      </c>
      <c r="C38" s="10">
        <v>300</v>
      </c>
      <c r="D38" s="40">
        <v>12.5352</v>
      </c>
      <c r="E38" s="40">
        <v>13.65</v>
      </c>
      <c r="F38" s="40">
        <f t="shared" ref="F38" si="12">C38*(E38-D38)</f>
        <v>334.44000000000023</v>
      </c>
      <c r="G38" s="40">
        <f t="shared" ref="G38" si="13">D38*C38</f>
        <v>3760.56</v>
      </c>
      <c r="H38" s="231">
        <f t="shared" ref="H38" si="14">(E38-D38)/D38</f>
        <v>8.8933563086348894E-2</v>
      </c>
      <c r="I38" s="40"/>
      <c r="W38" s="133">
        <v>42566</v>
      </c>
      <c r="X38" s="10">
        <v>13.63</v>
      </c>
      <c r="Y38" s="10">
        <v>13.67</v>
      </c>
      <c r="Z38" s="10">
        <v>13.53</v>
      </c>
      <c r="AA38" s="10">
        <v>13.57</v>
      </c>
      <c r="AB38" s="95">
        <v>19546300</v>
      </c>
      <c r="AC38" s="10">
        <v>13.42</v>
      </c>
      <c r="AD38" s="2">
        <f t="shared" si="0"/>
        <v>0.14000000000000057</v>
      </c>
      <c r="AE38" s="138">
        <f t="shared" si="1"/>
        <v>-1.4880952380952328E-3</v>
      </c>
    </row>
    <row r="39" spans="2:31" x14ac:dyDescent="0.25">
      <c r="B39" s="193">
        <v>42571</v>
      </c>
      <c r="C39" s="10">
        <v>300</v>
      </c>
      <c r="D39" s="40">
        <v>12.5352</v>
      </c>
      <c r="E39" s="40">
        <v>13.74</v>
      </c>
      <c r="F39" s="40">
        <f t="shared" ref="F39" si="15">C39*(E39-D39)</f>
        <v>361.44000000000017</v>
      </c>
      <c r="G39" s="40">
        <f t="shared" ref="G39" si="16">D39*C39</f>
        <v>3760.56</v>
      </c>
      <c r="H39" s="231">
        <f t="shared" ref="H39" si="17">(E39-D39)/D39</f>
        <v>9.6113344820984159E-2</v>
      </c>
      <c r="I39" s="40"/>
      <c r="W39" s="133">
        <v>42565</v>
      </c>
      <c r="X39" s="10">
        <v>13.57</v>
      </c>
      <c r="Y39" s="10">
        <v>13.7</v>
      </c>
      <c r="Z39" s="10">
        <v>13.55</v>
      </c>
      <c r="AA39" s="10">
        <v>13.59</v>
      </c>
      <c r="AB39" s="95">
        <v>31803000</v>
      </c>
      <c r="AC39" s="10">
        <v>13.44</v>
      </c>
      <c r="AD39" s="2">
        <f t="shared" si="0"/>
        <v>0.14999999999999858</v>
      </c>
      <c r="AE39" s="138">
        <f t="shared" si="1"/>
        <v>8.2520630157538744E-3</v>
      </c>
    </row>
    <row r="40" spans="2:31" ht="20.25" thickBot="1" x14ac:dyDescent="0.35">
      <c r="B40" s="193">
        <v>42572</v>
      </c>
      <c r="C40" s="10">
        <v>300</v>
      </c>
      <c r="D40" s="40">
        <v>12.5352</v>
      </c>
      <c r="E40" s="40">
        <v>13.92</v>
      </c>
      <c r="F40" s="40">
        <f t="shared" ref="F40" si="18">C40*(E40-D40)</f>
        <v>415.44000000000005</v>
      </c>
      <c r="G40" s="40">
        <f t="shared" ref="G40" si="19">D40*C40</f>
        <v>3760.56</v>
      </c>
      <c r="H40" s="231">
        <f t="shared" ref="H40" si="20">(E40-D40)/D40</f>
        <v>0.11047290829025466</v>
      </c>
      <c r="I40" s="40"/>
      <c r="O40" s="545" t="s">
        <v>78</v>
      </c>
      <c r="P40" s="545"/>
      <c r="W40" s="133">
        <v>42564</v>
      </c>
      <c r="X40" s="10">
        <v>13.49</v>
      </c>
      <c r="Y40" s="10">
        <v>13.51</v>
      </c>
      <c r="Z40" s="10">
        <v>13.31</v>
      </c>
      <c r="AA40" s="10">
        <v>13.48</v>
      </c>
      <c r="AB40" s="95">
        <v>26779800</v>
      </c>
      <c r="AC40" s="10">
        <v>13.33</v>
      </c>
      <c r="AD40" s="2">
        <f t="shared" si="0"/>
        <v>0.19999999999999929</v>
      </c>
      <c r="AE40" s="138">
        <f t="shared" si="1"/>
        <v>2.2556390977443996E-3</v>
      </c>
    </row>
    <row r="41" spans="2:31" ht="15.75" thickTop="1" x14ac:dyDescent="0.25">
      <c r="B41" s="193">
        <v>42575</v>
      </c>
      <c r="C41" s="10">
        <v>300</v>
      </c>
      <c r="D41" s="40">
        <v>12.5352</v>
      </c>
      <c r="E41" s="40">
        <v>13.82</v>
      </c>
      <c r="F41" s="40">
        <f t="shared" ref="F41:F42" si="21">C41*(E41-D41)</f>
        <v>385.44000000000017</v>
      </c>
      <c r="G41" s="40">
        <f t="shared" ref="G41:G42" si="22">D41*C41</f>
        <v>3760.56</v>
      </c>
      <c r="H41" s="231">
        <f t="shared" ref="H41:H42" si="23">(E41-D41)/D41</f>
        <v>0.10249537302954884</v>
      </c>
      <c r="I41" s="40"/>
      <c r="O41" s="83">
        <v>1.1000000000000001</v>
      </c>
      <c r="P41" s="83">
        <f>O41*$Q$4</f>
        <v>13.937000000000001</v>
      </c>
      <c r="Q41" s="2"/>
      <c r="W41" s="133">
        <v>42563</v>
      </c>
      <c r="X41" s="10">
        <v>13.38</v>
      </c>
      <c r="Y41" s="10">
        <v>13.54</v>
      </c>
      <c r="Z41" s="10">
        <v>13.38</v>
      </c>
      <c r="AA41" s="10">
        <v>13.45</v>
      </c>
      <c r="AB41" s="95">
        <v>31320100</v>
      </c>
      <c r="AC41" s="10">
        <v>13.3</v>
      </c>
      <c r="AD41" s="2">
        <f t="shared" si="0"/>
        <v>0.15999999999999837</v>
      </c>
      <c r="AE41" s="138">
        <f t="shared" si="1"/>
        <v>1.2947448591013044E-2</v>
      </c>
    </row>
    <row r="42" spans="2:31" ht="20.25" thickBot="1" x14ac:dyDescent="0.35">
      <c r="B42" s="193">
        <v>42577</v>
      </c>
      <c r="C42" s="456">
        <v>250</v>
      </c>
      <c r="D42" s="458">
        <v>12.286300000000001</v>
      </c>
      <c r="E42" s="40">
        <v>13.86</v>
      </c>
      <c r="F42" s="40">
        <f t="shared" si="21"/>
        <v>393.42499999999967</v>
      </c>
      <c r="G42" s="40">
        <f t="shared" si="22"/>
        <v>3071.5750000000003</v>
      </c>
      <c r="H42" s="231">
        <f t="shared" si="23"/>
        <v>0.12808575405126024</v>
      </c>
      <c r="I42" s="494" t="s">
        <v>317</v>
      </c>
      <c r="O42" s="83">
        <v>1.0900000000000001</v>
      </c>
      <c r="P42" s="83">
        <f t="shared" ref="P42:P61" si="24">O42*$Q$4</f>
        <v>13.810300000000002</v>
      </c>
      <c r="Q42" s="2"/>
      <c r="T42" s="91" t="s">
        <v>113</v>
      </c>
      <c r="W42" s="133">
        <v>42562</v>
      </c>
      <c r="X42" s="10">
        <v>13.17</v>
      </c>
      <c r="Y42" s="10">
        <v>13.33</v>
      </c>
      <c r="Z42" s="10">
        <v>13.13</v>
      </c>
      <c r="AA42" s="10">
        <v>13.27</v>
      </c>
      <c r="AB42" s="95">
        <v>28626300</v>
      </c>
      <c r="AC42" s="10">
        <v>13.13</v>
      </c>
      <c r="AD42" s="2">
        <f t="shared" si="0"/>
        <v>0.19999999999999929</v>
      </c>
      <c r="AE42" s="138">
        <f t="shared" si="1"/>
        <v>1.3899613899613916E-2</v>
      </c>
    </row>
    <row r="43" spans="2:31" ht="15.75" thickTop="1" x14ac:dyDescent="0.25">
      <c r="B43" s="193">
        <v>42579</v>
      </c>
      <c r="C43" s="10">
        <v>250</v>
      </c>
      <c r="D43" s="40">
        <v>12.286300000000001</v>
      </c>
      <c r="E43" s="40">
        <v>12.71</v>
      </c>
      <c r="F43" s="40">
        <f t="shared" ref="F43" si="25">C43*(E43-D43)</f>
        <v>105.92500000000004</v>
      </c>
      <c r="G43" s="40">
        <f t="shared" ref="G43" si="26">D43*C43</f>
        <v>3071.5750000000003</v>
      </c>
      <c r="H43" s="231">
        <f t="shared" ref="H43" si="27">(E43-D43)/D43</f>
        <v>3.4485565223053335E-2</v>
      </c>
      <c r="I43" s="40"/>
      <c r="O43" s="83">
        <v>1.08</v>
      </c>
      <c r="P43" s="83">
        <f t="shared" si="24"/>
        <v>13.6836</v>
      </c>
      <c r="Q43" s="2"/>
      <c r="T43" s="128" t="s">
        <v>98</v>
      </c>
      <c r="U43" s="98">
        <v>12.44</v>
      </c>
      <c r="W43" s="133">
        <v>42559</v>
      </c>
      <c r="X43" s="10">
        <v>12.89</v>
      </c>
      <c r="Y43" s="10">
        <v>13.17</v>
      </c>
      <c r="Z43" s="10">
        <v>12.89</v>
      </c>
      <c r="AA43" s="10">
        <v>13.09</v>
      </c>
      <c r="AB43" s="95">
        <v>45945200</v>
      </c>
      <c r="AC43" s="10">
        <v>12.95</v>
      </c>
      <c r="AD43" s="2">
        <f t="shared" si="0"/>
        <v>0.27999999999999936</v>
      </c>
      <c r="AE43" s="138">
        <f t="shared" si="1"/>
        <v>2.6962727993655733E-2</v>
      </c>
    </row>
    <row r="44" spans="2:31" x14ac:dyDescent="0.25">
      <c r="B44" s="193">
        <v>42585</v>
      </c>
      <c r="C44" s="10">
        <v>250</v>
      </c>
      <c r="D44" s="40">
        <v>12.286300000000001</v>
      </c>
      <c r="E44" s="40">
        <v>11.94</v>
      </c>
      <c r="F44" s="40">
        <f t="shared" ref="F44" si="28">C44*(E44-D44)</f>
        <v>-86.575000000000287</v>
      </c>
      <c r="G44" s="40">
        <f t="shared" ref="G44" si="29">D44*C44</f>
        <v>3071.5750000000003</v>
      </c>
      <c r="H44" s="231">
        <f t="shared" ref="H44" si="30">(E44-D44)/D44</f>
        <v>-2.8185865557572347E-2</v>
      </c>
      <c r="I44" s="40"/>
      <c r="O44" s="83">
        <v>1.07</v>
      </c>
      <c r="P44" s="83">
        <f t="shared" si="24"/>
        <v>13.556900000000001</v>
      </c>
      <c r="Q44" s="2"/>
      <c r="T44" s="93" t="s">
        <v>99</v>
      </c>
      <c r="U44" s="88">
        <v>12.53</v>
      </c>
      <c r="W44" s="133">
        <v>42558</v>
      </c>
      <c r="X44" s="10">
        <v>12.57</v>
      </c>
      <c r="Y44" s="10">
        <v>12.84</v>
      </c>
      <c r="Z44" s="10">
        <v>12.57</v>
      </c>
      <c r="AA44" s="10">
        <v>12.75</v>
      </c>
      <c r="AB44" s="95">
        <v>33473000</v>
      </c>
      <c r="AC44" s="10">
        <v>12.61</v>
      </c>
      <c r="AD44" s="2">
        <f t="shared" si="0"/>
        <v>0.26999999999999957</v>
      </c>
      <c r="AE44" s="138">
        <f t="shared" si="1"/>
        <v>1.4481094127111849E-2</v>
      </c>
    </row>
    <row r="45" spans="2:31" x14ac:dyDescent="0.25">
      <c r="B45" s="193">
        <v>42593</v>
      </c>
      <c r="C45" s="10">
        <v>250</v>
      </c>
      <c r="D45" s="40">
        <v>12.286300000000001</v>
      </c>
      <c r="E45" s="40">
        <v>12.25</v>
      </c>
      <c r="F45" s="40">
        <f t="shared" ref="F45:F46" si="31">C45*(E45-D45)</f>
        <v>-9.0750000000001663</v>
      </c>
      <c r="G45" s="40">
        <f t="shared" ref="G45:G46" si="32">D45*C45</f>
        <v>3071.5750000000003</v>
      </c>
      <c r="H45" s="231">
        <f t="shared" ref="H45:H46" si="33">(E45-D45)/D45</f>
        <v>-2.9545103082295452E-3</v>
      </c>
      <c r="I45" s="40"/>
      <c r="O45" s="83">
        <v>1.06</v>
      </c>
      <c r="P45" s="83">
        <f t="shared" si="24"/>
        <v>13.430200000000001</v>
      </c>
      <c r="Q45" s="2"/>
      <c r="T45" s="93" t="s">
        <v>100</v>
      </c>
      <c r="U45" s="88" t="s">
        <v>383</v>
      </c>
      <c r="W45" s="133">
        <v>42557</v>
      </c>
      <c r="X45" s="10">
        <v>12.32</v>
      </c>
      <c r="Y45" s="10">
        <v>12.58</v>
      </c>
      <c r="Z45" s="10">
        <v>12.21</v>
      </c>
      <c r="AA45" s="10">
        <v>12.57</v>
      </c>
      <c r="AB45" s="95">
        <v>35091200</v>
      </c>
      <c r="AC45" s="10">
        <v>12.43</v>
      </c>
      <c r="AD45" s="2">
        <f t="shared" si="0"/>
        <v>0.36999999999999922</v>
      </c>
      <c r="AE45" s="138">
        <f t="shared" si="1"/>
        <v>1.3039934800326058E-2</v>
      </c>
    </row>
    <row r="46" spans="2:31" x14ac:dyDescent="0.25">
      <c r="B46" s="193">
        <v>42597</v>
      </c>
      <c r="C46" s="10">
        <v>250</v>
      </c>
      <c r="D46" s="40">
        <v>12.286300000000001</v>
      </c>
      <c r="E46" s="40">
        <v>12.43</v>
      </c>
      <c r="F46" s="40">
        <f t="shared" si="31"/>
        <v>35.924999999999763</v>
      </c>
      <c r="G46" s="40">
        <f t="shared" si="32"/>
        <v>3071.5750000000003</v>
      </c>
      <c r="H46" s="231">
        <f t="shared" si="33"/>
        <v>1.1695954030098488E-2</v>
      </c>
      <c r="I46" s="40"/>
      <c r="O46" s="83">
        <v>1.05</v>
      </c>
      <c r="P46" s="83">
        <f t="shared" si="24"/>
        <v>13.3035</v>
      </c>
      <c r="Q46" s="2"/>
      <c r="T46" s="93" t="s">
        <v>101</v>
      </c>
      <c r="U46" s="88" t="s">
        <v>384</v>
      </c>
      <c r="W46" s="133">
        <v>42556</v>
      </c>
      <c r="X46" s="10">
        <v>12.57</v>
      </c>
      <c r="Y46" s="10">
        <v>12.59</v>
      </c>
      <c r="Z46" s="10">
        <v>12.31</v>
      </c>
      <c r="AA46" s="10">
        <v>12.4</v>
      </c>
      <c r="AB46" s="95">
        <v>30243300</v>
      </c>
      <c r="AC46" s="10">
        <v>12.27</v>
      </c>
      <c r="AD46" s="2">
        <f t="shared" si="0"/>
        <v>0.27999999999999936</v>
      </c>
      <c r="AE46" s="138">
        <f t="shared" si="1"/>
        <v>-2.4642289348171698E-2</v>
      </c>
    </row>
    <row r="47" spans="2:31" x14ac:dyDescent="0.25">
      <c r="B47" s="193">
        <v>42600</v>
      </c>
      <c r="C47" s="10">
        <v>250</v>
      </c>
      <c r="D47" s="40">
        <v>12.286300000000001</v>
      </c>
      <c r="E47" s="40">
        <v>12.33</v>
      </c>
      <c r="F47" s="40">
        <f t="shared" ref="F47" si="34">C47*(E47-D47)</f>
        <v>10.924999999999851</v>
      </c>
      <c r="G47" s="40">
        <f t="shared" ref="G47" si="35">D47*C47</f>
        <v>3071.5750000000003</v>
      </c>
      <c r="H47" s="231">
        <f t="shared" ref="H47" si="36">(E47-D47)/D47</f>
        <v>3.5568071754718184E-3</v>
      </c>
      <c r="I47" s="40"/>
      <c r="O47" s="83">
        <v>1.04</v>
      </c>
      <c r="P47" s="83">
        <f t="shared" si="24"/>
        <v>13.1768</v>
      </c>
      <c r="Q47" s="2"/>
      <c r="T47" s="93" t="s">
        <v>102</v>
      </c>
      <c r="U47" s="88">
        <v>13.65</v>
      </c>
      <c r="W47" s="133">
        <v>42552</v>
      </c>
      <c r="X47" s="10">
        <v>12.88</v>
      </c>
      <c r="Y47" s="10">
        <v>12.89</v>
      </c>
      <c r="Z47" s="10">
        <v>12.69</v>
      </c>
      <c r="AA47" s="10">
        <v>12.72</v>
      </c>
      <c r="AB47" s="95">
        <v>45067800</v>
      </c>
      <c r="AC47" s="10">
        <v>12.58</v>
      </c>
      <c r="AD47" s="2">
        <f t="shared" si="0"/>
        <v>0.20000000000000107</v>
      </c>
      <c r="AE47" s="138">
        <f t="shared" si="1"/>
        <v>1.2067578439259874E-2</v>
      </c>
    </row>
    <row r="48" spans="2:31" x14ac:dyDescent="0.25">
      <c r="B48" s="193">
        <v>42601</v>
      </c>
      <c r="C48" s="10">
        <v>250</v>
      </c>
      <c r="D48" s="40">
        <v>12.286300000000001</v>
      </c>
      <c r="E48" s="40">
        <v>12.39</v>
      </c>
      <c r="F48" s="40">
        <f t="shared" ref="F48" si="37">C48*(E48-D48)</f>
        <v>25.924999999999976</v>
      </c>
      <c r="G48" s="40">
        <f t="shared" ref="G48" si="38">D48*C48</f>
        <v>3071.5750000000003</v>
      </c>
      <c r="H48" s="231">
        <f t="shared" ref="H48" si="39">(E48-D48)/D48</f>
        <v>8.4402952882478774E-3</v>
      </c>
      <c r="I48" s="40"/>
      <c r="O48" s="83">
        <v>1.03</v>
      </c>
      <c r="P48" s="83">
        <f t="shared" si="24"/>
        <v>13.0501</v>
      </c>
      <c r="Q48" s="2"/>
      <c r="T48" s="93" t="s">
        <v>103</v>
      </c>
      <c r="U48" s="88">
        <v>1.2206999999999999</v>
      </c>
      <c r="W48" s="133">
        <v>42551</v>
      </c>
      <c r="X48" s="10">
        <v>12.56</v>
      </c>
      <c r="Y48" s="10">
        <v>12.57</v>
      </c>
      <c r="Z48" s="10">
        <v>12.26</v>
      </c>
      <c r="AA48" s="10">
        <v>12.57</v>
      </c>
      <c r="AB48" s="95">
        <v>44983800</v>
      </c>
      <c r="AC48" s="10">
        <v>12.43</v>
      </c>
      <c r="AD48" s="2">
        <f t="shared" si="0"/>
        <v>0.3100000000000005</v>
      </c>
      <c r="AE48" s="138">
        <f t="shared" si="1"/>
        <v>1.6116035455278066E-3</v>
      </c>
    </row>
    <row r="49" spans="2:31" x14ac:dyDescent="0.25">
      <c r="B49" s="193">
        <v>42604</v>
      </c>
      <c r="C49" s="10">
        <v>250</v>
      </c>
      <c r="D49" s="40">
        <v>12.286300000000001</v>
      </c>
      <c r="E49" s="40">
        <v>12.36</v>
      </c>
      <c r="F49" s="40">
        <f t="shared" ref="F49" si="40">C49*(E49-D49)</f>
        <v>18.424999999999692</v>
      </c>
      <c r="G49" s="40">
        <f t="shared" ref="G49" si="41">D49*C49</f>
        <v>3071.5750000000003</v>
      </c>
      <c r="H49" s="231">
        <f t="shared" ref="H49" si="42">(E49-D49)/D49</f>
        <v>5.9985512318597757E-3</v>
      </c>
      <c r="I49" s="40"/>
      <c r="O49" s="83">
        <v>1.02</v>
      </c>
      <c r="P49" s="83">
        <f t="shared" si="24"/>
        <v>12.923400000000001</v>
      </c>
      <c r="Q49" s="2"/>
      <c r="T49" s="93" t="s">
        <v>104</v>
      </c>
      <c r="U49" s="88" t="s">
        <v>319</v>
      </c>
      <c r="W49" s="133">
        <v>42550</v>
      </c>
      <c r="X49" s="10">
        <v>12.49</v>
      </c>
      <c r="Y49" s="10">
        <v>12.58</v>
      </c>
      <c r="Z49" s="10">
        <v>12.36</v>
      </c>
      <c r="AA49" s="10">
        <v>12.55</v>
      </c>
      <c r="AB49" s="95">
        <v>31937900</v>
      </c>
      <c r="AC49" s="10">
        <v>12.41</v>
      </c>
      <c r="AD49" s="2">
        <f t="shared" si="0"/>
        <v>0.22000000000000064</v>
      </c>
      <c r="AE49" s="138">
        <f t="shared" si="1"/>
        <v>1.2234910277324706E-2</v>
      </c>
    </row>
    <row r="50" spans="2:31" x14ac:dyDescent="0.25">
      <c r="B50" s="193">
        <v>42607</v>
      </c>
      <c r="C50" s="10">
        <v>250</v>
      </c>
      <c r="D50" s="40">
        <v>12.286300000000001</v>
      </c>
      <c r="E50" s="40">
        <v>12.47</v>
      </c>
      <c r="F50" s="40">
        <f t="shared" ref="F50:F51" si="43">C50*(E50-D50)</f>
        <v>45.924999999999997</v>
      </c>
      <c r="G50" s="40">
        <f t="shared" ref="G50:G51" si="44">D50*C50</f>
        <v>3071.5750000000003</v>
      </c>
      <c r="H50" s="231">
        <f t="shared" ref="H50:H51" si="45">(E50-D50)/D50</f>
        <v>1.4951612771949242E-2</v>
      </c>
      <c r="I50" s="40"/>
      <c r="O50" s="83">
        <v>1.01</v>
      </c>
      <c r="P50" s="83">
        <f t="shared" si="24"/>
        <v>12.7967</v>
      </c>
      <c r="Q50" s="2"/>
      <c r="T50" s="93"/>
      <c r="U50" s="88"/>
      <c r="W50" s="133">
        <v>42549</v>
      </c>
      <c r="X50" s="10">
        <v>12.42</v>
      </c>
      <c r="Y50" s="10">
        <v>12.44</v>
      </c>
      <c r="Z50" s="10">
        <v>12.21</v>
      </c>
      <c r="AA50" s="10">
        <v>12.39</v>
      </c>
      <c r="AB50" s="95">
        <v>40640400</v>
      </c>
      <c r="AC50" s="10">
        <v>12.26</v>
      </c>
      <c r="AD50" s="2">
        <f t="shared" si="0"/>
        <v>0.22999999999999865</v>
      </c>
      <c r="AE50" s="138">
        <f t="shared" si="1"/>
        <v>1.9118869492934287E-2</v>
      </c>
    </row>
    <row r="51" spans="2:31" x14ac:dyDescent="0.25">
      <c r="B51" s="193">
        <v>42615</v>
      </c>
      <c r="C51" s="456">
        <v>250</v>
      </c>
      <c r="D51" s="458">
        <v>12.106299999999999</v>
      </c>
      <c r="E51" s="40">
        <v>12.5</v>
      </c>
      <c r="F51" s="40">
        <f t="shared" si="43"/>
        <v>98.42500000000021</v>
      </c>
      <c r="G51" s="40">
        <f t="shared" si="44"/>
        <v>3026.5749999999998</v>
      </c>
      <c r="H51" s="231">
        <f t="shared" si="45"/>
        <v>3.252025804746296E-2</v>
      </c>
      <c r="I51" s="456" t="s">
        <v>564</v>
      </c>
      <c r="O51" s="83">
        <v>1</v>
      </c>
      <c r="P51" s="83">
        <f t="shared" si="24"/>
        <v>12.67</v>
      </c>
      <c r="Q51" s="2"/>
      <c r="T51" s="93" t="s">
        <v>105</v>
      </c>
      <c r="U51" s="88" t="s">
        <v>385</v>
      </c>
      <c r="W51" s="133">
        <v>42548</v>
      </c>
      <c r="X51" s="10">
        <v>12.43</v>
      </c>
      <c r="Y51" s="10">
        <v>12.43</v>
      </c>
      <c r="Z51" s="10">
        <v>12</v>
      </c>
      <c r="AA51" s="10">
        <v>12.16</v>
      </c>
      <c r="AB51" s="95">
        <v>52731800</v>
      </c>
      <c r="AC51" s="10">
        <v>12.03</v>
      </c>
      <c r="AD51" s="2">
        <f t="shared" si="0"/>
        <v>0.42999999999999972</v>
      </c>
      <c r="AE51" s="138">
        <f t="shared" si="1"/>
        <v>-2.8271405492730328E-2</v>
      </c>
    </row>
    <row r="52" spans="2:31" x14ac:dyDescent="0.25">
      <c r="B52" s="193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24"/>
        <v>12.5433</v>
      </c>
      <c r="Q52" s="2"/>
      <c r="T52" s="93" t="s">
        <v>106</v>
      </c>
      <c r="U52" s="88" t="s">
        <v>357</v>
      </c>
      <c r="W52" s="133">
        <v>42545</v>
      </c>
      <c r="X52" s="10">
        <v>12.79</v>
      </c>
      <c r="Y52" s="10">
        <v>12.91</v>
      </c>
      <c r="Z52" s="10">
        <v>12.45</v>
      </c>
      <c r="AA52" s="10">
        <v>12.52</v>
      </c>
      <c r="AB52" s="95">
        <v>96887300</v>
      </c>
      <c r="AC52" s="10">
        <v>12.38</v>
      </c>
      <c r="AD52" s="2">
        <f t="shared" si="0"/>
        <v>0.46000000000000085</v>
      </c>
      <c r="AE52" s="138">
        <f t="shared" si="1"/>
        <v>-6.5660377358490507E-2</v>
      </c>
    </row>
    <row r="53" spans="2:31" x14ac:dyDescent="0.25">
      <c r="B53" s="193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24"/>
        <v>12.416599999999999</v>
      </c>
      <c r="Q53" s="2"/>
      <c r="T53" s="93" t="s">
        <v>107</v>
      </c>
      <c r="U53" s="90">
        <v>21079776</v>
      </c>
      <c r="W53" s="133">
        <v>42544</v>
      </c>
      <c r="X53" s="10">
        <v>13.29</v>
      </c>
      <c r="Y53" s="10">
        <v>13.41</v>
      </c>
      <c r="Z53" s="10">
        <v>13.28</v>
      </c>
      <c r="AA53" s="10">
        <v>13.4</v>
      </c>
      <c r="AB53" s="95">
        <v>24579700</v>
      </c>
      <c r="AC53" s="10">
        <v>13.25</v>
      </c>
      <c r="AD53" s="2">
        <f t="shared" si="0"/>
        <v>0.13000000000000078</v>
      </c>
      <c r="AE53" s="138">
        <f t="shared" si="1"/>
        <v>1.6104294478527681E-2</v>
      </c>
    </row>
    <row r="54" spans="2:31" x14ac:dyDescent="0.25">
      <c r="B54" s="193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24"/>
        <v>12.289899999999999</v>
      </c>
      <c r="T54" s="93" t="s">
        <v>110</v>
      </c>
      <c r="U54" s="90">
        <v>34198900</v>
      </c>
      <c r="W54" s="133">
        <v>42543</v>
      </c>
      <c r="X54" s="10">
        <v>13.23</v>
      </c>
      <c r="Y54" s="10">
        <v>13.31</v>
      </c>
      <c r="Z54" s="10">
        <v>13.15</v>
      </c>
      <c r="AA54" s="10">
        <v>13.18</v>
      </c>
      <c r="AB54" s="95">
        <v>20666600</v>
      </c>
      <c r="AC54" s="10">
        <v>13.04</v>
      </c>
      <c r="AD54" s="2">
        <f t="shared" si="0"/>
        <v>0.16000000000000014</v>
      </c>
      <c r="AE54" s="138">
        <f t="shared" si="1"/>
        <v>-3.0581039755351869E-3</v>
      </c>
    </row>
    <row r="55" spans="2:31" x14ac:dyDescent="0.25">
      <c r="B55" s="193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24"/>
        <v>12.1632</v>
      </c>
      <c r="T55" s="93" t="s">
        <v>108</v>
      </c>
      <c r="U55" s="88" t="s">
        <v>386</v>
      </c>
      <c r="W55" s="133">
        <v>42542</v>
      </c>
      <c r="X55" s="10">
        <v>13.44</v>
      </c>
      <c r="Y55" s="10">
        <v>13.44</v>
      </c>
      <c r="Z55" s="10">
        <v>13.18</v>
      </c>
      <c r="AA55" s="10">
        <v>13.22</v>
      </c>
      <c r="AB55" s="95">
        <v>36721800</v>
      </c>
      <c r="AC55" s="10">
        <v>13.08</v>
      </c>
      <c r="AD55" s="2">
        <f t="shared" si="0"/>
        <v>0.25999999999999979</v>
      </c>
      <c r="AE55" s="138">
        <f t="shared" si="1"/>
        <v>-1.4318010550112947E-2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24"/>
        <v>12.0365</v>
      </c>
      <c r="T56" s="93" t="s">
        <v>111</v>
      </c>
      <c r="U56" s="88">
        <v>5.9</v>
      </c>
      <c r="W56" s="133">
        <v>42541</v>
      </c>
      <c r="X56" s="10">
        <v>13.39</v>
      </c>
      <c r="Y56" s="10">
        <v>13.55</v>
      </c>
      <c r="Z56" s="10">
        <v>13.39</v>
      </c>
      <c r="AA56" s="10">
        <v>13.42</v>
      </c>
      <c r="AB56" s="95">
        <v>29666700</v>
      </c>
      <c r="AC56" s="10">
        <v>13.27</v>
      </c>
      <c r="AD56" s="2">
        <f t="shared" si="0"/>
        <v>0.16000000000000014</v>
      </c>
      <c r="AE56" s="138">
        <f t="shared" si="1"/>
        <v>1.1432926829268331E-2</v>
      </c>
    </row>
    <row r="57" spans="2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4"/>
        <v>11.909799999999999</v>
      </c>
      <c r="T57" s="93" t="s">
        <v>112</v>
      </c>
      <c r="U57" s="88">
        <v>2.12</v>
      </c>
      <c r="W57" s="133">
        <v>42538</v>
      </c>
      <c r="X57" s="10">
        <v>13.16</v>
      </c>
      <c r="Y57" s="10">
        <v>13.4</v>
      </c>
      <c r="Z57" s="10">
        <v>13.15</v>
      </c>
      <c r="AA57" s="10">
        <v>13.26</v>
      </c>
      <c r="AB57" s="95">
        <v>37364900</v>
      </c>
      <c r="AC57" s="10">
        <v>13.12</v>
      </c>
      <c r="AD57" s="2">
        <f t="shared" si="0"/>
        <v>0.25</v>
      </c>
      <c r="AE57" s="138">
        <f t="shared" si="1"/>
        <v>1.0785824345146189E-2</v>
      </c>
    </row>
    <row r="58" spans="2:31" x14ac:dyDescent="0.25">
      <c r="O58" s="83">
        <v>0.93</v>
      </c>
      <c r="P58" s="83">
        <f t="shared" si="24"/>
        <v>11.783100000000001</v>
      </c>
      <c r="T58" s="93" t="s">
        <v>109</v>
      </c>
      <c r="U58" s="88" t="s">
        <v>570</v>
      </c>
      <c r="W58" s="133">
        <v>42537</v>
      </c>
      <c r="X58" s="10">
        <v>12.93</v>
      </c>
      <c r="Y58" s="10">
        <v>13.14</v>
      </c>
      <c r="Z58" s="10">
        <v>12.85</v>
      </c>
      <c r="AA58" s="10">
        <v>13.12</v>
      </c>
      <c r="AB58" s="95">
        <v>26581200</v>
      </c>
      <c r="AC58" s="10">
        <v>12.98</v>
      </c>
      <c r="AD58" s="2">
        <f t="shared" si="0"/>
        <v>0.29000000000000092</v>
      </c>
      <c r="AE58" s="138">
        <f t="shared" si="1"/>
        <v>8.5470085470087387E-3</v>
      </c>
    </row>
    <row r="59" spans="2:31" x14ac:dyDescent="0.25">
      <c r="O59" s="83">
        <v>0.92</v>
      </c>
      <c r="P59" s="83">
        <f t="shared" si="24"/>
        <v>11.6564</v>
      </c>
      <c r="W59" s="133">
        <v>42536</v>
      </c>
      <c r="X59" s="10">
        <v>12.91</v>
      </c>
      <c r="Y59" s="10">
        <v>13.16</v>
      </c>
      <c r="Z59" s="10">
        <v>12.88</v>
      </c>
      <c r="AA59" s="10">
        <v>13.01</v>
      </c>
      <c r="AB59" s="95">
        <v>25829700</v>
      </c>
      <c r="AC59" s="10">
        <v>12.87</v>
      </c>
      <c r="AD59" s="2">
        <f t="shared" si="0"/>
        <v>0.27999999999999936</v>
      </c>
      <c r="AE59" s="138">
        <f t="shared" si="1"/>
        <v>1.3385826771653564E-2</v>
      </c>
    </row>
    <row r="60" spans="2:31" x14ac:dyDescent="0.25">
      <c r="O60" s="83">
        <v>0.91</v>
      </c>
      <c r="P60" s="83">
        <f t="shared" si="24"/>
        <v>11.5297</v>
      </c>
      <c r="W60" s="133">
        <v>42535</v>
      </c>
      <c r="X60" s="10">
        <v>12.99</v>
      </c>
      <c r="Y60" s="10">
        <v>13.07</v>
      </c>
      <c r="Z60" s="10">
        <v>12.76</v>
      </c>
      <c r="AA60" s="10">
        <v>12.84</v>
      </c>
      <c r="AB60" s="95">
        <v>30546000</v>
      </c>
      <c r="AC60" s="10">
        <v>12.7</v>
      </c>
      <c r="AD60" s="2">
        <f t="shared" si="0"/>
        <v>0.3100000000000005</v>
      </c>
      <c r="AE60" s="138">
        <f t="shared" si="1"/>
        <v>-1.0903426791277315E-2</v>
      </c>
    </row>
    <row r="61" spans="2:31" x14ac:dyDescent="0.25">
      <c r="O61" s="83">
        <v>0.9</v>
      </c>
      <c r="P61" s="83">
        <f t="shared" si="24"/>
        <v>11.403</v>
      </c>
      <c r="W61" s="133">
        <v>42534</v>
      </c>
      <c r="X61" s="10">
        <v>13.07</v>
      </c>
      <c r="Y61" s="10">
        <v>13.13</v>
      </c>
      <c r="Z61" s="10">
        <v>12.96</v>
      </c>
      <c r="AA61" s="10">
        <v>12.98</v>
      </c>
      <c r="AB61" s="95">
        <v>20745800</v>
      </c>
      <c r="AC61" s="10">
        <v>12.84</v>
      </c>
      <c r="AD61" s="2">
        <f t="shared" si="0"/>
        <v>0.16999999999999993</v>
      </c>
      <c r="AE61" s="138">
        <f t="shared" si="1"/>
        <v>-9.2592592592593004E-3</v>
      </c>
    </row>
    <row r="62" spans="2:31" x14ac:dyDescent="0.25">
      <c r="W62" s="133">
        <v>42531</v>
      </c>
      <c r="X62" s="10">
        <v>13.17</v>
      </c>
      <c r="Y62" s="10">
        <v>13.25</v>
      </c>
      <c r="Z62" s="10">
        <v>13.05</v>
      </c>
      <c r="AA62" s="10">
        <v>13.1</v>
      </c>
      <c r="AB62" s="95">
        <v>27382700</v>
      </c>
      <c r="AC62" s="10">
        <v>12.96</v>
      </c>
      <c r="AD62" s="2">
        <f t="shared" si="0"/>
        <v>0.19999999999999929</v>
      </c>
      <c r="AE62" s="138">
        <f t="shared" si="1"/>
        <v>-1.2195121951219412E-2</v>
      </c>
    </row>
    <row r="63" spans="2:31" x14ac:dyDescent="0.25">
      <c r="W63" s="133">
        <v>42530</v>
      </c>
      <c r="X63" s="10">
        <v>13.26</v>
      </c>
      <c r="Y63" s="10">
        <v>13.3</v>
      </c>
      <c r="Z63" s="10">
        <v>13.14</v>
      </c>
      <c r="AA63" s="10">
        <v>13.26</v>
      </c>
      <c r="AB63" s="95">
        <v>19873800</v>
      </c>
      <c r="AC63" s="10">
        <v>13.12</v>
      </c>
      <c r="AD63" s="2">
        <f t="shared" si="0"/>
        <v>0.16000000000000014</v>
      </c>
      <c r="AE63" s="138">
        <f t="shared" si="1"/>
        <v>-7.5642965204236745E-3</v>
      </c>
    </row>
    <row r="64" spans="2:31" x14ac:dyDescent="0.25">
      <c r="W64" s="133">
        <v>42529</v>
      </c>
      <c r="X64" s="10">
        <v>13.45</v>
      </c>
      <c r="Y64" s="10">
        <v>13.49</v>
      </c>
      <c r="Z64" s="10">
        <v>13.35</v>
      </c>
      <c r="AA64" s="10">
        <v>13.36</v>
      </c>
      <c r="AB64" s="95">
        <v>18084800</v>
      </c>
      <c r="AC64" s="10">
        <v>13.22</v>
      </c>
      <c r="AD64" s="2">
        <f t="shared" si="0"/>
        <v>0.14000000000000057</v>
      </c>
      <c r="AE64" s="138">
        <f t="shared" si="1"/>
        <v>-7.5585789871501774E-4</v>
      </c>
    </row>
    <row r="65" spans="23:31" x14ac:dyDescent="0.25">
      <c r="W65" s="133">
        <v>42528</v>
      </c>
      <c r="X65" s="10">
        <v>13.23</v>
      </c>
      <c r="Y65" s="10">
        <v>13.45</v>
      </c>
      <c r="Z65" s="10">
        <v>13.18</v>
      </c>
      <c r="AA65" s="10">
        <v>13.38</v>
      </c>
      <c r="AB65" s="95">
        <v>27656900</v>
      </c>
      <c r="AC65" s="10">
        <v>13.23</v>
      </c>
      <c r="AD65" s="2">
        <f t="shared" si="0"/>
        <v>0.26999999999999957</v>
      </c>
      <c r="AE65" s="138">
        <f t="shared" si="1"/>
        <v>1.4570552147239457E-2</v>
      </c>
    </row>
    <row r="66" spans="23:31" x14ac:dyDescent="0.25">
      <c r="W66" s="133">
        <v>42527</v>
      </c>
      <c r="X66" s="10">
        <v>13.08</v>
      </c>
      <c r="Y66" s="10">
        <v>13.21</v>
      </c>
      <c r="Z66" s="10">
        <v>13.04</v>
      </c>
      <c r="AA66" s="10">
        <v>13.18</v>
      </c>
      <c r="AB66" s="95">
        <v>25588700</v>
      </c>
      <c r="AC66" s="10">
        <v>13.04</v>
      </c>
      <c r="AD66" s="2">
        <f t="shared" si="0"/>
        <v>0.17000000000000171</v>
      </c>
      <c r="AE66" s="138">
        <f t="shared" si="1"/>
        <v>1.0852713178294504E-2</v>
      </c>
    </row>
    <row r="67" spans="23:31" x14ac:dyDescent="0.25">
      <c r="W67" s="133">
        <v>42524</v>
      </c>
      <c r="X67" s="10">
        <v>13.14</v>
      </c>
      <c r="Y67" s="10">
        <v>13.14</v>
      </c>
      <c r="Z67" s="10">
        <v>12.9</v>
      </c>
      <c r="AA67" s="10">
        <v>13.04</v>
      </c>
      <c r="AB67" s="95">
        <v>39850700</v>
      </c>
      <c r="AC67" s="10">
        <v>12.9</v>
      </c>
      <c r="AD67" s="2">
        <f>Y67-Z67</f>
        <v>0.24000000000000021</v>
      </c>
      <c r="AE67" s="138" t="e">
        <f>AC67/#REF!-1</f>
        <v>#REF!</v>
      </c>
    </row>
    <row r="68" spans="23:31" x14ac:dyDescent="0.25">
      <c r="W68" s="133">
        <v>42523</v>
      </c>
      <c r="X68" s="10">
        <v>13.09</v>
      </c>
      <c r="Y68" s="10">
        <v>13.32</v>
      </c>
      <c r="Z68" s="10">
        <v>13.05</v>
      </c>
      <c r="AA68" s="10">
        <v>13.21</v>
      </c>
      <c r="AB68" s="95">
        <v>41614600</v>
      </c>
      <c r="AC68" s="10">
        <v>13.07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570" priority="25">
      <formula>F30&gt;0</formula>
    </cfRule>
    <cfRule type="expression" dxfId="569" priority="26">
      <formula>F30&lt;0</formula>
    </cfRule>
  </conditionalFormatting>
  <conditionalFormatting sqref="F34:F42 F46:F57">
    <cfRule type="expression" dxfId="568" priority="21">
      <formula>F34&gt;0</formula>
    </cfRule>
    <cfRule type="expression" dxfId="567" priority="22">
      <formula>F34&lt;0</formula>
    </cfRule>
  </conditionalFormatting>
  <conditionalFormatting sqref="F34:F42 F46:F57">
    <cfRule type="expression" dxfId="566" priority="23">
      <formula>F34&gt;0</formula>
    </cfRule>
    <cfRule type="expression" dxfId="565" priority="24">
      <formula>F34&lt;0</formula>
    </cfRule>
  </conditionalFormatting>
  <conditionalFormatting sqref="H30:H42 H46:H57">
    <cfRule type="expression" dxfId="564" priority="19">
      <formula>H30&gt;0</formula>
    </cfRule>
    <cfRule type="expression" dxfId="563" priority="20">
      <formula>H30&lt;0</formula>
    </cfRule>
  </conditionalFormatting>
  <conditionalFormatting sqref="F25:F29">
    <cfRule type="expression" dxfId="562" priority="13">
      <formula>F25&gt;0</formula>
    </cfRule>
    <cfRule type="expression" dxfId="561" priority="14">
      <formula>F25&lt;0</formula>
    </cfRule>
  </conditionalFormatting>
  <conditionalFormatting sqref="H25:H29">
    <cfRule type="expression" dxfId="560" priority="11">
      <formula>H25&gt;0</formula>
    </cfRule>
    <cfRule type="expression" dxfId="559" priority="12">
      <formula>H25&lt;0</formula>
    </cfRule>
  </conditionalFormatting>
  <conditionalFormatting sqref="Q7">
    <cfRule type="expression" dxfId="558" priority="9">
      <formula>Q7&gt;0</formula>
    </cfRule>
    <cfRule type="expression" dxfId="557" priority="10">
      <formula>Q7&lt;0</formula>
    </cfRule>
  </conditionalFormatting>
  <conditionalFormatting sqref="Q8">
    <cfRule type="expression" dxfId="556" priority="7">
      <formula>Q8&gt;0</formula>
    </cfRule>
    <cfRule type="expression" dxfId="555" priority="8">
      <formula>Q8&lt;0</formula>
    </cfRule>
  </conditionalFormatting>
  <conditionalFormatting sqref="F43:F45">
    <cfRule type="expression" dxfId="554" priority="3">
      <formula>F43&gt;0</formula>
    </cfRule>
    <cfRule type="expression" dxfId="553" priority="4">
      <formula>F43&lt;0</formula>
    </cfRule>
  </conditionalFormatting>
  <conditionalFormatting sqref="F43:F45">
    <cfRule type="expression" dxfId="552" priority="5">
      <formula>F43&gt;0</formula>
    </cfRule>
    <cfRule type="expression" dxfId="551" priority="6">
      <formula>F43&lt;0</formula>
    </cfRule>
  </conditionalFormatting>
  <conditionalFormatting sqref="H43:H45">
    <cfRule type="expression" dxfId="550" priority="1">
      <formula>H43&gt;0</formula>
    </cfRule>
    <cfRule type="expression" dxfId="549" priority="2">
      <formula>H43&lt;0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60"/>
  <sheetViews>
    <sheetView workbookViewId="0">
      <pane ySplit="1" topLeftCell="A134" activePane="bottomLeft" state="frozen"/>
      <selection activeCell="A2" sqref="A2"/>
      <selection pane="bottomLeft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9.140625" style="8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8.28515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17</v>
      </c>
      <c r="B2" s="475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75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C80-H80</f>
        <v>4500</v>
      </c>
      <c r="T2" s="158"/>
      <c r="U2" s="34" t="s">
        <v>277</v>
      </c>
      <c r="W2" s="123">
        <v>42615</v>
      </c>
      <c r="X2" s="41">
        <v>12.22</v>
      </c>
      <c r="Y2" s="41">
        <v>12.57</v>
      </c>
      <c r="Z2" s="41">
        <v>12.2</v>
      </c>
      <c r="AA2" s="41">
        <v>12.48</v>
      </c>
      <c r="AB2" s="104">
        <v>2269700</v>
      </c>
      <c r="AC2" s="9">
        <v>12.48</v>
      </c>
      <c r="AD2" s="2">
        <f>Y2-Z2</f>
        <v>0.37000000000000099</v>
      </c>
      <c r="AE2" s="138">
        <f>AC2/AC3-1</f>
        <v>2.8854080791426151E-2</v>
      </c>
    </row>
    <row r="3" spans="1:42" x14ac:dyDescent="0.25">
      <c r="A3" s="23" t="s">
        <v>71</v>
      </c>
      <c r="B3" s="475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75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519">
        <f>IF(Q2=0, Q4, (F80-K80)/Q2)</f>
        <v>18.232784444444452</v>
      </c>
      <c r="W3" s="123">
        <v>42614</v>
      </c>
      <c r="X3" s="41">
        <v>12.54</v>
      </c>
      <c r="Y3" s="41">
        <v>12.56</v>
      </c>
      <c r="Z3" s="41">
        <v>12.07</v>
      </c>
      <c r="AA3" s="41">
        <v>12.13</v>
      </c>
      <c r="AB3" s="104">
        <v>3351200</v>
      </c>
      <c r="AC3" s="9">
        <v>12.13</v>
      </c>
      <c r="AD3" s="2">
        <f t="shared" ref="AD3:AD66" si="1">Y3-Z3</f>
        <v>0.49000000000000021</v>
      </c>
      <c r="AE3" s="138">
        <f t="shared" ref="AE3:AE66" si="2">AC3/AC4-1</f>
        <v>-2.8044871794871806E-2</v>
      </c>
      <c r="AJ3" s="235"/>
      <c r="AL3" s="234"/>
      <c r="AO3" s="234"/>
    </row>
    <row r="4" spans="1:42" x14ac:dyDescent="0.25">
      <c r="B4" s="475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75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12.72</v>
      </c>
      <c r="T4" s="1"/>
      <c r="W4" s="123">
        <v>42613</v>
      </c>
      <c r="X4" s="41">
        <v>12.42</v>
      </c>
      <c r="Y4" s="41">
        <v>12.75</v>
      </c>
      <c r="Z4" s="41">
        <v>12.29</v>
      </c>
      <c r="AA4" s="41">
        <v>12.48</v>
      </c>
      <c r="AB4" s="104">
        <v>3099400</v>
      </c>
      <c r="AC4" s="9">
        <v>12.48</v>
      </c>
      <c r="AD4" s="2">
        <f t="shared" si="1"/>
        <v>0.46000000000000085</v>
      </c>
      <c r="AE4" s="138">
        <f t="shared" si="2"/>
        <v>5.6406124093473231E-3</v>
      </c>
      <c r="AL4" s="234"/>
      <c r="AO4" s="234"/>
    </row>
    <row r="5" spans="1:42" x14ac:dyDescent="0.25">
      <c r="B5" s="475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75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57240</v>
      </c>
      <c r="T5" s="1"/>
      <c r="W5" s="123">
        <v>42612</v>
      </c>
      <c r="X5" s="41">
        <v>12.57</v>
      </c>
      <c r="Y5" s="41">
        <v>12.66</v>
      </c>
      <c r="Z5" s="41">
        <v>12.38</v>
      </c>
      <c r="AA5" s="41">
        <v>12.41</v>
      </c>
      <c r="AB5" s="104">
        <v>2992200</v>
      </c>
      <c r="AC5" s="9">
        <v>12.41</v>
      </c>
      <c r="AD5" s="2">
        <f t="shared" si="1"/>
        <v>0.27999999999999936</v>
      </c>
      <c r="AE5" s="138">
        <f t="shared" si="2"/>
        <v>-1.4297061159650459E-2</v>
      </c>
      <c r="AL5" s="234"/>
      <c r="AO5" s="234"/>
    </row>
    <row r="6" spans="1:42" x14ac:dyDescent="0.25">
      <c r="B6" s="475">
        <v>42174</v>
      </c>
      <c r="C6" s="7">
        <v>20</v>
      </c>
      <c r="D6" s="79">
        <v>19.059999999999999</v>
      </c>
      <c r="E6" s="44">
        <v>0</v>
      </c>
      <c r="F6" s="44">
        <f t="shared" si="0"/>
        <v>381.2</v>
      </c>
      <c r="G6" s="475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82047.530000000028</v>
      </c>
      <c r="W6" s="123">
        <v>42611</v>
      </c>
      <c r="X6" s="41">
        <v>12.49</v>
      </c>
      <c r="Y6" s="41">
        <v>12.73</v>
      </c>
      <c r="Z6" s="41">
        <v>12.48</v>
      </c>
      <c r="AA6" s="41">
        <v>12.59</v>
      </c>
      <c r="AB6" s="104">
        <v>2875300</v>
      </c>
      <c r="AC6" s="9">
        <v>12.59</v>
      </c>
      <c r="AD6" s="2">
        <f t="shared" si="1"/>
        <v>0.25</v>
      </c>
      <c r="AE6" s="138">
        <f t="shared" si="2"/>
        <v>1.0433386837881198E-2</v>
      </c>
      <c r="AL6" s="234"/>
      <c r="AO6" s="234"/>
    </row>
    <row r="7" spans="1:42" x14ac:dyDescent="0.25">
      <c r="B7" s="475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75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187</v>
      </c>
      <c r="Q7" s="2">
        <f>Q10+Q8</f>
        <v>-24807.530000000028</v>
      </c>
      <c r="R7">
        <v>1300</v>
      </c>
      <c r="W7" s="123">
        <v>42608</v>
      </c>
      <c r="X7" s="41">
        <v>12.48</v>
      </c>
      <c r="Y7" s="41">
        <v>12.91</v>
      </c>
      <c r="Z7" s="41">
        <v>12.43</v>
      </c>
      <c r="AA7" s="41">
        <v>12.46</v>
      </c>
      <c r="AB7" s="104">
        <v>4520000</v>
      </c>
      <c r="AC7" s="9">
        <v>12.46</v>
      </c>
      <c r="AD7" s="2">
        <f t="shared" si="1"/>
        <v>0.48000000000000043</v>
      </c>
      <c r="AE7" s="138">
        <f t="shared" si="2"/>
        <v>3.2206119162641045E-3</v>
      </c>
      <c r="AL7" s="234"/>
      <c r="AO7" s="234"/>
    </row>
    <row r="8" spans="1:42" x14ac:dyDescent="0.25">
      <c r="B8" s="475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75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190</v>
      </c>
      <c r="P8" s="34"/>
      <c r="Q8" s="2">
        <f>K80+M80-F80+Q2*Q4</f>
        <v>-24807.530000000028</v>
      </c>
      <c r="R8" s="166"/>
      <c r="W8" s="123">
        <v>42607</v>
      </c>
      <c r="X8" s="41">
        <v>12.43</v>
      </c>
      <c r="Y8" s="41">
        <v>12.58</v>
      </c>
      <c r="Z8" s="41">
        <v>12.31</v>
      </c>
      <c r="AA8" s="41">
        <v>12.42</v>
      </c>
      <c r="AB8" s="104">
        <v>2347000</v>
      </c>
      <c r="AC8" s="9">
        <v>12.42</v>
      </c>
      <c r="AD8" s="2">
        <f t="shared" si="1"/>
        <v>0.26999999999999957</v>
      </c>
      <c r="AE8" s="138">
        <f t="shared" si="2"/>
        <v>-3.2102728731943087E-3</v>
      </c>
      <c r="AL8" s="234"/>
      <c r="AO8" s="234"/>
    </row>
    <row r="9" spans="1:42" x14ac:dyDescent="0.25">
      <c r="B9" s="475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75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224</v>
      </c>
      <c r="Q9" s="138">
        <f>IF(Q2=0, 0, Q8/Q6)</f>
        <v>-0.3023555980295814</v>
      </c>
      <c r="W9" s="123">
        <v>42606</v>
      </c>
      <c r="X9" s="41">
        <v>12.54</v>
      </c>
      <c r="Y9" s="41">
        <v>12.64</v>
      </c>
      <c r="Z9" s="41">
        <v>12.4</v>
      </c>
      <c r="AA9" s="41">
        <v>12.46</v>
      </c>
      <c r="AB9" s="104">
        <v>3348000</v>
      </c>
      <c r="AC9" s="9">
        <v>12.46</v>
      </c>
      <c r="AD9" s="2">
        <f t="shared" si="1"/>
        <v>0.24000000000000021</v>
      </c>
      <c r="AE9" s="138">
        <f t="shared" si="2"/>
        <v>-8.7509944311853216E-3</v>
      </c>
      <c r="AL9" s="234"/>
      <c r="AO9" s="234"/>
    </row>
    <row r="10" spans="1:42" x14ac:dyDescent="0.25">
      <c r="B10" s="475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75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223</v>
      </c>
      <c r="P10" s="34"/>
      <c r="Q10" s="2">
        <v>0</v>
      </c>
      <c r="W10" s="123">
        <v>42605</v>
      </c>
      <c r="X10" s="41">
        <v>12.26</v>
      </c>
      <c r="Y10" s="41">
        <v>12.74</v>
      </c>
      <c r="Z10" s="41">
        <v>12.26</v>
      </c>
      <c r="AA10" s="41">
        <v>12.57</v>
      </c>
      <c r="AB10" s="104">
        <v>3826500</v>
      </c>
      <c r="AC10" s="9">
        <v>12.57</v>
      </c>
      <c r="AD10" s="2">
        <f t="shared" si="1"/>
        <v>0.48000000000000043</v>
      </c>
      <c r="AE10" s="138">
        <f t="shared" si="2"/>
        <v>2.6960784313725394E-2</v>
      </c>
      <c r="AL10" s="234"/>
      <c r="AO10" s="234"/>
    </row>
    <row r="11" spans="1:42" x14ac:dyDescent="0.25">
      <c r="B11" s="475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75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184</v>
      </c>
      <c r="P11" s="34"/>
      <c r="Q11" s="138">
        <f>IF(U58="N/A (N/A)", 0, VALUE(TRIM(CLEAN(MID(U58, FIND("(", U58)+1, 5)))))</f>
        <v>0</v>
      </c>
      <c r="T11" s="11"/>
      <c r="W11" s="123">
        <v>42604</v>
      </c>
      <c r="X11" s="41">
        <v>12.21</v>
      </c>
      <c r="Y11" s="41">
        <v>12.29</v>
      </c>
      <c r="Z11" s="41">
        <v>11.97</v>
      </c>
      <c r="AA11" s="41">
        <v>12.24</v>
      </c>
      <c r="AB11" s="104">
        <v>3264800</v>
      </c>
      <c r="AC11" s="9">
        <v>12.24</v>
      </c>
      <c r="AD11" s="2">
        <f t="shared" si="1"/>
        <v>0.31999999999999851</v>
      </c>
      <c r="AE11" s="138">
        <f t="shared" si="2"/>
        <v>-1.6313213703099683E-3</v>
      </c>
      <c r="AL11" s="234"/>
      <c r="AO11" s="234"/>
    </row>
    <row r="12" spans="1:42" x14ac:dyDescent="0.25">
      <c r="B12" s="475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75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42601</v>
      </c>
      <c r="X12" s="41">
        <v>12.5</v>
      </c>
      <c r="Y12" s="41">
        <v>12.53</v>
      </c>
      <c r="Z12" s="41">
        <v>12.2</v>
      </c>
      <c r="AA12" s="41">
        <v>12.26</v>
      </c>
      <c r="AB12" s="104">
        <v>2653800</v>
      </c>
      <c r="AC12" s="9">
        <v>12.26</v>
      </c>
      <c r="AD12" s="2">
        <f t="shared" si="1"/>
        <v>0.33000000000000007</v>
      </c>
      <c r="AE12" s="138">
        <f t="shared" si="2"/>
        <v>-2.4661893396976997E-2</v>
      </c>
      <c r="AL12" s="234"/>
      <c r="AO12" s="234"/>
    </row>
    <row r="13" spans="1:42" x14ac:dyDescent="0.25">
      <c r="B13" s="475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74"/>
      <c r="H13" s="7"/>
      <c r="I13" s="79"/>
      <c r="J13" s="44"/>
      <c r="K13" s="44"/>
      <c r="W13" s="123">
        <v>42600</v>
      </c>
      <c r="X13" s="41">
        <v>12.59</v>
      </c>
      <c r="Y13" s="41">
        <v>12.66</v>
      </c>
      <c r="Z13" s="41">
        <v>12.51</v>
      </c>
      <c r="AA13" s="41">
        <v>12.57</v>
      </c>
      <c r="AB13" s="104">
        <v>3117300</v>
      </c>
      <c r="AC13" s="9">
        <v>12.57</v>
      </c>
      <c r="AD13" s="2">
        <f t="shared" si="1"/>
        <v>0.15000000000000036</v>
      </c>
      <c r="AE13" s="138">
        <f t="shared" si="2"/>
        <v>-3.1720856463123281E-3</v>
      </c>
    </row>
    <row r="14" spans="1:42" x14ac:dyDescent="0.25">
      <c r="B14" s="475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26"/>
      <c r="H14" s="7"/>
      <c r="I14" s="79"/>
      <c r="J14" s="44"/>
      <c r="K14" s="44"/>
      <c r="W14" s="123">
        <v>42599</v>
      </c>
      <c r="X14" s="41">
        <v>12.7</v>
      </c>
      <c r="Y14" s="41">
        <v>12.78</v>
      </c>
      <c r="Z14" s="41">
        <v>12.57</v>
      </c>
      <c r="AA14" s="41">
        <v>12.61</v>
      </c>
      <c r="AB14" s="104">
        <v>2682900</v>
      </c>
      <c r="AC14" s="9">
        <v>12.61</v>
      </c>
      <c r="AD14" s="2">
        <f t="shared" si="1"/>
        <v>0.20999999999999908</v>
      </c>
      <c r="AE14" s="138">
        <f t="shared" si="2"/>
        <v>-1.2529365700861383E-2</v>
      </c>
    </row>
    <row r="15" spans="1:42" x14ac:dyDescent="0.25">
      <c r="B15" s="475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26"/>
      <c r="H15" s="82"/>
      <c r="I15" s="79"/>
      <c r="J15" s="44"/>
      <c r="K15" s="44"/>
      <c r="V15" s="2"/>
      <c r="W15" s="123">
        <v>42598</v>
      </c>
      <c r="X15" s="41">
        <v>12.75</v>
      </c>
      <c r="Y15" s="41">
        <v>12.93</v>
      </c>
      <c r="Z15" s="41">
        <v>12.66</v>
      </c>
      <c r="AA15" s="41">
        <v>12.77</v>
      </c>
      <c r="AB15" s="104">
        <v>4946600</v>
      </c>
      <c r="AC15" s="9">
        <v>12.77</v>
      </c>
      <c r="AD15" s="2">
        <f t="shared" si="1"/>
        <v>0.26999999999999957</v>
      </c>
      <c r="AE15" s="138">
        <f t="shared" si="2"/>
        <v>8.6887835703000071E-3</v>
      </c>
      <c r="AL15" s="234"/>
      <c r="AO15" s="234"/>
      <c r="AP15" s="234"/>
    </row>
    <row r="16" spans="1:42" x14ac:dyDescent="0.25">
      <c r="B16" s="475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26"/>
      <c r="H16" s="82"/>
      <c r="I16" s="79"/>
      <c r="J16" s="44"/>
      <c r="K16" s="44"/>
      <c r="V16" s="2"/>
      <c r="W16" s="123">
        <v>42597</v>
      </c>
      <c r="X16" s="41">
        <v>12.8</v>
      </c>
      <c r="Y16" s="41">
        <v>12.85</v>
      </c>
      <c r="Z16" s="41">
        <v>12.62</v>
      </c>
      <c r="AA16" s="41">
        <v>12.66</v>
      </c>
      <c r="AB16" s="104">
        <v>3234500</v>
      </c>
      <c r="AC16" s="9">
        <v>12.66</v>
      </c>
      <c r="AD16" s="2">
        <f t="shared" si="1"/>
        <v>0.23000000000000043</v>
      </c>
      <c r="AE16" s="138">
        <f t="shared" si="2"/>
        <v>-5.498821681068411E-3</v>
      </c>
    </row>
    <row r="17" spans="2:42" x14ac:dyDescent="0.25">
      <c r="B17" s="475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26"/>
      <c r="H17" s="82"/>
      <c r="I17" s="79"/>
      <c r="J17" s="44"/>
      <c r="K17" s="44"/>
      <c r="V17" s="2"/>
      <c r="W17" s="123">
        <v>42594</v>
      </c>
      <c r="X17" s="41">
        <v>12.65</v>
      </c>
      <c r="Y17" s="41">
        <v>12.97</v>
      </c>
      <c r="Z17" s="41">
        <v>12.59</v>
      </c>
      <c r="AA17" s="41">
        <v>12.73</v>
      </c>
      <c r="AB17" s="104">
        <v>4003900</v>
      </c>
      <c r="AC17" s="9">
        <v>12.73</v>
      </c>
      <c r="AD17" s="2">
        <f t="shared" si="1"/>
        <v>0.38000000000000078</v>
      </c>
      <c r="AE17" s="138">
        <f t="shared" si="2"/>
        <v>7.9176563737133332E-3</v>
      </c>
      <c r="AL17" s="234"/>
      <c r="AO17" s="234"/>
      <c r="AP17" s="234"/>
    </row>
    <row r="18" spans="2:42" x14ac:dyDescent="0.25">
      <c r="B18" s="475">
        <v>42223</v>
      </c>
      <c r="C18" s="4">
        <v>300</v>
      </c>
      <c r="D18" s="240">
        <v>17.149999999999999</v>
      </c>
      <c r="E18" s="3">
        <v>0</v>
      </c>
      <c r="F18" s="3">
        <f t="shared" si="0"/>
        <v>5145</v>
      </c>
      <c r="G18" s="526"/>
      <c r="H18" s="82"/>
      <c r="I18" s="79"/>
      <c r="J18" s="44"/>
      <c r="K18" s="44"/>
      <c r="V18" s="2"/>
      <c r="W18" s="123">
        <v>42593</v>
      </c>
      <c r="X18" s="41">
        <v>12.51</v>
      </c>
      <c r="Y18" s="41">
        <v>12.64</v>
      </c>
      <c r="Z18" s="41">
        <v>12.32</v>
      </c>
      <c r="AA18" s="41">
        <v>12.63</v>
      </c>
      <c r="AB18" s="104">
        <v>3850000</v>
      </c>
      <c r="AC18" s="9">
        <v>12.63</v>
      </c>
      <c r="AD18" s="2">
        <f t="shared" si="1"/>
        <v>0.32000000000000028</v>
      </c>
      <c r="AE18" s="138">
        <f t="shared" si="2"/>
        <v>9.5923261390888914E-3</v>
      </c>
    </row>
    <row r="19" spans="2:42" x14ac:dyDescent="0.25">
      <c r="B19" s="475">
        <v>42223</v>
      </c>
      <c r="C19" s="4">
        <v>200</v>
      </c>
      <c r="D19" s="240">
        <v>17.170000000000002</v>
      </c>
      <c r="E19" s="3">
        <v>0</v>
      </c>
      <c r="F19" s="3">
        <f t="shared" si="0"/>
        <v>3434.0000000000005</v>
      </c>
      <c r="G19" s="526"/>
      <c r="H19" s="82"/>
      <c r="I19" s="79"/>
      <c r="J19" s="44"/>
      <c r="K19" s="44"/>
      <c r="W19" s="123">
        <v>42592</v>
      </c>
      <c r="X19" s="41">
        <v>12.66</v>
      </c>
      <c r="Y19" s="41">
        <v>12.72</v>
      </c>
      <c r="Z19" s="41">
        <v>12.4</v>
      </c>
      <c r="AA19" s="41">
        <v>12.51</v>
      </c>
      <c r="AB19" s="104">
        <v>3246300</v>
      </c>
      <c r="AC19" s="9">
        <v>12.51</v>
      </c>
      <c r="AD19" s="2">
        <f t="shared" si="1"/>
        <v>0.32000000000000028</v>
      </c>
      <c r="AE19" s="138">
        <f t="shared" si="2"/>
        <v>-1.2628255722178405E-2</v>
      </c>
      <c r="AL19" s="234"/>
      <c r="AO19" s="234"/>
    </row>
    <row r="20" spans="2:42" x14ac:dyDescent="0.25">
      <c r="B20" s="475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74"/>
      <c r="H20" s="7"/>
      <c r="I20" s="79"/>
      <c r="J20" s="44"/>
      <c r="K20" s="44"/>
      <c r="W20" s="123">
        <v>42591</v>
      </c>
      <c r="X20" s="41">
        <v>13.14</v>
      </c>
      <c r="Y20" s="41">
        <v>13.18</v>
      </c>
      <c r="Z20" s="41">
        <v>12.62</v>
      </c>
      <c r="AA20" s="41">
        <v>12.67</v>
      </c>
      <c r="AB20" s="104">
        <v>7358600</v>
      </c>
      <c r="AC20" s="9">
        <v>12.67</v>
      </c>
      <c r="AD20" s="2">
        <f t="shared" si="1"/>
        <v>0.5600000000000005</v>
      </c>
      <c r="AE20" s="138">
        <f t="shared" si="2"/>
        <v>-3.208556149732622E-2</v>
      </c>
    </row>
    <row r="21" spans="2:42" x14ac:dyDescent="0.25">
      <c r="B21" s="475">
        <v>42227</v>
      </c>
      <c r="C21" s="4">
        <v>100</v>
      </c>
      <c r="D21" s="240">
        <v>17.100000000000001</v>
      </c>
      <c r="E21" s="3">
        <v>0</v>
      </c>
      <c r="F21" s="3">
        <f t="shared" si="0"/>
        <v>1710.0000000000002</v>
      </c>
      <c r="G21" s="474"/>
      <c r="H21" s="7"/>
      <c r="I21" s="79"/>
      <c r="J21" s="44"/>
      <c r="K21" s="44"/>
      <c r="W21" s="123">
        <v>42590</v>
      </c>
      <c r="X21" s="41">
        <v>13.07</v>
      </c>
      <c r="Y21" s="41">
        <v>13.25</v>
      </c>
      <c r="Z21" s="41">
        <v>13.03</v>
      </c>
      <c r="AA21" s="41">
        <v>13.09</v>
      </c>
      <c r="AB21" s="104">
        <v>3649800</v>
      </c>
      <c r="AC21" s="9">
        <v>13.09</v>
      </c>
      <c r="AD21" s="2">
        <f t="shared" si="1"/>
        <v>0.22000000000000064</v>
      </c>
      <c r="AE21" s="138">
        <f t="shared" si="2"/>
        <v>6.1491160645656961E-3</v>
      </c>
    </row>
    <row r="22" spans="2:42" x14ac:dyDescent="0.25">
      <c r="B22" s="475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74"/>
      <c r="H22" s="7"/>
      <c r="I22" s="79"/>
      <c r="J22" s="44"/>
      <c r="K22" s="44"/>
      <c r="W22" s="123">
        <v>42587</v>
      </c>
      <c r="X22" s="41">
        <v>12.98</v>
      </c>
      <c r="Y22" s="41">
        <v>13.14</v>
      </c>
      <c r="Z22" s="41">
        <v>12.86</v>
      </c>
      <c r="AA22" s="41">
        <v>13.01</v>
      </c>
      <c r="AB22" s="104">
        <v>4090200</v>
      </c>
      <c r="AC22" s="9">
        <v>13.01</v>
      </c>
      <c r="AD22" s="2">
        <f t="shared" si="1"/>
        <v>0.28000000000000114</v>
      </c>
      <c r="AE22" s="138">
        <f t="shared" si="2"/>
        <v>3.0840400925211675E-3</v>
      </c>
    </row>
    <row r="23" spans="2:42" x14ac:dyDescent="0.25">
      <c r="B23" s="475">
        <v>42233</v>
      </c>
      <c r="C23" s="4">
        <v>100</v>
      </c>
      <c r="D23" s="240">
        <v>16.5</v>
      </c>
      <c r="E23" s="3">
        <v>0</v>
      </c>
      <c r="F23" s="3">
        <f t="shared" si="0"/>
        <v>1650</v>
      </c>
      <c r="G23" s="474"/>
      <c r="H23" s="82"/>
      <c r="I23" s="79"/>
      <c r="J23" s="44"/>
      <c r="K23" s="44"/>
      <c r="M23" s="2"/>
      <c r="W23" s="123">
        <v>42586</v>
      </c>
      <c r="X23" s="41">
        <v>13.5</v>
      </c>
      <c r="Y23" s="41">
        <v>13.54</v>
      </c>
      <c r="Z23" s="41">
        <v>12.85</v>
      </c>
      <c r="AA23" s="41">
        <v>12.97</v>
      </c>
      <c r="AB23" s="104">
        <v>5593000</v>
      </c>
      <c r="AC23" s="9">
        <v>12.97</v>
      </c>
      <c r="AD23" s="2">
        <f t="shared" si="1"/>
        <v>0.6899999999999995</v>
      </c>
      <c r="AE23" s="138">
        <f t="shared" si="2"/>
        <v>-4.0680473372781023E-2</v>
      </c>
    </row>
    <row r="24" spans="2:42" x14ac:dyDescent="0.25">
      <c r="B24" s="475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74"/>
      <c r="H24" s="82"/>
      <c r="I24" s="79"/>
      <c r="J24" s="44"/>
      <c r="K24" s="44"/>
      <c r="W24" s="123">
        <v>42585</v>
      </c>
      <c r="X24" s="41">
        <v>13.5</v>
      </c>
      <c r="Y24" s="41">
        <v>13.56</v>
      </c>
      <c r="Z24" s="41">
        <v>13.23</v>
      </c>
      <c r="AA24" s="41">
        <v>13.52</v>
      </c>
      <c r="AB24" s="104">
        <v>3640900</v>
      </c>
      <c r="AC24" s="9">
        <v>13.52</v>
      </c>
      <c r="AD24" s="2">
        <f t="shared" si="1"/>
        <v>0.33000000000000007</v>
      </c>
      <c r="AE24" s="138">
        <f t="shared" si="2"/>
        <v>5.2044609665427011E-3</v>
      </c>
    </row>
    <row r="25" spans="2:42" x14ac:dyDescent="0.25">
      <c r="B25" s="475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74"/>
      <c r="H25" s="82"/>
      <c r="I25" s="79"/>
      <c r="J25" s="44"/>
      <c r="K25" s="44"/>
      <c r="W25" s="123">
        <v>42584</v>
      </c>
      <c r="X25" s="41">
        <v>13.29</v>
      </c>
      <c r="Y25" s="41">
        <v>13.5</v>
      </c>
      <c r="Z25" s="41">
        <v>13.2</v>
      </c>
      <c r="AA25" s="41">
        <v>13.45</v>
      </c>
      <c r="AB25" s="104">
        <v>5455800</v>
      </c>
      <c r="AC25" s="9">
        <v>13.45</v>
      </c>
      <c r="AD25" s="2">
        <f t="shared" si="1"/>
        <v>0.30000000000000071</v>
      </c>
      <c r="AE25" s="138">
        <f t="shared" si="2"/>
        <v>1.4892032762472418E-3</v>
      </c>
      <c r="AL25" s="234"/>
      <c r="AO25" s="234"/>
    </row>
    <row r="26" spans="2:42" x14ac:dyDescent="0.25">
      <c r="B26" s="475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74"/>
      <c r="H26" s="82"/>
      <c r="I26" s="79"/>
      <c r="J26" s="44"/>
      <c r="K26" s="44"/>
      <c r="W26" s="123">
        <v>42583</v>
      </c>
      <c r="X26" s="41">
        <v>13.67</v>
      </c>
      <c r="Y26" s="41">
        <v>13.73</v>
      </c>
      <c r="Z26" s="41">
        <v>13.35</v>
      </c>
      <c r="AA26" s="41">
        <v>13.43</v>
      </c>
      <c r="AB26" s="104">
        <v>5615500</v>
      </c>
      <c r="AC26" s="9">
        <v>13.43</v>
      </c>
      <c r="AD26" s="2">
        <f t="shared" si="1"/>
        <v>0.38000000000000078</v>
      </c>
      <c r="AE26" s="138">
        <f t="shared" si="2"/>
        <v>-2.2561863173216956E-2</v>
      </c>
    </row>
    <row r="27" spans="2:42" x14ac:dyDescent="0.25">
      <c r="B27" s="475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74"/>
      <c r="H27" s="7"/>
      <c r="I27" s="79"/>
      <c r="J27" s="44"/>
      <c r="K27" s="44"/>
      <c r="W27" s="123">
        <v>42580</v>
      </c>
      <c r="X27" s="41">
        <v>14.38</v>
      </c>
      <c r="Y27" s="41">
        <v>14.38</v>
      </c>
      <c r="Z27" s="41">
        <v>13.2</v>
      </c>
      <c r="AA27" s="41">
        <v>13.74</v>
      </c>
      <c r="AB27" s="104">
        <v>13208100</v>
      </c>
      <c r="AC27" s="9">
        <v>13.74</v>
      </c>
      <c r="AD27" s="2">
        <f t="shared" si="1"/>
        <v>1.1800000000000015</v>
      </c>
      <c r="AE27" s="138">
        <f t="shared" si="2"/>
        <v>-3.4434293745607913E-2</v>
      </c>
      <c r="AL27" s="234"/>
      <c r="AO27" s="234"/>
    </row>
    <row r="28" spans="2:42" x14ac:dyDescent="0.25">
      <c r="B28" s="475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74"/>
      <c r="H28" s="7"/>
      <c r="I28" s="79"/>
      <c r="J28" s="44"/>
      <c r="K28" s="44"/>
      <c r="W28" s="123">
        <v>42579</v>
      </c>
      <c r="X28" s="41">
        <v>14.06</v>
      </c>
      <c r="Y28" s="41">
        <v>14.43</v>
      </c>
      <c r="Z28" s="41">
        <v>13.96</v>
      </c>
      <c r="AA28" s="41">
        <v>14.23</v>
      </c>
      <c r="AB28" s="104">
        <v>3115600</v>
      </c>
      <c r="AC28" s="9">
        <v>14.23</v>
      </c>
      <c r="AD28" s="2">
        <f t="shared" si="1"/>
        <v>0.46999999999999886</v>
      </c>
      <c r="AE28" s="138">
        <f t="shared" si="2"/>
        <v>1.2091038406827792E-2</v>
      </c>
    </row>
    <row r="29" spans="2:42" x14ac:dyDescent="0.25">
      <c r="B29" s="475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74"/>
      <c r="H29" s="7"/>
      <c r="I29" s="79"/>
      <c r="J29" s="44"/>
      <c r="K29" s="44"/>
      <c r="W29" s="123">
        <v>42578</v>
      </c>
      <c r="X29" s="41">
        <v>14.79</v>
      </c>
      <c r="Y29" s="41">
        <v>14.87</v>
      </c>
      <c r="Z29" s="41">
        <v>14.02</v>
      </c>
      <c r="AA29" s="41">
        <v>14.06</v>
      </c>
      <c r="AB29" s="104">
        <v>4290300</v>
      </c>
      <c r="AC29" s="9">
        <v>14.06</v>
      </c>
      <c r="AD29" s="2">
        <f t="shared" si="1"/>
        <v>0.84999999999999964</v>
      </c>
      <c r="AE29" s="138">
        <f t="shared" si="2"/>
        <v>-4.6779661016949081E-2</v>
      </c>
    </row>
    <row r="30" spans="2:42" x14ac:dyDescent="0.25">
      <c r="B30" s="475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26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42577</v>
      </c>
      <c r="X30" s="41">
        <v>14.95</v>
      </c>
      <c r="Y30" s="41">
        <v>14.95</v>
      </c>
      <c r="Z30" s="41">
        <v>14.64</v>
      </c>
      <c r="AA30" s="41">
        <v>14.75</v>
      </c>
      <c r="AB30" s="104">
        <v>4581300</v>
      </c>
      <c r="AC30" s="9">
        <v>14.75</v>
      </c>
      <c r="AD30" s="2">
        <f t="shared" si="1"/>
        <v>0.30999999999999872</v>
      </c>
      <c r="AE30" s="138">
        <f t="shared" si="2"/>
        <v>4.0844111640572223E-3</v>
      </c>
    </row>
    <row r="31" spans="2:42" x14ac:dyDescent="0.25">
      <c r="B31" s="475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26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42576</v>
      </c>
      <c r="X31" s="41">
        <v>14.71</v>
      </c>
      <c r="Y31" s="41">
        <v>14.9</v>
      </c>
      <c r="Z31" s="41">
        <v>14.67</v>
      </c>
      <c r="AA31" s="41">
        <v>14.69</v>
      </c>
      <c r="AB31" s="104">
        <v>1580000</v>
      </c>
      <c r="AC31" s="9">
        <v>14.69</v>
      </c>
      <c r="AD31" s="2">
        <f t="shared" si="1"/>
        <v>0.23000000000000043</v>
      </c>
      <c r="AE31" s="138">
        <f t="shared" si="2"/>
        <v>-4.7425474254743083E-3</v>
      </c>
      <c r="AL31" s="234"/>
      <c r="AO31" s="234"/>
    </row>
    <row r="32" spans="2:42" x14ac:dyDescent="0.25">
      <c r="B32" s="475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26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42573</v>
      </c>
      <c r="X32" s="41">
        <v>14.68</v>
      </c>
      <c r="Y32" s="41">
        <v>14.95</v>
      </c>
      <c r="Z32" s="41">
        <v>14.57</v>
      </c>
      <c r="AA32" s="41">
        <v>14.76</v>
      </c>
      <c r="AB32" s="104">
        <v>1871600</v>
      </c>
      <c r="AC32" s="9">
        <v>14.76</v>
      </c>
      <c r="AD32" s="2">
        <f t="shared" si="1"/>
        <v>0.37999999999999901</v>
      </c>
      <c r="AE32" s="138">
        <f t="shared" si="2"/>
        <v>8.8858509911140526E-3</v>
      </c>
    </row>
    <row r="33" spans="2:41" x14ac:dyDescent="0.25">
      <c r="B33" s="475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26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42572</v>
      </c>
      <c r="X33" s="41">
        <v>14.46</v>
      </c>
      <c r="Y33" s="41">
        <v>14.9</v>
      </c>
      <c r="Z33" s="41">
        <v>14.46</v>
      </c>
      <c r="AA33" s="41">
        <v>14.63</v>
      </c>
      <c r="AB33" s="104">
        <v>3784600</v>
      </c>
      <c r="AC33" s="9">
        <v>14.63</v>
      </c>
      <c r="AD33" s="2">
        <f t="shared" si="1"/>
        <v>0.4399999999999995</v>
      </c>
      <c r="AE33" s="138">
        <f t="shared" si="2"/>
        <v>1.3860013860014009E-2</v>
      </c>
      <c r="AL33" s="234"/>
      <c r="AO33" s="234"/>
    </row>
    <row r="34" spans="2:41" x14ac:dyDescent="0.25">
      <c r="B34" s="475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26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42571</v>
      </c>
      <c r="X34" s="41">
        <v>14.55</v>
      </c>
      <c r="Y34" s="41">
        <v>14.72</v>
      </c>
      <c r="Z34" s="41">
        <v>14.25</v>
      </c>
      <c r="AA34" s="41">
        <v>14.43</v>
      </c>
      <c r="AB34" s="104">
        <v>3895900</v>
      </c>
      <c r="AC34" s="9">
        <v>14.43</v>
      </c>
      <c r="AD34" s="2">
        <f t="shared" si="1"/>
        <v>0.47000000000000064</v>
      </c>
      <c r="AE34" s="138">
        <f t="shared" si="2"/>
        <v>-4.1407867494824835E-3</v>
      </c>
    </row>
    <row r="35" spans="2:41" x14ac:dyDescent="0.25">
      <c r="B35" s="475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26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42570</v>
      </c>
      <c r="X35" s="41">
        <v>14.97</v>
      </c>
      <c r="Y35" s="41">
        <v>15.03</v>
      </c>
      <c r="Z35" s="41">
        <v>14.38</v>
      </c>
      <c r="AA35" s="41">
        <v>14.49</v>
      </c>
      <c r="AB35" s="104">
        <v>4010800</v>
      </c>
      <c r="AC35" s="9">
        <v>14.49</v>
      </c>
      <c r="AD35" s="2">
        <f t="shared" si="1"/>
        <v>0.64999999999999858</v>
      </c>
      <c r="AE35" s="138">
        <f t="shared" si="2"/>
        <v>-3.076923076923066E-2</v>
      </c>
      <c r="AL35" s="234"/>
      <c r="AO35" s="234"/>
    </row>
    <row r="36" spans="2:41" x14ac:dyDescent="0.25">
      <c r="B36" s="475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26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42569</v>
      </c>
      <c r="X36" s="41">
        <v>14.92</v>
      </c>
      <c r="Y36" s="41">
        <v>14.98</v>
      </c>
      <c r="Z36" s="41">
        <v>14.86</v>
      </c>
      <c r="AA36" s="41">
        <v>14.95</v>
      </c>
      <c r="AB36" s="104">
        <v>1613100</v>
      </c>
      <c r="AC36" s="9">
        <v>14.95</v>
      </c>
      <c r="AD36" s="2">
        <f t="shared" si="1"/>
        <v>0.12000000000000099</v>
      </c>
      <c r="AE36" s="138">
        <f t="shared" si="2"/>
        <v>2.0107238605897582E-3</v>
      </c>
    </row>
    <row r="37" spans="2:41" x14ac:dyDescent="0.25">
      <c r="B37" s="475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26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42566</v>
      </c>
      <c r="X37" s="41">
        <v>15.03</v>
      </c>
      <c r="Y37" s="41">
        <v>15.08</v>
      </c>
      <c r="Z37" s="41">
        <v>14.86</v>
      </c>
      <c r="AA37" s="41">
        <v>14.92</v>
      </c>
      <c r="AB37" s="104">
        <v>1353300</v>
      </c>
      <c r="AC37" s="9">
        <v>14.92</v>
      </c>
      <c r="AD37" s="2">
        <f t="shared" si="1"/>
        <v>0.22000000000000064</v>
      </c>
      <c r="AE37" s="138">
        <f t="shared" si="2"/>
        <v>-5.3333333333333011E-3</v>
      </c>
    </row>
    <row r="38" spans="2:41" x14ac:dyDescent="0.25">
      <c r="B38" s="475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26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42565</v>
      </c>
      <c r="X38" s="41">
        <v>15.02</v>
      </c>
      <c r="Y38" s="41">
        <v>15.11</v>
      </c>
      <c r="Z38" s="41">
        <v>14.84</v>
      </c>
      <c r="AA38" s="41">
        <v>15</v>
      </c>
      <c r="AB38" s="104">
        <v>2145600</v>
      </c>
      <c r="AC38" s="9">
        <v>15</v>
      </c>
      <c r="AD38" s="2">
        <f t="shared" si="1"/>
        <v>0.26999999999999957</v>
      </c>
      <c r="AE38" s="138">
        <f t="shared" si="2"/>
        <v>-1.3315579227696217E-3</v>
      </c>
    </row>
    <row r="39" spans="2:41" x14ac:dyDescent="0.25">
      <c r="B39" s="475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26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42564</v>
      </c>
      <c r="X39" s="41">
        <v>15.04</v>
      </c>
      <c r="Y39" s="41">
        <v>15.09</v>
      </c>
      <c r="Z39" s="41">
        <v>14.81</v>
      </c>
      <c r="AA39" s="41">
        <v>15.02</v>
      </c>
      <c r="AB39" s="104">
        <v>1867100</v>
      </c>
      <c r="AC39" s="9">
        <v>15.02</v>
      </c>
      <c r="AD39" s="2">
        <f t="shared" si="1"/>
        <v>0.27999999999999936</v>
      </c>
      <c r="AE39" s="138">
        <f t="shared" si="2"/>
        <v>2.6702269692924219E-3</v>
      </c>
    </row>
    <row r="40" spans="2:41" x14ac:dyDescent="0.25">
      <c r="B40" s="475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26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42563</v>
      </c>
      <c r="X40" s="41">
        <v>14.81</v>
      </c>
      <c r="Y40" s="41">
        <v>15.12</v>
      </c>
      <c r="Z40" s="41">
        <v>14.81</v>
      </c>
      <c r="AA40" s="41">
        <v>14.98</v>
      </c>
      <c r="AB40" s="104">
        <v>3502200</v>
      </c>
      <c r="AC40" s="9">
        <v>14.98</v>
      </c>
      <c r="AD40" s="2">
        <f t="shared" si="1"/>
        <v>0.30999999999999872</v>
      </c>
      <c r="AE40" s="138">
        <f t="shared" si="2"/>
        <v>1.6972165648336812E-2</v>
      </c>
    </row>
    <row r="41" spans="2:41" x14ac:dyDescent="0.25">
      <c r="B41" s="475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26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42562</v>
      </c>
      <c r="X41" s="41">
        <v>14.51</v>
      </c>
      <c r="Y41" s="41">
        <v>14.76</v>
      </c>
      <c r="Z41" s="41">
        <v>14.5</v>
      </c>
      <c r="AA41" s="41">
        <v>14.73</v>
      </c>
      <c r="AB41" s="104">
        <v>1911100</v>
      </c>
      <c r="AC41" s="9">
        <v>14.73</v>
      </c>
      <c r="AD41" s="2">
        <f t="shared" si="1"/>
        <v>0.25999999999999979</v>
      </c>
      <c r="AE41" s="138">
        <f t="shared" si="2"/>
        <v>1.5161957270847681E-2</v>
      </c>
      <c r="AL41" s="234"/>
      <c r="AO41" s="234"/>
    </row>
    <row r="42" spans="2:41" ht="20.25" thickBot="1" x14ac:dyDescent="0.35">
      <c r="B42" s="475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26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7" t="s">
        <v>78</v>
      </c>
      <c r="P42" s="377"/>
      <c r="T42" s="105" t="s">
        <v>92</v>
      </c>
      <c r="U42" s="109"/>
      <c r="W42" s="123">
        <v>42559</v>
      </c>
      <c r="X42" s="41">
        <v>14.33</v>
      </c>
      <c r="Y42" s="41">
        <v>14.52</v>
      </c>
      <c r="Z42" s="41">
        <v>14.25</v>
      </c>
      <c r="AA42" s="41">
        <v>14.51</v>
      </c>
      <c r="AB42" s="104">
        <v>4171200</v>
      </c>
      <c r="AC42" s="9">
        <v>14.51</v>
      </c>
      <c r="AD42" s="2">
        <f t="shared" si="1"/>
        <v>0.26999999999999957</v>
      </c>
      <c r="AE42" s="138">
        <f t="shared" si="2"/>
        <v>1.9676739283204459E-2</v>
      </c>
    </row>
    <row r="43" spans="2:41" ht="15.75" thickTop="1" x14ac:dyDescent="0.25">
      <c r="B43" s="475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26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13.992000000000003</v>
      </c>
      <c r="T43" s="108" t="s">
        <v>98</v>
      </c>
      <c r="U43" s="106">
        <v>12.13</v>
      </c>
      <c r="W43" s="123">
        <v>42558</v>
      </c>
      <c r="X43" s="41">
        <v>14.34</v>
      </c>
      <c r="Y43" s="41">
        <v>14.54</v>
      </c>
      <c r="Z43" s="41">
        <v>14.12</v>
      </c>
      <c r="AA43" s="41">
        <v>14.23</v>
      </c>
      <c r="AB43" s="104">
        <v>1888700</v>
      </c>
      <c r="AC43" s="9">
        <v>14.23</v>
      </c>
      <c r="AD43" s="2">
        <f t="shared" si="1"/>
        <v>0.41999999999999993</v>
      </c>
      <c r="AE43" s="138">
        <f t="shared" si="2"/>
        <v>-6.9783670621074156E-3</v>
      </c>
    </row>
    <row r="44" spans="2:41" x14ac:dyDescent="0.25">
      <c r="B44" s="475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26">
        <v>42361</v>
      </c>
      <c r="H44" s="185">
        <v>200</v>
      </c>
      <c r="I44" s="240">
        <v>12.77</v>
      </c>
      <c r="J44" s="3">
        <v>0</v>
      </c>
      <c r="K44" s="3">
        <f t="shared" si="6"/>
        <v>2554</v>
      </c>
      <c r="O44" s="83">
        <v>1.0900000000000001</v>
      </c>
      <c r="P44" s="83">
        <f t="shared" ref="P44:P63" si="8">O44*$Q$4</f>
        <v>13.864800000000002</v>
      </c>
      <c r="T44" s="108" t="s">
        <v>99</v>
      </c>
      <c r="U44" s="106">
        <v>12.22</v>
      </c>
      <c r="W44" s="123">
        <v>42557</v>
      </c>
      <c r="X44" s="41">
        <v>14.28</v>
      </c>
      <c r="Y44" s="41">
        <v>14.47</v>
      </c>
      <c r="Z44" s="41">
        <v>14.17</v>
      </c>
      <c r="AA44" s="41">
        <v>14.33</v>
      </c>
      <c r="AB44" s="104">
        <v>3976500</v>
      </c>
      <c r="AC44" s="9">
        <v>14.33</v>
      </c>
      <c r="AD44" s="2">
        <f t="shared" si="1"/>
        <v>0.30000000000000071</v>
      </c>
      <c r="AE44" s="138">
        <f t="shared" si="2"/>
        <v>1.3976240391333494E-3</v>
      </c>
    </row>
    <row r="45" spans="2:41" x14ac:dyDescent="0.25">
      <c r="B45" s="475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26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13.737600000000002</v>
      </c>
      <c r="Q45" s="2"/>
      <c r="T45" s="108" t="s">
        <v>100</v>
      </c>
      <c r="U45" s="106" t="s">
        <v>387</v>
      </c>
      <c r="W45" s="123">
        <v>42556</v>
      </c>
      <c r="X45" s="41">
        <v>14.61</v>
      </c>
      <c r="Y45" s="41">
        <v>14.61</v>
      </c>
      <c r="Z45" s="41">
        <v>14.1</v>
      </c>
      <c r="AA45" s="41">
        <v>14.31</v>
      </c>
      <c r="AB45" s="104">
        <v>3317600</v>
      </c>
      <c r="AC45" s="9">
        <v>14.31</v>
      </c>
      <c r="AD45" s="2">
        <f t="shared" si="1"/>
        <v>0.50999999999999979</v>
      </c>
      <c r="AE45" s="138">
        <f t="shared" si="2"/>
        <v>-2.7192386131883128E-2</v>
      </c>
      <c r="AL45" s="234"/>
      <c r="AO45" s="234"/>
    </row>
    <row r="46" spans="2:41" x14ac:dyDescent="0.25">
      <c r="B46" s="475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26">
        <v>42361</v>
      </c>
      <c r="H46" s="82"/>
      <c r="I46" s="79"/>
      <c r="J46" s="44"/>
      <c r="K46" s="44"/>
      <c r="O46" s="83">
        <v>1.07</v>
      </c>
      <c r="P46" s="83">
        <f t="shared" si="8"/>
        <v>13.610400000000002</v>
      </c>
      <c r="Q46" s="2"/>
      <c r="T46" s="108" t="s">
        <v>101</v>
      </c>
      <c r="U46" s="106" t="s">
        <v>388</v>
      </c>
      <c r="W46" s="123">
        <v>42552</v>
      </c>
      <c r="X46" s="41">
        <v>14.81</v>
      </c>
      <c r="Y46" s="41">
        <v>14.92</v>
      </c>
      <c r="Z46" s="41">
        <v>14.6</v>
      </c>
      <c r="AA46" s="41">
        <v>14.71</v>
      </c>
      <c r="AB46" s="104">
        <v>2653300</v>
      </c>
      <c r="AC46" s="9">
        <v>14.71</v>
      </c>
      <c r="AD46" s="2">
        <f t="shared" si="1"/>
        <v>0.32000000000000028</v>
      </c>
      <c r="AE46" s="138">
        <f t="shared" si="2"/>
        <v>-2.7118644067796183E-3</v>
      </c>
    </row>
    <row r="47" spans="2:41" x14ac:dyDescent="0.25">
      <c r="B47" s="549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26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13.483200000000002</v>
      </c>
      <c r="Q47" s="2"/>
      <c r="T47" s="108" t="s">
        <v>102</v>
      </c>
      <c r="U47" s="106">
        <v>17.73</v>
      </c>
      <c r="W47" s="123">
        <v>42551</v>
      </c>
      <c r="X47" s="41">
        <v>14.58</v>
      </c>
      <c r="Y47" s="41">
        <v>14.79</v>
      </c>
      <c r="Z47" s="41">
        <v>14.35</v>
      </c>
      <c r="AA47" s="41">
        <v>14.75</v>
      </c>
      <c r="AB47" s="104">
        <v>2825100</v>
      </c>
      <c r="AC47" s="9">
        <v>14.75</v>
      </c>
      <c r="AD47" s="2">
        <f t="shared" si="1"/>
        <v>0.4399999999999995</v>
      </c>
      <c r="AE47" s="138">
        <f t="shared" si="2"/>
        <v>1.1659807956104329E-2</v>
      </c>
    </row>
    <row r="48" spans="2:41" x14ac:dyDescent="0.25">
      <c r="B48" s="549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75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13.356000000000002</v>
      </c>
      <c r="Q48" s="2"/>
      <c r="T48" s="108" t="s">
        <v>103</v>
      </c>
      <c r="U48" s="106">
        <v>1.1791799999999999</v>
      </c>
      <c r="W48" s="123">
        <v>42550</v>
      </c>
      <c r="X48" s="41">
        <v>14.44</v>
      </c>
      <c r="Y48" s="41">
        <v>14.98</v>
      </c>
      <c r="Z48" s="41">
        <v>14.44</v>
      </c>
      <c r="AA48" s="41">
        <v>14.58</v>
      </c>
      <c r="AB48" s="104">
        <v>4448000</v>
      </c>
      <c r="AC48" s="9">
        <v>14.58</v>
      </c>
      <c r="AD48" s="2">
        <f t="shared" si="1"/>
        <v>0.54000000000000092</v>
      </c>
      <c r="AE48" s="138">
        <f t="shared" si="2"/>
        <v>2.5316455696202445E-2</v>
      </c>
    </row>
    <row r="49" spans="2:42" x14ac:dyDescent="0.25">
      <c r="B49" s="475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75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13.228800000000001</v>
      </c>
      <c r="Q49" s="2"/>
      <c r="T49" s="108" t="s">
        <v>123</v>
      </c>
      <c r="U49" s="106" t="s">
        <v>320</v>
      </c>
      <c r="W49" s="123">
        <v>42549</v>
      </c>
      <c r="X49" s="41">
        <v>13.52</v>
      </c>
      <c r="Y49" s="41">
        <v>14.28</v>
      </c>
      <c r="Z49" s="41">
        <v>13.52</v>
      </c>
      <c r="AA49" s="41">
        <v>14.22</v>
      </c>
      <c r="AB49" s="104">
        <v>4617200</v>
      </c>
      <c r="AC49" s="9">
        <v>14.22</v>
      </c>
      <c r="AD49" s="2">
        <f t="shared" si="1"/>
        <v>0.75999999999999979</v>
      </c>
      <c r="AE49" s="138">
        <f t="shared" si="2"/>
        <v>6.0402684563758413E-2</v>
      </c>
    </row>
    <row r="50" spans="2:42" x14ac:dyDescent="0.25">
      <c r="B50" s="475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75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13.101600000000001</v>
      </c>
      <c r="Q50" s="2"/>
      <c r="T50" s="108"/>
      <c r="U50" s="106"/>
      <c r="W50" s="123">
        <v>42548</v>
      </c>
      <c r="X50" s="41">
        <v>13.56</v>
      </c>
      <c r="Y50" s="41">
        <v>13.6</v>
      </c>
      <c r="Z50" s="41">
        <v>13.22</v>
      </c>
      <c r="AA50" s="41">
        <v>13.41</v>
      </c>
      <c r="AB50" s="104">
        <v>4363200</v>
      </c>
      <c r="AC50" s="9">
        <v>13.41</v>
      </c>
      <c r="AD50" s="2">
        <f t="shared" si="1"/>
        <v>0.37999999999999901</v>
      </c>
      <c r="AE50" s="138">
        <f t="shared" si="2"/>
        <v>-2.1167883211678729E-2</v>
      </c>
    </row>
    <row r="51" spans="2:42" x14ac:dyDescent="0.25">
      <c r="B51" s="475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75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12.974400000000001</v>
      </c>
      <c r="Q51" s="2"/>
      <c r="T51" s="108" t="s">
        <v>105</v>
      </c>
      <c r="U51" s="106" t="s">
        <v>389</v>
      </c>
      <c r="W51" s="123">
        <v>42545</v>
      </c>
      <c r="X51" s="41">
        <v>13.8</v>
      </c>
      <c r="Y51" s="41">
        <v>13.84</v>
      </c>
      <c r="Z51" s="41">
        <v>13.5</v>
      </c>
      <c r="AA51" s="41">
        <v>13.7</v>
      </c>
      <c r="AB51" s="104">
        <v>5813000</v>
      </c>
      <c r="AC51" s="9">
        <v>13.7</v>
      </c>
      <c r="AD51" s="2">
        <f t="shared" si="1"/>
        <v>0.33999999999999986</v>
      </c>
      <c r="AE51" s="138">
        <f t="shared" si="2"/>
        <v>-3.3850493653032498E-2</v>
      </c>
    </row>
    <row r="52" spans="2:42" x14ac:dyDescent="0.25">
      <c r="B52" s="475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75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12.847200000000001</v>
      </c>
      <c r="Q52" s="2"/>
      <c r="T52" s="108" t="s">
        <v>106</v>
      </c>
      <c r="U52" s="106" t="s">
        <v>365</v>
      </c>
      <c r="W52" s="123">
        <v>42544</v>
      </c>
      <c r="X52" s="41">
        <v>13.97</v>
      </c>
      <c r="Y52" s="41">
        <v>14.2</v>
      </c>
      <c r="Z52" s="41">
        <v>13.88</v>
      </c>
      <c r="AA52" s="41">
        <v>14.18</v>
      </c>
      <c r="AB52" s="104">
        <v>3124500</v>
      </c>
      <c r="AC52" s="9">
        <v>14.18</v>
      </c>
      <c r="AD52" s="2">
        <f t="shared" si="1"/>
        <v>0.31999999999999851</v>
      </c>
      <c r="AE52" s="138">
        <f t="shared" si="2"/>
        <v>2.8281363306744023E-2</v>
      </c>
    </row>
    <row r="53" spans="2:42" x14ac:dyDescent="0.25">
      <c r="B53" s="475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75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12.72</v>
      </c>
      <c r="Q53" s="2"/>
      <c r="T53" s="108" t="s">
        <v>107</v>
      </c>
      <c r="U53" s="107">
        <v>2269654</v>
      </c>
      <c r="W53" s="123">
        <v>42543</v>
      </c>
      <c r="X53" s="41">
        <v>14.14</v>
      </c>
      <c r="Y53" s="41">
        <v>14.16</v>
      </c>
      <c r="Z53" s="41">
        <v>13.75</v>
      </c>
      <c r="AA53" s="41">
        <v>13.79</v>
      </c>
      <c r="AB53" s="104">
        <v>4122400</v>
      </c>
      <c r="AC53" s="9">
        <v>13.79</v>
      </c>
      <c r="AD53" s="2">
        <f t="shared" si="1"/>
        <v>0.41000000000000014</v>
      </c>
      <c r="AE53" s="138">
        <f t="shared" si="2"/>
        <v>-2.2678951098511702E-2</v>
      </c>
      <c r="AL53" s="234"/>
      <c r="AO53" s="234"/>
    </row>
    <row r="54" spans="2:42" x14ac:dyDescent="0.25">
      <c r="B54" s="475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75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12.5928</v>
      </c>
      <c r="Q54" s="2"/>
      <c r="T54" s="108" t="s">
        <v>110</v>
      </c>
      <c r="U54" s="107">
        <v>3790030</v>
      </c>
      <c r="W54" s="123">
        <v>42542</v>
      </c>
      <c r="X54" s="41">
        <v>14.13</v>
      </c>
      <c r="Y54" s="41">
        <v>14.25</v>
      </c>
      <c r="Z54" s="41">
        <v>13.9</v>
      </c>
      <c r="AA54" s="41">
        <v>14.11</v>
      </c>
      <c r="AB54" s="104">
        <v>3132600</v>
      </c>
      <c r="AC54" s="9">
        <v>14.11</v>
      </c>
      <c r="AD54" s="2">
        <f t="shared" si="1"/>
        <v>0.34999999999999964</v>
      </c>
      <c r="AE54" s="138">
        <f t="shared" si="2"/>
        <v>-2.1216407355022504E-3</v>
      </c>
    </row>
    <row r="55" spans="2:42" x14ac:dyDescent="0.25">
      <c r="B55" s="475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75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12.4656</v>
      </c>
      <c r="T55" s="108" t="s">
        <v>108</v>
      </c>
      <c r="U55" s="106" t="s">
        <v>390</v>
      </c>
      <c r="W55" s="123">
        <v>42541</v>
      </c>
      <c r="X55" s="41">
        <v>14.26</v>
      </c>
      <c r="Y55" s="41">
        <v>14.69</v>
      </c>
      <c r="Z55" s="41">
        <v>14.09</v>
      </c>
      <c r="AA55" s="41">
        <v>14.14</v>
      </c>
      <c r="AB55" s="104">
        <v>4080200</v>
      </c>
      <c r="AC55" s="9">
        <v>14.14</v>
      </c>
      <c r="AD55" s="2">
        <f t="shared" si="1"/>
        <v>0.59999999999999964</v>
      </c>
      <c r="AE55" s="138">
        <f t="shared" si="2"/>
        <v>-7.0224719101122934E-3</v>
      </c>
    </row>
    <row r="56" spans="2:42" x14ac:dyDescent="0.25">
      <c r="B56" s="475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75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12.3384</v>
      </c>
      <c r="T56" s="108" t="s">
        <v>111</v>
      </c>
      <c r="U56" s="106" t="s">
        <v>130</v>
      </c>
      <c r="W56" s="123">
        <v>42538</v>
      </c>
      <c r="X56" s="41">
        <v>13.81</v>
      </c>
      <c r="Y56" s="41">
        <v>14.26</v>
      </c>
      <c r="Z56" s="41">
        <v>13.76</v>
      </c>
      <c r="AA56" s="41">
        <v>14.24</v>
      </c>
      <c r="AB56" s="104">
        <v>3710400</v>
      </c>
      <c r="AC56" s="9">
        <v>14.24</v>
      </c>
      <c r="AD56" s="2">
        <f t="shared" si="1"/>
        <v>0.5</v>
      </c>
      <c r="AE56" s="138">
        <f t="shared" si="2"/>
        <v>3.5636363636363688E-2</v>
      </c>
    </row>
    <row r="57" spans="2:42" x14ac:dyDescent="0.25">
      <c r="B57" s="475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75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12.2112</v>
      </c>
      <c r="T57" s="108" t="s">
        <v>112</v>
      </c>
      <c r="U57" s="106">
        <v>0</v>
      </c>
      <c r="W57" s="123">
        <v>42537</v>
      </c>
      <c r="X57" s="41">
        <v>13.37</v>
      </c>
      <c r="Y57" s="41">
        <v>13.86</v>
      </c>
      <c r="Z57" s="41">
        <v>13.32</v>
      </c>
      <c r="AA57" s="41">
        <v>13.75</v>
      </c>
      <c r="AB57" s="104">
        <v>3775800</v>
      </c>
      <c r="AC57" s="9">
        <v>13.75</v>
      </c>
      <c r="AD57" s="2">
        <f t="shared" si="1"/>
        <v>0.53999999999999915</v>
      </c>
      <c r="AE57" s="138">
        <f t="shared" si="2"/>
        <v>1.4011799410029502E-2</v>
      </c>
      <c r="AL57" s="234"/>
      <c r="AO57" s="234"/>
    </row>
    <row r="58" spans="2:42" x14ac:dyDescent="0.25">
      <c r="B58" s="475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75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12.084</v>
      </c>
      <c r="T58" s="108" t="s">
        <v>109</v>
      </c>
      <c r="U58" s="106" t="s">
        <v>124</v>
      </c>
      <c r="W58" s="123">
        <v>42536</v>
      </c>
      <c r="X58" s="41">
        <v>13.81</v>
      </c>
      <c r="Y58" s="41">
        <v>13.96</v>
      </c>
      <c r="Z58" s="41">
        <v>13.53</v>
      </c>
      <c r="AA58" s="41">
        <v>13.56</v>
      </c>
      <c r="AB58" s="104">
        <v>3352400</v>
      </c>
      <c r="AC58" s="9">
        <v>13.56</v>
      </c>
      <c r="AD58" s="2">
        <f t="shared" si="1"/>
        <v>0.43000000000000149</v>
      </c>
      <c r="AE58" s="138">
        <f t="shared" si="2"/>
        <v>-2.3054755043227737E-2</v>
      </c>
    </row>
    <row r="59" spans="2:42" x14ac:dyDescent="0.25">
      <c r="B59" s="475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74"/>
      <c r="H59" s="7"/>
      <c r="I59" s="79"/>
      <c r="J59" s="44"/>
      <c r="K59" s="44"/>
      <c r="O59" s="83">
        <v>0.94</v>
      </c>
      <c r="P59" s="83">
        <f t="shared" si="8"/>
        <v>11.956799999999999</v>
      </c>
      <c r="W59" s="123">
        <v>42535</v>
      </c>
      <c r="X59" s="41">
        <v>14.24</v>
      </c>
      <c r="Y59" s="41">
        <v>14.37</v>
      </c>
      <c r="Z59" s="41">
        <v>13.62</v>
      </c>
      <c r="AA59" s="41">
        <v>13.88</v>
      </c>
      <c r="AB59" s="104">
        <v>7535700</v>
      </c>
      <c r="AC59" s="9">
        <v>13.88</v>
      </c>
      <c r="AD59" s="2">
        <f t="shared" si="1"/>
        <v>0.75</v>
      </c>
      <c r="AE59" s="138">
        <f t="shared" si="2"/>
        <v>-2.5964912280701746E-2</v>
      </c>
      <c r="AL59" s="234"/>
    </row>
    <row r="60" spans="2:42" x14ac:dyDescent="0.25">
      <c r="B60" s="475">
        <v>42530</v>
      </c>
      <c r="C60" s="4">
        <v>20</v>
      </c>
      <c r="D60" s="240">
        <v>15.44</v>
      </c>
      <c r="E60" s="3">
        <v>0</v>
      </c>
      <c r="F60" s="3">
        <f t="shared" si="7"/>
        <v>308.8</v>
      </c>
      <c r="G60" s="475">
        <v>42538</v>
      </c>
      <c r="H60" s="82">
        <v>480</v>
      </c>
      <c r="I60" s="79">
        <v>14.18</v>
      </c>
      <c r="J60" s="44">
        <v>0.15</v>
      </c>
      <c r="K60" s="44">
        <f t="shared" ref="K60:K66" si="10">H60*I60-J60</f>
        <v>6806.25</v>
      </c>
      <c r="O60" s="83">
        <v>0.93</v>
      </c>
      <c r="P60" s="83">
        <f t="shared" si="8"/>
        <v>11.829600000000001</v>
      </c>
      <c r="W60" s="123">
        <v>42534</v>
      </c>
      <c r="X60" s="41">
        <v>14.34</v>
      </c>
      <c r="Y60" s="41">
        <v>14.58</v>
      </c>
      <c r="Z60" s="41">
        <v>14.13</v>
      </c>
      <c r="AA60" s="41">
        <v>14.25</v>
      </c>
      <c r="AB60" s="104">
        <v>6731700</v>
      </c>
      <c r="AC60" s="9">
        <v>14.25</v>
      </c>
      <c r="AD60" s="2">
        <f t="shared" si="1"/>
        <v>0.44999999999999929</v>
      </c>
      <c r="AE60" s="138">
        <f t="shared" si="2"/>
        <v>-1.7918676774638209E-2</v>
      </c>
    </row>
    <row r="61" spans="2:42" x14ac:dyDescent="0.25">
      <c r="B61" s="475">
        <v>42535</v>
      </c>
      <c r="C61" s="7">
        <v>480</v>
      </c>
      <c r="D61" s="79">
        <v>13.95</v>
      </c>
      <c r="E61" s="44">
        <v>0</v>
      </c>
      <c r="F61" s="44">
        <f t="shared" ref="F61:F76" si="11">C61*D61+E61</f>
        <v>6696</v>
      </c>
      <c r="G61" s="475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11.702400000000001</v>
      </c>
      <c r="W61" s="123">
        <v>42531</v>
      </c>
      <c r="X61" s="41">
        <v>15.28</v>
      </c>
      <c r="Y61" s="41">
        <v>15.38</v>
      </c>
      <c r="Z61" s="41">
        <v>14.48</v>
      </c>
      <c r="AA61" s="41">
        <v>14.51</v>
      </c>
      <c r="AB61" s="104">
        <v>6048400</v>
      </c>
      <c r="AC61" s="9">
        <v>14.51</v>
      </c>
      <c r="AD61" s="2">
        <f t="shared" si="1"/>
        <v>0.90000000000000036</v>
      </c>
      <c r="AE61" s="138">
        <f t="shared" si="2"/>
        <v>-6.9871794871794846E-2</v>
      </c>
      <c r="AL61" s="234"/>
      <c r="AO61" s="234"/>
    </row>
    <row r="62" spans="2:42" x14ac:dyDescent="0.25">
      <c r="B62" s="475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75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11.575200000000001</v>
      </c>
      <c r="W62" s="123">
        <v>42530</v>
      </c>
      <c r="X62" s="41">
        <v>15.63</v>
      </c>
      <c r="Y62" s="41">
        <v>15.73</v>
      </c>
      <c r="Z62" s="41">
        <v>15.43</v>
      </c>
      <c r="AA62" s="41">
        <v>15.6</v>
      </c>
      <c r="AB62" s="104">
        <v>2905600</v>
      </c>
      <c r="AC62" s="9">
        <v>15.6</v>
      </c>
      <c r="AD62" s="2">
        <f t="shared" si="1"/>
        <v>0.30000000000000071</v>
      </c>
      <c r="AE62" s="138">
        <f t="shared" si="2"/>
        <v>-1.5772870662460581E-2</v>
      </c>
    </row>
    <row r="63" spans="2:42" x14ac:dyDescent="0.25">
      <c r="B63" s="475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75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11.448</v>
      </c>
      <c r="W63" s="123">
        <v>42529</v>
      </c>
      <c r="X63" s="41">
        <v>15.98</v>
      </c>
      <c r="Y63" s="41">
        <v>16.07</v>
      </c>
      <c r="Z63" s="41">
        <v>15.83</v>
      </c>
      <c r="AA63" s="41">
        <v>15.85</v>
      </c>
      <c r="AB63" s="104">
        <v>2208300</v>
      </c>
      <c r="AC63" s="9">
        <v>15.85</v>
      </c>
      <c r="AD63" s="2">
        <f t="shared" si="1"/>
        <v>0.24000000000000021</v>
      </c>
      <c r="AE63" s="138">
        <f t="shared" si="2"/>
        <v>-6.3051702395966469E-4</v>
      </c>
      <c r="AL63" s="234"/>
      <c r="AO63" s="234"/>
      <c r="AP63" s="234"/>
    </row>
    <row r="64" spans="2:42" ht="15" customHeight="1" x14ac:dyDescent="0.25">
      <c r="B64" s="475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75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42528</v>
      </c>
      <c r="X64" s="41">
        <v>15.96</v>
      </c>
      <c r="Y64" s="41">
        <v>16.04</v>
      </c>
      <c r="Z64" s="41">
        <v>15.73</v>
      </c>
      <c r="AA64" s="41">
        <v>15.86</v>
      </c>
      <c r="AB64" s="104">
        <v>2230500</v>
      </c>
      <c r="AC64" s="9">
        <v>15.86</v>
      </c>
      <c r="AD64" s="2">
        <f t="shared" si="1"/>
        <v>0.30999999999999872</v>
      </c>
      <c r="AE64" s="138">
        <f t="shared" si="2"/>
        <v>-8.7500000000000355E-3</v>
      </c>
    </row>
    <row r="65" spans="1:41" ht="16.5" customHeight="1" x14ac:dyDescent="0.25">
      <c r="A65" s="557" t="s">
        <v>316</v>
      </c>
      <c r="B65" s="475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75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42527</v>
      </c>
      <c r="X65" s="41">
        <v>15.44</v>
      </c>
      <c r="Y65" s="41">
        <v>16.03</v>
      </c>
      <c r="Z65" s="41">
        <v>15.39</v>
      </c>
      <c r="AA65" s="41">
        <v>16</v>
      </c>
      <c r="AB65" s="104">
        <v>5231600</v>
      </c>
      <c r="AC65" s="9">
        <v>16</v>
      </c>
      <c r="AD65" s="2">
        <f t="shared" si="1"/>
        <v>0.64000000000000057</v>
      </c>
      <c r="AE65" s="138">
        <f t="shared" si="2"/>
        <v>4.5751633986928164E-2</v>
      </c>
      <c r="AL65" s="234"/>
      <c r="AO65" s="234"/>
    </row>
    <row r="66" spans="1:41" x14ac:dyDescent="0.25">
      <c r="A66" s="557"/>
      <c r="B66" s="74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75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42524</v>
      </c>
      <c r="X66" s="41">
        <v>15.41</v>
      </c>
      <c r="Y66" s="41">
        <v>15.46</v>
      </c>
      <c r="Z66" s="41">
        <v>14.97</v>
      </c>
      <c r="AA66" s="41">
        <v>15.3</v>
      </c>
      <c r="AB66" s="104">
        <v>2280200</v>
      </c>
      <c r="AC66" s="9">
        <v>15.3</v>
      </c>
      <c r="AD66" s="2">
        <f t="shared" si="1"/>
        <v>0.49000000000000021</v>
      </c>
      <c r="AE66" s="138">
        <f t="shared" si="2"/>
        <v>7.2416063199474134E-3</v>
      </c>
    </row>
    <row r="67" spans="1:41" ht="17.25" customHeight="1" x14ac:dyDescent="0.25">
      <c r="A67" s="557"/>
      <c r="B67" s="74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H67" s="185"/>
      <c r="W67" s="123">
        <v>42523</v>
      </c>
      <c r="X67" s="41">
        <v>15.06</v>
      </c>
      <c r="Y67" s="41">
        <v>15.42</v>
      </c>
      <c r="Z67" s="41">
        <v>15.04</v>
      </c>
      <c r="AA67" s="41">
        <v>15.19</v>
      </c>
      <c r="AB67" s="104">
        <v>2293400</v>
      </c>
      <c r="AC67" s="9">
        <v>15.19</v>
      </c>
      <c r="AD67" s="2">
        <f>Y67-Z67</f>
        <v>0.38000000000000078</v>
      </c>
      <c r="AE67" s="138" t="e">
        <f>AC67/AC68-1</f>
        <v>#DIV/0!</v>
      </c>
      <c r="AL67" s="234"/>
    </row>
    <row r="68" spans="1:41" ht="18" customHeight="1" x14ac:dyDescent="0.25">
      <c r="A68" s="556" t="s">
        <v>356</v>
      </c>
      <c r="B68" s="74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W68" s="123" t="s">
        <v>122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556"/>
      <c r="B69" s="529">
        <v>42590</v>
      </c>
      <c r="C69" s="7">
        <v>500</v>
      </c>
      <c r="D69" s="79">
        <v>13.05</v>
      </c>
      <c r="E69" s="44">
        <v>0</v>
      </c>
      <c r="F69" s="44">
        <f t="shared" si="11"/>
        <v>6525</v>
      </c>
      <c r="O69" s="2"/>
    </row>
    <row r="70" spans="1:41" x14ac:dyDescent="0.25">
      <c r="A70" s="556"/>
      <c r="B70" s="529">
        <v>42591</v>
      </c>
      <c r="C70" s="7">
        <v>200</v>
      </c>
      <c r="D70" s="79">
        <v>12.76</v>
      </c>
      <c r="E70" s="44">
        <v>0</v>
      </c>
      <c r="F70" s="44">
        <f t="shared" si="11"/>
        <v>2552</v>
      </c>
    </row>
    <row r="71" spans="1:41" x14ac:dyDescent="0.25">
      <c r="A71" s="556"/>
      <c r="B71" s="529">
        <v>42591</v>
      </c>
      <c r="C71" s="7">
        <v>300</v>
      </c>
      <c r="D71" s="79">
        <v>12.62</v>
      </c>
      <c r="E71" s="44">
        <v>0</v>
      </c>
      <c r="F71" s="44">
        <f t="shared" si="11"/>
        <v>3785.9999999999995</v>
      </c>
    </row>
    <row r="72" spans="1:41" ht="15" customHeight="1" x14ac:dyDescent="0.25">
      <c r="A72" s="556"/>
      <c r="B72" s="529">
        <v>42601</v>
      </c>
      <c r="C72" s="7">
        <v>500</v>
      </c>
      <c r="D72" s="79">
        <v>12.28</v>
      </c>
      <c r="E72" s="44">
        <v>0</v>
      </c>
      <c r="F72" s="44">
        <f t="shared" si="11"/>
        <v>6140</v>
      </c>
    </row>
    <row r="73" spans="1:41" x14ac:dyDescent="0.25">
      <c r="A73" s="556"/>
      <c r="B73" s="529">
        <v>42604</v>
      </c>
      <c r="C73" s="7">
        <v>500</v>
      </c>
      <c r="D73" s="79">
        <v>12.08</v>
      </c>
      <c r="E73" s="44">
        <v>0</v>
      </c>
      <c r="F73" s="44">
        <f t="shared" si="11"/>
        <v>6040</v>
      </c>
    </row>
    <row r="74" spans="1:41" x14ac:dyDescent="0.25">
      <c r="B74" s="529">
        <v>42605</v>
      </c>
      <c r="C74" s="7">
        <v>500</v>
      </c>
      <c r="D74" s="79">
        <v>12.55</v>
      </c>
      <c r="E74" s="44">
        <v>0</v>
      </c>
      <c r="F74" s="44">
        <f t="shared" si="11"/>
        <v>6275</v>
      </c>
    </row>
    <row r="75" spans="1:41" x14ac:dyDescent="0.25">
      <c r="B75" s="529">
        <v>42608</v>
      </c>
      <c r="C75" s="7">
        <v>500</v>
      </c>
      <c r="D75" s="79">
        <v>12.62</v>
      </c>
      <c r="E75" s="44">
        <v>0</v>
      </c>
      <c r="F75" s="44">
        <f t="shared" si="11"/>
        <v>6310</v>
      </c>
    </row>
    <row r="76" spans="1:41" x14ac:dyDescent="0.25">
      <c r="B76" s="529">
        <v>42612</v>
      </c>
      <c r="C76" s="7">
        <v>200</v>
      </c>
      <c r="D76" s="79">
        <v>12.38</v>
      </c>
      <c r="E76" s="44">
        <v>0</v>
      </c>
      <c r="F76" s="44">
        <f t="shared" si="11"/>
        <v>2476</v>
      </c>
    </row>
    <row r="77" spans="1:41" ht="15" customHeight="1" x14ac:dyDescent="0.25"/>
    <row r="79" spans="1:41" x14ac:dyDescent="0.25">
      <c r="C79" s="4"/>
      <c r="D79" s="240"/>
      <c r="E79" s="3"/>
      <c r="F79" s="3"/>
    </row>
    <row r="80" spans="1:41" ht="15" customHeight="1" x14ac:dyDescent="0.25">
      <c r="A80" s="32" t="s">
        <v>81</v>
      </c>
      <c r="B80" s="14"/>
      <c r="C80" s="14">
        <f>SUM(C2:C79)</f>
        <v>32205</v>
      </c>
      <c r="D80" s="81"/>
      <c r="E80" s="14"/>
      <c r="F80" s="18">
        <f>SUM(F2:F79)</f>
        <v>474837.52000000008</v>
      </c>
      <c r="G80" s="14"/>
      <c r="H80" s="14">
        <f>SUM(H2:H79)</f>
        <v>27705</v>
      </c>
      <c r="I80" s="81"/>
      <c r="J80" s="14"/>
      <c r="K80" s="18">
        <f>SUM(K2:K79)</f>
        <v>392789.99000000005</v>
      </c>
      <c r="L80" s="14"/>
      <c r="M80" s="14"/>
    </row>
    <row r="81" spans="1:13" ht="15.75" thickBot="1" x14ac:dyDescent="0.3">
      <c r="A81" s="359" t="s">
        <v>204</v>
      </c>
      <c r="B81" s="360"/>
      <c r="C81" s="361">
        <f>SumByColor($A$81,C2:C79)</f>
        <v>27505</v>
      </c>
      <c r="D81" s="361"/>
      <c r="E81" s="361"/>
      <c r="F81" s="362">
        <f>SumByColor($A$81,F2:F79)</f>
        <v>389940</v>
      </c>
      <c r="G81" s="361"/>
      <c r="H81" s="361">
        <f>SumByColor($A$81,H2:H79)</f>
        <v>27505</v>
      </c>
      <c r="I81" s="361"/>
      <c r="J81" s="361"/>
      <c r="K81" s="362">
        <f>SumByColor($A$81,K2:K79)</f>
        <v>390237</v>
      </c>
      <c r="L81" s="361"/>
      <c r="M81" s="362">
        <f>SumByColor($A$81,M2:M79)</f>
        <v>0</v>
      </c>
    </row>
    <row r="83" spans="1:13" ht="15" customHeight="1" x14ac:dyDescent="0.25"/>
    <row r="85" spans="1:13" x14ac:dyDescent="0.25">
      <c r="B85" s="191" t="s">
        <v>114</v>
      </c>
      <c r="C85" s="191" t="s">
        <v>150</v>
      </c>
      <c r="D85" s="199" t="s">
        <v>149</v>
      </c>
      <c r="E85" s="195" t="s">
        <v>151</v>
      </c>
      <c r="F85" s="195" t="s">
        <v>65</v>
      </c>
      <c r="G85" s="229" t="s">
        <v>155</v>
      </c>
      <c r="H85" s="195" t="s">
        <v>88</v>
      </c>
      <c r="I85" s="241" t="s">
        <v>155</v>
      </c>
    </row>
    <row r="86" spans="1:13" ht="15" customHeight="1" x14ac:dyDescent="0.25">
      <c r="B86" s="193">
        <v>42304</v>
      </c>
      <c r="C86" s="10">
        <v>5530</v>
      </c>
      <c r="D86" s="200">
        <v>17.41</v>
      </c>
      <c r="E86" s="40">
        <v>14.61</v>
      </c>
      <c r="F86" s="40">
        <f>C86*(E86-D86)</f>
        <v>-15484.000000000004</v>
      </c>
      <c r="G86" s="40">
        <f>IF(C86=0, 0,D86*C86)</f>
        <v>96277.3</v>
      </c>
      <c r="H86" s="232">
        <f>IF(C86=0, D86, (E86-D86)/D86)</f>
        <v>-0.16082711085583001</v>
      </c>
      <c r="I86" s="200"/>
    </row>
    <row r="87" spans="1:13" x14ac:dyDescent="0.25">
      <c r="B87" s="193">
        <v>42306</v>
      </c>
      <c r="C87" s="10">
        <v>5530</v>
      </c>
      <c r="D87" s="200">
        <v>17.41</v>
      </c>
      <c r="E87" s="40">
        <v>14.94</v>
      </c>
      <c r="F87" s="40">
        <f t="shared" ref="F87:F128" si="12">C87*(E87-D87)</f>
        <v>-13659.100000000004</v>
      </c>
      <c r="G87" s="40">
        <f t="shared" ref="G87:G128" si="13">IF(C87=0, 0,D87*C87)</f>
        <v>96277.3</v>
      </c>
      <c r="H87" s="232">
        <f t="shared" ref="H87:H128" si="14">IF(C87=0, D87, (E87-D87)/D87)</f>
        <v>-0.14187248707639291</v>
      </c>
      <c r="I87" s="200"/>
    </row>
    <row r="88" spans="1:13" x14ac:dyDescent="0.25">
      <c r="B88" s="193">
        <v>42307</v>
      </c>
      <c r="C88" s="10">
        <v>5730</v>
      </c>
      <c r="D88" s="200">
        <v>17.329999999999998</v>
      </c>
      <c r="E88" s="40">
        <v>15.51</v>
      </c>
      <c r="F88" s="40">
        <f t="shared" si="12"/>
        <v>-10428.599999999991</v>
      </c>
      <c r="G88" s="40">
        <f t="shared" si="13"/>
        <v>99300.9</v>
      </c>
      <c r="H88" s="232">
        <f t="shared" si="14"/>
        <v>-0.10502019619157522</v>
      </c>
      <c r="I88" s="200"/>
    </row>
    <row r="89" spans="1:13" ht="15" customHeight="1" x14ac:dyDescent="0.25">
      <c r="B89" s="193">
        <v>42313</v>
      </c>
      <c r="C89" s="10">
        <v>6000</v>
      </c>
      <c r="D89" s="200">
        <v>17.22</v>
      </c>
      <c r="E89" s="40">
        <v>14.88</v>
      </c>
      <c r="F89" s="40">
        <f t="shared" si="12"/>
        <v>-14039.999999999989</v>
      </c>
      <c r="G89" s="40">
        <f t="shared" si="13"/>
        <v>103320</v>
      </c>
      <c r="H89" s="232">
        <f t="shared" si="14"/>
        <v>-0.13588850174216019</v>
      </c>
      <c r="I89" s="200"/>
    </row>
    <row r="90" spans="1:13" x14ac:dyDescent="0.25">
      <c r="B90" s="193">
        <v>42314</v>
      </c>
      <c r="C90" s="10">
        <v>7006</v>
      </c>
      <c r="D90" s="200">
        <v>16.829999999999998</v>
      </c>
      <c r="E90" s="40">
        <v>14.42</v>
      </c>
      <c r="F90" s="40">
        <f t="shared" si="12"/>
        <v>-16884.459999999988</v>
      </c>
      <c r="G90" s="40">
        <f t="shared" si="13"/>
        <v>117910.97999999998</v>
      </c>
      <c r="H90" s="232">
        <f t="shared" si="14"/>
        <v>-0.14319667260843724</v>
      </c>
      <c r="I90" s="200"/>
    </row>
    <row r="91" spans="1:13" x14ac:dyDescent="0.25">
      <c r="B91" s="193">
        <v>42324</v>
      </c>
      <c r="C91" s="10">
        <v>6000</v>
      </c>
      <c r="D91" s="200">
        <v>17.18</v>
      </c>
      <c r="E91" s="40">
        <v>14.92</v>
      </c>
      <c r="F91" s="40">
        <f t="shared" si="12"/>
        <v>-13559.999999999998</v>
      </c>
      <c r="G91" s="40">
        <f t="shared" si="13"/>
        <v>103080</v>
      </c>
      <c r="H91" s="232">
        <f t="shared" si="14"/>
        <v>-0.13154831199068684</v>
      </c>
      <c r="I91" s="200"/>
    </row>
    <row r="92" spans="1:13" ht="15" customHeight="1" x14ac:dyDescent="0.25">
      <c r="B92" s="193">
        <v>42325</v>
      </c>
      <c r="C92" s="10">
        <v>7000</v>
      </c>
      <c r="D92" s="200">
        <v>16.79</v>
      </c>
      <c r="E92" s="40">
        <v>14.38</v>
      </c>
      <c r="F92" s="40">
        <f t="shared" si="12"/>
        <v>-16869.999999999989</v>
      </c>
      <c r="G92" s="40">
        <f t="shared" si="13"/>
        <v>117530</v>
      </c>
      <c r="H92" s="232">
        <f t="shared" si="14"/>
        <v>-0.14353782013103028</v>
      </c>
      <c r="I92" s="200"/>
    </row>
    <row r="93" spans="1:13" x14ac:dyDescent="0.25">
      <c r="B93" s="193">
        <v>42326</v>
      </c>
      <c r="C93" s="10">
        <v>6000</v>
      </c>
      <c r="D93" s="200">
        <v>17.16</v>
      </c>
      <c r="E93" s="40">
        <v>14.65</v>
      </c>
      <c r="F93" s="40">
        <f t="shared" si="12"/>
        <v>-15059.999999999998</v>
      </c>
      <c r="G93" s="40">
        <f t="shared" si="13"/>
        <v>102960</v>
      </c>
      <c r="H93" s="232">
        <f t="shared" si="14"/>
        <v>-0.14627039627039626</v>
      </c>
      <c r="I93" s="200"/>
    </row>
    <row r="94" spans="1:13" x14ac:dyDescent="0.25">
      <c r="B94" s="193">
        <v>42335</v>
      </c>
      <c r="C94" s="10">
        <v>6100</v>
      </c>
      <c r="D94" s="200">
        <v>17.11</v>
      </c>
      <c r="E94" s="40">
        <v>14.47</v>
      </c>
      <c r="F94" s="40">
        <f t="shared" si="12"/>
        <v>-16103.999999999993</v>
      </c>
      <c r="G94" s="40">
        <f t="shared" si="13"/>
        <v>104371</v>
      </c>
      <c r="H94" s="232">
        <f t="shared" si="14"/>
        <v>-0.15429573348918754</v>
      </c>
      <c r="I94" s="200"/>
    </row>
    <row r="95" spans="1:13" x14ac:dyDescent="0.25">
      <c r="B95" s="193">
        <v>42335</v>
      </c>
      <c r="C95" s="10">
        <v>7000</v>
      </c>
      <c r="D95" s="200">
        <v>16.77</v>
      </c>
      <c r="E95" s="40">
        <v>14.47</v>
      </c>
      <c r="F95" s="40">
        <f t="shared" si="12"/>
        <v>-16099.999999999993</v>
      </c>
      <c r="G95" s="40">
        <f t="shared" si="13"/>
        <v>117390</v>
      </c>
      <c r="H95" s="232">
        <f t="shared" si="14"/>
        <v>-0.1371496720333929</v>
      </c>
      <c r="I95" s="200"/>
    </row>
    <row r="96" spans="1:13" x14ac:dyDescent="0.25">
      <c r="B96" s="193">
        <v>42338</v>
      </c>
      <c r="C96" s="10">
        <v>6000</v>
      </c>
      <c r="D96" s="200">
        <v>17.100000000000001</v>
      </c>
      <c r="E96" s="40">
        <v>14.78</v>
      </c>
      <c r="F96" s="40">
        <f t="shared" si="12"/>
        <v>-13920.000000000013</v>
      </c>
      <c r="G96" s="40">
        <f t="shared" si="13"/>
        <v>102600.00000000001</v>
      </c>
      <c r="H96" s="232">
        <f t="shared" si="14"/>
        <v>-0.13567251461988314</v>
      </c>
      <c r="I96" s="200"/>
    </row>
    <row r="97" spans="2:9" x14ac:dyDescent="0.25">
      <c r="B97" s="193">
        <v>42338</v>
      </c>
      <c r="C97" s="10">
        <v>5900</v>
      </c>
      <c r="D97" s="200">
        <v>17.14</v>
      </c>
      <c r="E97" s="40">
        <v>14.78</v>
      </c>
      <c r="F97" s="40">
        <f t="shared" si="12"/>
        <v>-13924.000000000007</v>
      </c>
      <c r="G97" s="40">
        <f t="shared" si="13"/>
        <v>101126</v>
      </c>
      <c r="H97" s="232">
        <f t="shared" si="14"/>
        <v>-0.13768961493582271</v>
      </c>
      <c r="I97" s="200"/>
    </row>
    <row r="98" spans="2:9" x14ac:dyDescent="0.25">
      <c r="B98" s="193">
        <v>42340</v>
      </c>
      <c r="C98" s="10">
        <v>7000</v>
      </c>
      <c r="D98" s="200">
        <v>16.670000000000002</v>
      </c>
      <c r="E98" s="40">
        <v>13.9</v>
      </c>
      <c r="F98" s="40">
        <f t="shared" si="12"/>
        <v>-19390.000000000011</v>
      </c>
      <c r="G98" s="40">
        <f t="shared" si="13"/>
        <v>116690.00000000001</v>
      </c>
      <c r="H98" s="232">
        <f t="shared" si="14"/>
        <v>-0.16616676664667074</v>
      </c>
      <c r="I98" s="200"/>
    </row>
    <row r="99" spans="2:9" x14ac:dyDescent="0.25">
      <c r="B99" s="193">
        <v>42340</v>
      </c>
      <c r="C99" s="10">
        <v>7500</v>
      </c>
      <c r="D99" s="200">
        <v>16.510000000000002</v>
      </c>
      <c r="E99" s="40">
        <v>13.9</v>
      </c>
      <c r="F99" s="40">
        <f t="shared" si="12"/>
        <v>-19575.000000000007</v>
      </c>
      <c r="G99" s="40">
        <f t="shared" si="13"/>
        <v>123825.00000000001</v>
      </c>
      <c r="H99" s="232">
        <f t="shared" si="14"/>
        <v>-0.15808600847970933</v>
      </c>
      <c r="I99" s="200"/>
    </row>
    <row r="100" spans="2:9" x14ac:dyDescent="0.25">
      <c r="B100" s="193">
        <v>42344</v>
      </c>
      <c r="C100" s="10">
        <v>7500</v>
      </c>
      <c r="D100" s="200">
        <v>16.510000000000002</v>
      </c>
      <c r="E100" s="40">
        <v>13.15</v>
      </c>
      <c r="F100" s="40">
        <f t="shared" si="12"/>
        <v>-25200.000000000007</v>
      </c>
      <c r="G100" s="40">
        <f t="shared" si="13"/>
        <v>123825.00000000001</v>
      </c>
      <c r="H100" s="232">
        <f t="shared" si="14"/>
        <v>-0.20351302241066027</v>
      </c>
      <c r="I100" s="200"/>
    </row>
    <row r="101" spans="2:9" x14ac:dyDescent="0.25">
      <c r="B101" s="193">
        <v>42349</v>
      </c>
      <c r="C101" s="10">
        <v>8000</v>
      </c>
      <c r="D101" s="200">
        <v>16.260000000000002</v>
      </c>
      <c r="E101" s="40">
        <v>12.47</v>
      </c>
      <c r="F101" s="40">
        <f t="shared" si="12"/>
        <v>-30320.000000000007</v>
      </c>
      <c r="G101" s="40">
        <f t="shared" si="13"/>
        <v>130080.00000000001</v>
      </c>
      <c r="H101" s="232">
        <f t="shared" si="14"/>
        <v>-0.23308733087330877</v>
      </c>
      <c r="I101" s="200"/>
    </row>
    <row r="102" spans="2:9" x14ac:dyDescent="0.25">
      <c r="B102" s="193">
        <v>42356</v>
      </c>
      <c r="C102" s="10">
        <v>7500</v>
      </c>
      <c r="D102" s="200">
        <v>16.510000000000002</v>
      </c>
      <c r="E102" s="40">
        <v>12.6</v>
      </c>
      <c r="F102" s="40">
        <f t="shared" si="12"/>
        <v>-29325.000000000015</v>
      </c>
      <c r="G102" s="40">
        <f t="shared" si="13"/>
        <v>123825.00000000001</v>
      </c>
      <c r="H102" s="232">
        <f t="shared" si="14"/>
        <v>-0.23682616596002432</v>
      </c>
      <c r="I102" s="200"/>
    </row>
    <row r="103" spans="2:9" x14ac:dyDescent="0.25">
      <c r="B103" s="193">
        <v>42356</v>
      </c>
      <c r="C103" s="447">
        <v>4500</v>
      </c>
      <c r="D103" s="528">
        <v>19.079999999999998</v>
      </c>
      <c r="E103" s="40">
        <v>12.88</v>
      </c>
      <c r="F103" s="40">
        <f t="shared" si="12"/>
        <v>-27899.999999999989</v>
      </c>
      <c r="G103" s="40">
        <f t="shared" si="13"/>
        <v>85859.999999999985</v>
      </c>
      <c r="H103" s="232">
        <f t="shared" si="14"/>
        <v>-0.32494758909853239</v>
      </c>
      <c r="I103" s="200"/>
    </row>
    <row r="104" spans="2:9" x14ac:dyDescent="0.25">
      <c r="B104" s="193">
        <v>42397</v>
      </c>
      <c r="C104" s="429">
        <v>2000</v>
      </c>
      <c r="D104" s="212">
        <v>26.06</v>
      </c>
      <c r="E104" s="40">
        <v>15.27</v>
      </c>
      <c r="F104" s="40">
        <f t="shared" si="12"/>
        <v>-21580</v>
      </c>
      <c r="G104" s="40">
        <f t="shared" si="13"/>
        <v>52120</v>
      </c>
      <c r="H104" s="232">
        <f t="shared" si="14"/>
        <v>-0.41404451266308517</v>
      </c>
      <c r="I104" s="200"/>
    </row>
    <row r="105" spans="2:9" x14ac:dyDescent="0.25">
      <c r="B105" s="193">
        <v>42398</v>
      </c>
      <c r="C105" s="282">
        <v>1800</v>
      </c>
      <c r="D105" s="283">
        <v>27.26</v>
      </c>
      <c r="E105" s="40">
        <v>15.27</v>
      </c>
      <c r="F105" s="40">
        <f t="shared" si="12"/>
        <v>-21582.000000000004</v>
      </c>
      <c r="G105" s="40">
        <f t="shared" si="13"/>
        <v>49068</v>
      </c>
      <c r="H105" s="232">
        <f t="shared" si="14"/>
        <v>-0.43983859134262659</v>
      </c>
      <c r="I105" s="200"/>
    </row>
    <row r="106" spans="2:9" x14ac:dyDescent="0.25">
      <c r="B106" s="193">
        <v>42402</v>
      </c>
      <c r="C106" s="282">
        <v>2000</v>
      </c>
      <c r="D106" s="283">
        <v>26</v>
      </c>
      <c r="E106" s="40">
        <v>15.18</v>
      </c>
      <c r="F106" s="40">
        <f t="shared" si="12"/>
        <v>-21640</v>
      </c>
      <c r="G106" s="40">
        <f t="shared" si="13"/>
        <v>52000</v>
      </c>
      <c r="H106" s="232">
        <f t="shared" si="14"/>
        <v>-0.41615384615384615</v>
      </c>
      <c r="I106" s="200"/>
    </row>
    <row r="107" spans="2:9" x14ac:dyDescent="0.25">
      <c r="B107" s="193">
        <v>42412</v>
      </c>
      <c r="C107" s="282">
        <v>2200</v>
      </c>
      <c r="D107" s="283">
        <v>24.75</v>
      </c>
      <c r="E107" s="40">
        <v>12.35</v>
      </c>
      <c r="F107" s="40">
        <f t="shared" si="12"/>
        <v>-27280</v>
      </c>
      <c r="G107" s="40">
        <f t="shared" si="13"/>
        <v>54450</v>
      </c>
      <c r="H107" s="232">
        <f t="shared" si="14"/>
        <v>-0.50101010101010102</v>
      </c>
      <c r="I107" s="200"/>
    </row>
    <row r="108" spans="2:9" x14ac:dyDescent="0.25">
      <c r="B108" s="193">
        <v>42416</v>
      </c>
      <c r="C108" s="282">
        <v>2000</v>
      </c>
      <c r="D108" s="283">
        <v>25.96</v>
      </c>
      <c r="E108" s="40">
        <v>12.35</v>
      </c>
      <c r="F108" s="40">
        <f t="shared" si="12"/>
        <v>-27220.000000000004</v>
      </c>
      <c r="G108" s="40">
        <f t="shared" si="13"/>
        <v>51920</v>
      </c>
      <c r="H108" s="232">
        <f t="shared" si="14"/>
        <v>-0.52426810477657937</v>
      </c>
      <c r="I108" s="200"/>
    </row>
    <row r="109" spans="2:9" x14ac:dyDescent="0.25">
      <c r="B109" s="193">
        <v>42416</v>
      </c>
      <c r="C109" s="282">
        <v>1750</v>
      </c>
      <c r="D109" s="283">
        <v>27.81</v>
      </c>
      <c r="E109" s="40">
        <v>12.89</v>
      </c>
      <c r="F109" s="40">
        <f t="shared" si="12"/>
        <v>-26109.999999999996</v>
      </c>
      <c r="G109" s="40">
        <f t="shared" si="13"/>
        <v>48667.5</v>
      </c>
      <c r="H109" s="232">
        <f t="shared" si="14"/>
        <v>-0.53649766271125487</v>
      </c>
      <c r="I109" s="200"/>
    </row>
    <row r="110" spans="2:9" x14ac:dyDescent="0.25">
      <c r="B110" s="193">
        <v>42416</v>
      </c>
      <c r="C110" s="282">
        <v>2000</v>
      </c>
      <c r="D110" s="283">
        <v>25.948</v>
      </c>
      <c r="E110" s="40">
        <v>12.94</v>
      </c>
      <c r="F110" s="40">
        <f t="shared" si="12"/>
        <v>-26016</v>
      </c>
      <c r="G110" s="40">
        <f t="shared" si="13"/>
        <v>51896</v>
      </c>
      <c r="H110" s="232">
        <f t="shared" si="14"/>
        <v>-0.50131031293355943</v>
      </c>
      <c r="I110" s="200"/>
    </row>
    <row r="111" spans="2:9" x14ac:dyDescent="0.25">
      <c r="B111" s="193">
        <v>42426</v>
      </c>
      <c r="C111" s="282">
        <v>2000</v>
      </c>
      <c r="D111" s="283">
        <v>25.914999999999999</v>
      </c>
      <c r="E111" s="40">
        <v>12.37</v>
      </c>
      <c r="F111" s="40">
        <f t="shared" si="12"/>
        <v>-27090</v>
      </c>
      <c r="G111" s="40">
        <f t="shared" si="13"/>
        <v>51830</v>
      </c>
      <c r="H111" s="232">
        <f t="shared" si="14"/>
        <v>-0.52267026818444917</v>
      </c>
      <c r="I111" s="200"/>
    </row>
    <row r="112" spans="2:9" x14ac:dyDescent="0.25">
      <c r="B112" s="193">
        <v>42430</v>
      </c>
      <c r="C112" s="429">
        <v>2000</v>
      </c>
      <c r="D112" s="212">
        <v>25.914999999999999</v>
      </c>
      <c r="E112" s="40">
        <v>12.82</v>
      </c>
      <c r="F112" s="40">
        <f t="shared" si="12"/>
        <v>-26189.999999999996</v>
      </c>
      <c r="G112" s="40">
        <f t="shared" si="13"/>
        <v>51830</v>
      </c>
      <c r="H112" s="232">
        <f t="shared" si="14"/>
        <v>-0.50530580744742426</v>
      </c>
      <c r="I112" s="471">
        <v>25.5</v>
      </c>
    </row>
    <row r="113" spans="2:9" x14ac:dyDescent="0.25">
      <c r="B113" s="193">
        <v>42431</v>
      </c>
      <c r="C113" s="282">
        <v>1500</v>
      </c>
      <c r="D113" s="283">
        <v>30.137</v>
      </c>
      <c r="E113" s="40">
        <v>13.3</v>
      </c>
      <c r="F113" s="40">
        <f t="shared" si="12"/>
        <v>-25255.5</v>
      </c>
      <c r="G113" s="40">
        <f t="shared" si="13"/>
        <v>45205.5</v>
      </c>
      <c r="H113" s="232">
        <f t="shared" si="14"/>
        <v>-0.55868201878090051</v>
      </c>
      <c r="I113" s="200"/>
    </row>
    <row r="114" spans="2:9" x14ac:dyDescent="0.25">
      <c r="B114" s="193">
        <v>42444</v>
      </c>
      <c r="C114" s="282">
        <v>1500</v>
      </c>
      <c r="D114" s="283">
        <v>30.137</v>
      </c>
      <c r="E114" s="40">
        <v>14.28</v>
      </c>
      <c r="F114" s="40">
        <f t="shared" si="12"/>
        <v>-23785.5</v>
      </c>
      <c r="G114" s="40">
        <f t="shared" si="13"/>
        <v>45205.5</v>
      </c>
      <c r="H114" s="232">
        <f t="shared" si="14"/>
        <v>-0.52616385174370384</v>
      </c>
      <c r="I114" s="200"/>
    </row>
    <row r="115" spans="2:9" x14ac:dyDescent="0.25">
      <c r="B115" s="193">
        <v>42447</v>
      </c>
      <c r="C115" s="282">
        <v>1500</v>
      </c>
      <c r="D115" s="283">
        <v>30.137</v>
      </c>
      <c r="E115" s="40">
        <v>14.98</v>
      </c>
      <c r="F115" s="40">
        <f t="shared" si="12"/>
        <v>-22735.5</v>
      </c>
      <c r="G115" s="40">
        <f t="shared" si="13"/>
        <v>45205.5</v>
      </c>
      <c r="H115" s="232">
        <f t="shared" si="14"/>
        <v>-0.50293658957427745</v>
      </c>
      <c r="I115" s="200"/>
    </row>
    <row r="116" spans="2:9" x14ac:dyDescent="0.25">
      <c r="B116" s="193">
        <v>42480</v>
      </c>
      <c r="C116" s="282">
        <v>1500</v>
      </c>
      <c r="D116" s="283">
        <v>30.07</v>
      </c>
      <c r="E116" s="40">
        <v>15.44</v>
      </c>
      <c r="F116" s="40">
        <f t="shared" si="12"/>
        <v>-21945</v>
      </c>
      <c r="G116" s="40">
        <f t="shared" si="13"/>
        <v>45105</v>
      </c>
      <c r="H116" s="232">
        <f t="shared" si="14"/>
        <v>-0.48653142667110078</v>
      </c>
      <c r="I116" s="200"/>
    </row>
    <row r="117" spans="2:9" x14ac:dyDescent="0.25">
      <c r="B117" s="193">
        <v>42488</v>
      </c>
      <c r="C117" s="282">
        <v>1500</v>
      </c>
      <c r="D117" s="283">
        <v>30.030999999999999</v>
      </c>
      <c r="E117" s="40">
        <v>15.55</v>
      </c>
      <c r="F117" s="40">
        <f t="shared" si="12"/>
        <v>-21721.499999999996</v>
      </c>
      <c r="G117" s="40">
        <f t="shared" si="13"/>
        <v>45046.5</v>
      </c>
      <c r="H117" s="232">
        <f t="shared" si="14"/>
        <v>-0.4822017248842862</v>
      </c>
      <c r="I117" s="200"/>
    </row>
    <row r="118" spans="2:9" x14ac:dyDescent="0.25">
      <c r="B118" s="193">
        <v>42494</v>
      </c>
      <c r="C118" s="282">
        <v>1500</v>
      </c>
      <c r="D118" s="283">
        <v>30.030999999999999</v>
      </c>
      <c r="E118" s="40">
        <v>15.02</v>
      </c>
      <c r="F118" s="40">
        <f t="shared" si="12"/>
        <v>-22516.5</v>
      </c>
      <c r="G118" s="40">
        <f t="shared" si="13"/>
        <v>45046.5</v>
      </c>
      <c r="H118" s="232">
        <f t="shared" si="14"/>
        <v>-0.49985015483999867</v>
      </c>
      <c r="I118" s="200"/>
    </row>
    <row r="119" spans="2:9" x14ac:dyDescent="0.25">
      <c r="B119" s="193">
        <v>42517</v>
      </c>
      <c r="C119" s="282">
        <v>1500</v>
      </c>
      <c r="D119" s="283">
        <v>30.024000000000001</v>
      </c>
      <c r="E119" s="40">
        <v>14.74</v>
      </c>
      <c r="F119" s="40">
        <f t="shared" si="12"/>
        <v>-22926</v>
      </c>
      <c r="G119" s="40">
        <f t="shared" si="13"/>
        <v>45036</v>
      </c>
      <c r="H119" s="232">
        <f t="shared" si="14"/>
        <v>-0.50905941913136155</v>
      </c>
      <c r="I119" s="200"/>
    </row>
    <row r="120" spans="2:9" x14ac:dyDescent="0.25">
      <c r="B120" s="193">
        <v>42522</v>
      </c>
      <c r="C120" s="282">
        <v>1500</v>
      </c>
      <c r="D120" s="283">
        <v>30.024000000000001</v>
      </c>
      <c r="E120" s="40">
        <v>15.08</v>
      </c>
      <c r="F120" s="40">
        <f t="shared" si="12"/>
        <v>-22416</v>
      </c>
      <c r="G120" s="40">
        <f t="shared" si="13"/>
        <v>45036</v>
      </c>
      <c r="H120" s="232">
        <f t="shared" si="14"/>
        <v>-0.49773514521715961</v>
      </c>
      <c r="I120" s="200"/>
    </row>
    <row r="121" spans="2:9" x14ac:dyDescent="0.25">
      <c r="B121" s="193">
        <v>42530</v>
      </c>
      <c r="C121" s="453">
        <v>1520</v>
      </c>
      <c r="D121" s="455">
        <v>29.5</v>
      </c>
      <c r="E121" s="40">
        <v>15.6</v>
      </c>
      <c r="F121" s="40">
        <f t="shared" si="12"/>
        <v>-21128</v>
      </c>
      <c r="G121" s="40">
        <f t="shared" si="13"/>
        <v>44840</v>
      </c>
      <c r="H121" s="232">
        <f t="shared" si="14"/>
        <v>-0.47118644067796611</v>
      </c>
      <c r="I121" s="200"/>
    </row>
    <row r="122" spans="2:9" x14ac:dyDescent="0.25">
      <c r="B122" s="193">
        <v>42534</v>
      </c>
      <c r="C122" s="282">
        <v>1520</v>
      </c>
      <c r="D122" s="283">
        <v>29.5</v>
      </c>
      <c r="E122" s="40">
        <v>14.25</v>
      </c>
      <c r="F122" s="40">
        <f t="shared" si="12"/>
        <v>-23180</v>
      </c>
      <c r="G122" s="40">
        <f t="shared" si="13"/>
        <v>44840</v>
      </c>
      <c r="H122" s="232">
        <f t="shared" si="14"/>
        <v>-0.51694915254237284</v>
      </c>
      <c r="I122" s="200"/>
    </row>
    <row r="123" spans="2:9" x14ac:dyDescent="0.25">
      <c r="B123" s="193">
        <v>42535</v>
      </c>
      <c r="C123" s="282">
        <v>2000</v>
      </c>
      <c r="D123" s="283">
        <v>25.768000000000001</v>
      </c>
      <c r="E123" s="40">
        <v>13.88</v>
      </c>
      <c r="F123" s="40">
        <f t="shared" si="12"/>
        <v>-23776</v>
      </c>
      <c r="G123" s="40">
        <f t="shared" si="13"/>
        <v>51536</v>
      </c>
      <c r="H123" s="232">
        <f t="shared" si="14"/>
        <v>-0.46134740763737969</v>
      </c>
      <c r="I123" s="200"/>
    </row>
    <row r="124" spans="2:9" x14ac:dyDescent="0.25">
      <c r="B124" s="193">
        <v>42538</v>
      </c>
      <c r="C124" s="282">
        <v>1520</v>
      </c>
      <c r="D124" s="283">
        <v>29.428000000000001</v>
      </c>
      <c r="E124" s="40">
        <v>14.24</v>
      </c>
      <c r="F124" s="40">
        <f t="shared" si="12"/>
        <v>-23085.760000000002</v>
      </c>
      <c r="G124" s="40">
        <f t="shared" si="13"/>
        <v>44730.559999999998</v>
      </c>
      <c r="H124" s="232">
        <f t="shared" si="14"/>
        <v>-0.5161071088759005</v>
      </c>
      <c r="I124" s="200"/>
    </row>
    <row r="125" spans="2:9" x14ac:dyDescent="0.25">
      <c r="B125" s="193">
        <v>42543</v>
      </c>
      <c r="C125" s="282">
        <v>2000</v>
      </c>
      <c r="D125" s="283">
        <v>25.696000000000002</v>
      </c>
      <c r="E125" s="40">
        <v>13.79</v>
      </c>
      <c r="F125" s="40">
        <f t="shared" si="12"/>
        <v>-23812.000000000004</v>
      </c>
      <c r="G125" s="40">
        <f t="shared" si="13"/>
        <v>51392</v>
      </c>
      <c r="H125" s="232">
        <f t="shared" si="14"/>
        <v>-0.46334059775840603</v>
      </c>
      <c r="I125" s="200"/>
    </row>
    <row r="126" spans="2:9" x14ac:dyDescent="0.25">
      <c r="B126" s="193">
        <v>42544</v>
      </c>
      <c r="C126" s="453">
        <v>1520</v>
      </c>
      <c r="D126" s="455">
        <v>29.338999999999999</v>
      </c>
      <c r="E126" s="40">
        <v>14.18</v>
      </c>
      <c r="F126" s="40">
        <f t="shared" si="12"/>
        <v>-23041.679999999997</v>
      </c>
      <c r="G126" s="40">
        <f t="shared" si="13"/>
        <v>44595.28</v>
      </c>
      <c r="H126" s="232">
        <f t="shared" si="14"/>
        <v>-0.51668427690105323</v>
      </c>
      <c r="I126" s="200"/>
    </row>
    <row r="127" spans="2:9" x14ac:dyDescent="0.25">
      <c r="B127" s="193">
        <v>42545</v>
      </c>
      <c r="C127" s="282">
        <v>2000</v>
      </c>
      <c r="D127" s="283">
        <v>25.574000000000002</v>
      </c>
      <c r="E127" s="40">
        <v>13.65</v>
      </c>
      <c r="F127" s="40">
        <f t="shared" si="12"/>
        <v>-23848.000000000004</v>
      </c>
      <c r="G127" s="40">
        <f t="shared" si="13"/>
        <v>51148</v>
      </c>
      <c r="H127" s="232">
        <f t="shared" si="14"/>
        <v>-0.4662547900211152</v>
      </c>
      <c r="I127" s="200"/>
    </row>
    <row r="128" spans="2:9" x14ac:dyDescent="0.25">
      <c r="B128" s="193">
        <v>42548</v>
      </c>
      <c r="C128" s="282">
        <v>2000</v>
      </c>
      <c r="D128" s="283">
        <v>25.574000000000002</v>
      </c>
      <c r="E128" s="40">
        <v>13.41</v>
      </c>
      <c r="F128" s="40">
        <f t="shared" si="12"/>
        <v>-24328.000000000004</v>
      </c>
      <c r="G128" s="40">
        <f t="shared" si="13"/>
        <v>51148</v>
      </c>
      <c r="H128" s="232">
        <f t="shared" si="14"/>
        <v>-0.47563932118557911</v>
      </c>
      <c r="I128" s="200"/>
    </row>
    <row r="129" spans="2:9" x14ac:dyDescent="0.25">
      <c r="B129" s="193">
        <v>42549</v>
      </c>
      <c r="C129" s="429">
        <v>2000</v>
      </c>
      <c r="D129" s="212">
        <v>25.574000000000002</v>
      </c>
      <c r="E129" s="40">
        <v>14.22</v>
      </c>
      <c r="F129" s="40">
        <f t="shared" ref="F129" si="15">C129*(E129-D129)</f>
        <v>-22708.000000000004</v>
      </c>
      <c r="G129" s="40">
        <f t="shared" ref="G129" si="16">IF(C129=0, 0,D129*C129)</f>
        <v>51148</v>
      </c>
      <c r="H129" s="232">
        <f t="shared" ref="H129" si="17">IF(C129=0, D129, (E129-D129)/D129)</f>
        <v>-0.44396652850551344</v>
      </c>
      <c r="I129" s="200"/>
    </row>
    <row r="130" spans="2:9" x14ac:dyDescent="0.25">
      <c r="B130" s="193">
        <v>42550</v>
      </c>
      <c r="C130" s="453">
        <v>1520</v>
      </c>
      <c r="D130" s="455">
        <v>28.986999999999998</v>
      </c>
      <c r="E130" s="40">
        <v>14.58</v>
      </c>
      <c r="F130" s="40">
        <f t="shared" ref="F130:F131" si="18">C130*(E130-D130)</f>
        <v>-21898.639999999996</v>
      </c>
      <c r="G130" s="40">
        <f t="shared" ref="G130:G131" si="19">IF(C130=0, 0,D130*C130)</f>
        <v>44060.24</v>
      </c>
      <c r="H130" s="232">
        <f t="shared" ref="H130:H131" si="20">IF(C130=0, D130, (E130-D130)/D130)</f>
        <v>-0.49701590368096038</v>
      </c>
      <c r="I130" s="200"/>
    </row>
    <row r="131" spans="2:9" x14ac:dyDescent="0.25">
      <c r="B131" s="193">
        <v>42556</v>
      </c>
      <c r="C131" s="7">
        <v>2000</v>
      </c>
      <c r="D131" s="79">
        <v>25.433</v>
      </c>
      <c r="E131" s="40">
        <v>14.31</v>
      </c>
      <c r="F131" s="40">
        <f t="shared" si="18"/>
        <v>-22246</v>
      </c>
      <c r="G131" s="40">
        <f t="shared" si="19"/>
        <v>50866</v>
      </c>
      <c r="H131" s="232">
        <f t="shared" si="20"/>
        <v>-0.43734518145716195</v>
      </c>
      <c r="I131" s="79">
        <v>25</v>
      </c>
    </row>
    <row r="132" spans="2:9" x14ac:dyDescent="0.25">
      <c r="B132" s="193">
        <v>42563</v>
      </c>
      <c r="C132" s="10">
        <v>2000</v>
      </c>
      <c r="D132" s="200">
        <v>25.433</v>
      </c>
      <c r="E132" s="40">
        <v>14.98</v>
      </c>
      <c r="F132" s="40">
        <f t="shared" ref="F132" si="21">C132*(E132-D132)</f>
        <v>-20906</v>
      </c>
      <c r="G132" s="40">
        <f t="shared" ref="G132" si="22">IF(C132=0, 0,D132*C132)</f>
        <v>50866</v>
      </c>
      <c r="H132" s="232">
        <f t="shared" ref="H132" si="23">IF(C132=0, D132, (E132-D132)/D132)</f>
        <v>-0.41100145480281525</v>
      </c>
      <c r="I132" s="200"/>
    </row>
    <row r="133" spans="2:9" x14ac:dyDescent="0.25">
      <c r="B133" s="193">
        <v>42578</v>
      </c>
      <c r="C133" s="10">
        <v>2200</v>
      </c>
      <c r="D133" s="200">
        <v>24.399000000000001</v>
      </c>
      <c r="E133" s="40">
        <v>14.06</v>
      </c>
      <c r="F133" s="40">
        <f t="shared" ref="F133:F136" si="24">C133*(E133-D133)</f>
        <v>-22745.8</v>
      </c>
      <c r="G133" s="40">
        <f t="shared" ref="G133:G136" si="25">IF(C133=0, 0,D133*C133)</f>
        <v>53677.8</v>
      </c>
      <c r="H133" s="232">
        <f t="shared" ref="H133:H136" si="26">IF(C133=0, D133, (E133-D133)/D133)</f>
        <v>-0.42374687487192098</v>
      </c>
      <c r="I133" s="200"/>
    </row>
    <row r="134" spans="2:9" x14ac:dyDescent="0.25">
      <c r="B134" s="193">
        <v>42580</v>
      </c>
      <c r="C134" s="10">
        <v>2700</v>
      </c>
      <c r="D134" s="200">
        <v>22.39</v>
      </c>
      <c r="E134" s="40">
        <v>13.74</v>
      </c>
      <c r="F134" s="40">
        <f t="shared" si="24"/>
        <v>-23355</v>
      </c>
      <c r="G134" s="40">
        <f t="shared" si="25"/>
        <v>60453</v>
      </c>
      <c r="H134" s="232">
        <f t="shared" si="26"/>
        <v>-0.38633318445734705</v>
      </c>
      <c r="I134" s="200"/>
    </row>
    <row r="135" spans="2:9" x14ac:dyDescent="0.25">
      <c r="B135" s="193">
        <v>42580</v>
      </c>
      <c r="C135" s="10">
        <v>3000</v>
      </c>
      <c r="D135" s="200">
        <v>21.478999999999999</v>
      </c>
      <c r="E135" s="40">
        <v>13.74</v>
      </c>
      <c r="F135" s="40">
        <f t="shared" si="24"/>
        <v>-23216.999999999996</v>
      </c>
      <c r="G135" s="40">
        <f t="shared" si="25"/>
        <v>64437</v>
      </c>
      <c r="H135" s="232">
        <f t="shared" si="26"/>
        <v>-0.3603054145909958</v>
      </c>
      <c r="I135" s="200"/>
    </row>
    <row r="136" spans="2:9" x14ac:dyDescent="0.25">
      <c r="B136" s="193">
        <v>42580</v>
      </c>
      <c r="C136" s="7">
        <v>2000</v>
      </c>
      <c r="D136" s="79">
        <v>25.353000000000002</v>
      </c>
      <c r="E136" s="40">
        <v>13.74</v>
      </c>
      <c r="F136" s="40">
        <f t="shared" si="24"/>
        <v>-23226.000000000004</v>
      </c>
      <c r="G136" s="40">
        <f t="shared" si="25"/>
        <v>50706</v>
      </c>
      <c r="H136" s="232">
        <f t="shared" si="26"/>
        <v>-0.45805230150278076</v>
      </c>
      <c r="I136" s="79">
        <v>25</v>
      </c>
    </row>
    <row r="137" spans="2:9" x14ac:dyDescent="0.25">
      <c r="B137" s="193">
        <v>42585</v>
      </c>
      <c r="C137" s="10">
        <v>2000</v>
      </c>
      <c r="D137" s="200">
        <v>25.353000000000002</v>
      </c>
      <c r="E137" s="40">
        <v>13.45</v>
      </c>
      <c r="F137" s="40">
        <f t="shared" ref="F137:F140" si="27">C137*(E137-D137)</f>
        <v>-23806.000000000004</v>
      </c>
      <c r="G137" s="40">
        <f t="shared" ref="G137:G140" si="28">IF(C137=0, 0,D137*C137)</f>
        <v>50706</v>
      </c>
      <c r="H137" s="232">
        <f t="shared" ref="H137:H140" si="29">IF(C137=0, D137, (E137-D137)/D137)</f>
        <v>-0.46949079004457073</v>
      </c>
      <c r="I137" s="200"/>
    </row>
    <row r="138" spans="2:9" x14ac:dyDescent="0.25">
      <c r="B138" s="193">
        <v>42586</v>
      </c>
      <c r="C138" s="10">
        <v>2500</v>
      </c>
      <c r="D138" s="200">
        <v>22.902000000000001</v>
      </c>
      <c r="E138" s="40">
        <v>12.97</v>
      </c>
      <c r="F138" s="40">
        <f t="shared" si="27"/>
        <v>-24830</v>
      </c>
      <c r="G138" s="40">
        <f t="shared" si="28"/>
        <v>57255</v>
      </c>
      <c r="H138" s="232">
        <f t="shared" si="29"/>
        <v>-0.43367391494192647</v>
      </c>
      <c r="I138" s="200"/>
    </row>
    <row r="139" spans="2:9" x14ac:dyDescent="0.25">
      <c r="B139" s="193">
        <v>42590</v>
      </c>
      <c r="C139" s="10">
        <v>3000</v>
      </c>
      <c r="D139" s="200">
        <v>21.26</v>
      </c>
      <c r="E139" s="40">
        <v>13.01</v>
      </c>
      <c r="F139" s="40">
        <f t="shared" si="27"/>
        <v>-24750.000000000004</v>
      </c>
      <c r="G139" s="40">
        <f t="shared" si="28"/>
        <v>63780.000000000007</v>
      </c>
      <c r="H139" s="232">
        <f t="shared" si="29"/>
        <v>-0.38805268109125124</v>
      </c>
      <c r="I139" s="200"/>
    </row>
    <row r="140" spans="2:9" x14ac:dyDescent="0.25">
      <c r="B140" s="193">
        <v>42591</v>
      </c>
      <c r="C140" s="516">
        <v>3500</v>
      </c>
      <c r="D140" s="517">
        <v>20.033999999999999</v>
      </c>
      <c r="E140" s="40">
        <v>12.67</v>
      </c>
      <c r="F140" s="40">
        <f t="shared" si="27"/>
        <v>-25773.999999999996</v>
      </c>
      <c r="G140" s="40">
        <f t="shared" si="28"/>
        <v>70119</v>
      </c>
      <c r="H140" s="232">
        <f t="shared" si="29"/>
        <v>-0.36757512229210337</v>
      </c>
      <c r="I140" s="236">
        <v>19.75</v>
      </c>
    </row>
    <row r="141" spans="2:9" x14ac:dyDescent="0.25">
      <c r="B141" s="193">
        <v>42593</v>
      </c>
      <c r="C141" s="10">
        <v>3500</v>
      </c>
      <c r="D141" s="200">
        <v>20.033770000000001</v>
      </c>
      <c r="E141" s="40">
        <v>12.51</v>
      </c>
      <c r="F141" s="40">
        <f t="shared" ref="F141" si="30">C141*(E141-D141)</f>
        <v>-26333.195000000003</v>
      </c>
      <c r="G141" s="40">
        <f t="shared" ref="G141" si="31">IF(C141=0, 0,D141*C141)</f>
        <v>70118.195000000007</v>
      </c>
      <c r="H141" s="232">
        <f t="shared" ref="H141" si="32">IF(C141=0, D141, (E141-D141)/D141)</f>
        <v>-0.37555437643538886</v>
      </c>
      <c r="I141" s="200"/>
    </row>
    <row r="142" spans="2:9" x14ac:dyDescent="0.25">
      <c r="B142" s="193">
        <v>42599</v>
      </c>
      <c r="C142" s="10">
        <v>3500</v>
      </c>
      <c r="D142" s="200">
        <v>20.033770000000001</v>
      </c>
      <c r="E142" s="40">
        <v>12.61</v>
      </c>
      <c r="F142" s="40">
        <f t="shared" ref="F142" si="33">C142*(E142-D142)</f>
        <v>-25983.195000000003</v>
      </c>
      <c r="G142" s="40">
        <f t="shared" ref="G142" si="34">IF(C142=0, 0,D142*C142)</f>
        <v>70118.195000000007</v>
      </c>
      <c r="H142" s="232">
        <f t="shared" ref="H142" si="35">IF(C142=0, D142, (E142-D142)/D142)</f>
        <v>-0.3705628047042569</v>
      </c>
      <c r="I142" s="200"/>
    </row>
    <row r="143" spans="2:9" x14ac:dyDescent="0.25">
      <c r="B143" s="193">
        <v>42600</v>
      </c>
      <c r="C143" s="10">
        <v>3500</v>
      </c>
      <c r="D143" s="200">
        <v>20.033770000000001</v>
      </c>
      <c r="E143" s="40">
        <v>12.57</v>
      </c>
      <c r="F143" s="40">
        <f t="shared" ref="F143:F147" si="36">C143*(E143-D143)</f>
        <v>-26123.195</v>
      </c>
      <c r="G143" s="40">
        <f t="shared" ref="G143:G147" si="37">IF(C143=0, 0,D143*C143)</f>
        <v>70118.195000000007</v>
      </c>
      <c r="H143" s="232">
        <f t="shared" ref="H143:H147" si="38">IF(C143=0, D143, (E143-D143)/D143)</f>
        <v>-0.37255943339670966</v>
      </c>
      <c r="I143" s="200"/>
    </row>
    <row r="144" spans="2:9" x14ac:dyDescent="0.25">
      <c r="B144" s="193">
        <v>42601</v>
      </c>
      <c r="C144" s="10">
        <v>4000</v>
      </c>
      <c r="D144" s="200">
        <v>19.064550000000001</v>
      </c>
      <c r="E144" s="40">
        <v>12.26</v>
      </c>
      <c r="F144" s="40">
        <f t="shared" si="36"/>
        <v>-27218.200000000004</v>
      </c>
      <c r="G144" s="40">
        <f t="shared" si="37"/>
        <v>76258.2</v>
      </c>
      <c r="H144" s="232">
        <f t="shared" si="38"/>
        <v>-0.35692161629831287</v>
      </c>
      <c r="I144" s="200"/>
    </row>
    <row r="145" spans="2:9" x14ac:dyDescent="0.25">
      <c r="B145" s="193">
        <v>42604</v>
      </c>
      <c r="C145" s="449">
        <v>4500</v>
      </c>
      <c r="D145" s="527">
        <v>18.288489999999999</v>
      </c>
      <c r="E145" s="40">
        <v>12.24</v>
      </c>
      <c r="F145" s="40">
        <f t="shared" si="36"/>
        <v>-27218.204999999998</v>
      </c>
      <c r="G145" s="40">
        <f t="shared" si="37"/>
        <v>82298.205000000002</v>
      </c>
      <c r="H145" s="232">
        <f t="shared" si="38"/>
        <v>-0.33072659361161033</v>
      </c>
      <c r="I145" s="236">
        <v>18</v>
      </c>
    </row>
    <row r="146" spans="2:9" x14ac:dyDescent="0.25">
      <c r="B146" s="193">
        <v>42605</v>
      </c>
      <c r="C146" s="10">
        <v>4000</v>
      </c>
      <c r="D146" s="200">
        <v>18.984590000000001</v>
      </c>
      <c r="E146" s="40">
        <v>12.57</v>
      </c>
      <c r="F146" s="40">
        <f t="shared" si="36"/>
        <v>-25658.36</v>
      </c>
      <c r="G146" s="40">
        <f t="shared" si="37"/>
        <v>75938.36</v>
      </c>
      <c r="H146" s="232">
        <f t="shared" si="38"/>
        <v>-0.33788404174122277</v>
      </c>
      <c r="I146" s="200"/>
    </row>
    <row r="147" spans="2:9" x14ac:dyDescent="0.25">
      <c r="B147" s="193">
        <v>42605</v>
      </c>
      <c r="C147" s="449">
        <v>4500</v>
      </c>
      <c r="D147" s="527">
        <v>18.269629999999999</v>
      </c>
      <c r="E147" s="40">
        <v>12.57</v>
      </c>
      <c r="F147" s="40">
        <f t="shared" si="36"/>
        <v>-25648.334999999995</v>
      </c>
      <c r="G147" s="40">
        <f t="shared" si="37"/>
        <v>82213.334999999992</v>
      </c>
      <c r="H147" s="232">
        <f t="shared" si="38"/>
        <v>-0.31197292993892045</v>
      </c>
      <c r="I147" s="200">
        <v>18</v>
      </c>
    </row>
    <row r="148" spans="2:9" x14ac:dyDescent="0.25">
      <c r="B148" s="193">
        <v>42606</v>
      </c>
      <c r="C148" s="10">
        <v>4500</v>
      </c>
      <c r="D148" s="200">
        <v>18.269629999999999</v>
      </c>
      <c r="E148" s="40">
        <v>12.46</v>
      </c>
      <c r="F148" s="40">
        <f t="shared" ref="F148" si="39">C148*(E148-D148)</f>
        <v>-26143.334999999992</v>
      </c>
      <c r="G148" s="40">
        <f t="shared" ref="G148" si="40">IF(C148=0, 0,D148*C148)</f>
        <v>82213.334999999992</v>
      </c>
      <c r="H148" s="232">
        <f t="shared" ref="H148" si="41">IF(C148=0, D148, (E148-D148)/D148)</f>
        <v>-0.31799385099752969</v>
      </c>
      <c r="I148" s="200"/>
    </row>
    <row r="149" spans="2:9" x14ac:dyDescent="0.25">
      <c r="B149" s="193">
        <v>42611</v>
      </c>
      <c r="C149" s="10">
        <v>4500</v>
      </c>
      <c r="D149" s="200">
        <v>18.269629999999999</v>
      </c>
      <c r="E149" s="40">
        <v>12.59</v>
      </c>
      <c r="F149" s="40">
        <f t="shared" ref="F149:F150" si="42">C149*(E149-D149)</f>
        <v>-25558.334999999999</v>
      </c>
      <c r="G149" s="40">
        <f t="shared" ref="G149:G150" si="43">IF(C149=0, 0,D149*C149)</f>
        <v>82213.334999999992</v>
      </c>
      <c r="H149" s="232">
        <f t="shared" ref="H149:H150" si="44">IF(C149=0, D149, (E149-D149)/D149)</f>
        <v>-0.31087821701917334</v>
      </c>
      <c r="I149" s="200"/>
    </row>
    <row r="150" spans="2:9" x14ac:dyDescent="0.25">
      <c r="B150" s="193">
        <v>42612</v>
      </c>
      <c r="C150" s="10">
        <v>4700</v>
      </c>
      <c r="D150" s="200">
        <v>17.991379999999999</v>
      </c>
      <c r="E150" s="40">
        <v>12.41</v>
      </c>
      <c r="F150" s="40">
        <f t="shared" si="42"/>
        <v>-26232.485999999997</v>
      </c>
      <c r="G150" s="40">
        <f t="shared" si="43"/>
        <v>84559.486000000004</v>
      </c>
      <c r="H150" s="232">
        <f t="shared" si="44"/>
        <v>-0.3102252300824061</v>
      </c>
      <c r="I150" s="200"/>
    </row>
    <row r="151" spans="2:9" x14ac:dyDescent="0.25">
      <c r="B151" s="193">
        <v>42614</v>
      </c>
      <c r="C151" s="10">
        <v>4700</v>
      </c>
      <c r="D151" s="200">
        <v>17.991379999999999</v>
      </c>
      <c r="E151" s="40">
        <v>12.13</v>
      </c>
      <c r="F151" s="40">
        <f t="shared" ref="F151:F152" si="45">C151*(E151-D151)</f>
        <v>-27548.485999999994</v>
      </c>
      <c r="G151" s="40">
        <f t="shared" ref="G151:G152" si="46">IF(C151=0, 0,D151*C151)</f>
        <v>84559.486000000004</v>
      </c>
      <c r="H151" s="232">
        <f t="shared" ref="H151:H152" si="47">IF(C151=0, D151, (E151-D151)/D151)</f>
        <v>-0.32578823858981348</v>
      </c>
      <c r="I151" s="200"/>
    </row>
    <row r="152" spans="2:9" x14ac:dyDescent="0.25">
      <c r="B152" s="193">
        <v>42615</v>
      </c>
      <c r="C152" s="449">
        <v>4500</v>
      </c>
      <c r="D152" s="527">
        <v>18.232780000000002</v>
      </c>
      <c r="E152" s="40">
        <v>12.48</v>
      </c>
      <c r="F152" s="40">
        <f t="shared" si="45"/>
        <v>-25887.510000000006</v>
      </c>
      <c r="G152" s="40">
        <f t="shared" si="46"/>
        <v>82047.510000000009</v>
      </c>
      <c r="H152" s="232">
        <f t="shared" si="47"/>
        <v>-0.31551853310356404</v>
      </c>
      <c r="I152" s="200">
        <v>18</v>
      </c>
    </row>
    <row r="153" spans="2:9" x14ac:dyDescent="0.25">
      <c r="B153" s="193">
        <v>42619</v>
      </c>
      <c r="C153" s="10">
        <v>4500</v>
      </c>
      <c r="D153" s="200">
        <v>18.232780000000002</v>
      </c>
      <c r="E153" s="40">
        <v>12.72</v>
      </c>
      <c r="F153" s="40">
        <f t="shared" ref="F153" si="48">C153*(E153-D153)</f>
        <v>-24807.510000000006</v>
      </c>
      <c r="G153" s="40">
        <f t="shared" ref="G153" si="49">IF(C153=0, 0,D153*C153)</f>
        <v>82047.510000000009</v>
      </c>
      <c r="H153" s="232">
        <f t="shared" ref="H153" si="50">IF(C153=0, D153, (E153-D153)/D153)</f>
        <v>-0.30235542797094028</v>
      </c>
      <c r="I153" s="200"/>
    </row>
    <row r="154" spans="2:9" x14ac:dyDescent="0.25">
      <c r="B154" s="193"/>
      <c r="C154" s="10"/>
      <c r="D154" s="200"/>
      <c r="E154" s="40"/>
      <c r="F154" s="40"/>
      <c r="G154" s="40"/>
      <c r="H154" s="232"/>
      <c r="I154" s="200"/>
    </row>
    <row r="155" spans="2:9" x14ac:dyDescent="0.25">
      <c r="B155" s="193"/>
      <c r="C155" s="10"/>
      <c r="D155" s="200"/>
      <c r="E155" s="40"/>
      <c r="F155" s="40"/>
      <c r="G155" s="40"/>
      <c r="H155" s="232"/>
      <c r="I155" s="200"/>
    </row>
    <row r="156" spans="2:9" x14ac:dyDescent="0.25">
      <c r="B156" s="193"/>
      <c r="C156" s="10"/>
      <c r="D156" s="200"/>
      <c r="E156" s="40"/>
      <c r="F156" s="40"/>
      <c r="G156" s="40"/>
      <c r="H156" s="232"/>
      <c r="I156" s="200"/>
    </row>
    <row r="157" spans="2:9" x14ac:dyDescent="0.25">
      <c r="B157" s="193"/>
      <c r="C157" s="10"/>
      <c r="D157" s="200"/>
      <c r="E157" s="40"/>
      <c r="F157" s="40"/>
      <c r="G157" s="40"/>
      <c r="H157" s="232"/>
      <c r="I157" s="200"/>
    </row>
    <row r="158" spans="2:9" x14ac:dyDescent="0.25">
      <c r="B158" s="193"/>
      <c r="C158" s="10"/>
      <c r="D158" s="200"/>
      <c r="E158" s="40"/>
      <c r="F158" s="40"/>
      <c r="G158" s="40"/>
      <c r="H158" s="232"/>
      <c r="I158" s="200"/>
    </row>
    <row r="159" spans="2:9" x14ac:dyDescent="0.25">
      <c r="B159" s="193"/>
      <c r="C159" s="10"/>
      <c r="D159" s="200"/>
      <c r="E159" s="40"/>
      <c r="F159" s="40"/>
      <c r="G159" s="40"/>
      <c r="H159" s="232"/>
      <c r="I159" s="200"/>
    </row>
    <row r="160" spans="2:9" x14ac:dyDescent="0.25">
      <c r="B160" s="193"/>
      <c r="C160" s="10"/>
      <c r="D160" s="200"/>
      <c r="E160" s="40"/>
      <c r="F160" s="40"/>
      <c r="G160" s="40"/>
      <c r="H160" s="232"/>
      <c r="I160" s="200"/>
    </row>
  </sheetData>
  <mergeCells count="3">
    <mergeCell ref="B47:B48"/>
    <mergeCell ref="A68:A73"/>
    <mergeCell ref="A65:A67"/>
  </mergeCells>
  <conditionalFormatting sqref="Q12 F107:F160 H99:H160">
    <cfRule type="expression" dxfId="548" priority="38">
      <formula>F12&gt;0</formula>
    </cfRule>
    <cfRule type="expression" dxfId="547" priority="39">
      <formula>F12&lt;0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86:F106">
    <cfRule type="expression" dxfId="546" priority="31">
      <formula>F86&gt;0</formula>
    </cfRule>
    <cfRule type="expression" dxfId="545" priority="32">
      <formula>F86&lt;0</formula>
    </cfRule>
  </conditionalFormatting>
  <conditionalFormatting sqref="H86:H92">
    <cfRule type="expression" dxfId="544" priority="19">
      <formula>H86&gt;0</formula>
    </cfRule>
    <cfRule type="expression" dxfId="543" priority="20">
      <formula>H86&lt;0</formula>
    </cfRule>
  </conditionalFormatting>
  <conditionalFormatting sqref="H93">
    <cfRule type="expression" dxfId="542" priority="17">
      <formula>H93&gt;0</formula>
    </cfRule>
    <cfRule type="expression" dxfId="541" priority="18">
      <formula>H93&lt;0</formula>
    </cfRule>
  </conditionalFormatting>
  <conditionalFormatting sqref="H94">
    <cfRule type="expression" dxfId="540" priority="15">
      <formula>H94&gt;0</formula>
    </cfRule>
    <cfRule type="expression" dxfId="539" priority="16">
      <formula>H94&lt;0</formula>
    </cfRule>
  </conditionalFormatting>
  <conditionalFormatting sqref="H95:H97">
    <cfRule type="expression" dxfId="538" priority="13">
      <formula>H95&gt;0</formula>
    </cfRule>
    <cfRule type="expression" dxfId="537" priority="14">
      <formula>H95&lt;0</formula>
    </cfRule>
  </conditionalFormatting>
  <conditionalFormatting sqref="H98">
    <cfRule type="expression" dxfId="536" priority="9">
      <formula>H98&gt;0</formula>
    </cfRule>
    <cfRule type="expression" dxfId="535" priority="10">
      <formula>H98&lt;0</formula>
    </cfRule>
  </conditionalFormatting>
  <conditionalFormatting sqref="Q7">
    <cfRule type="expression" dxfId="534" priority="3">
      <formula>Q7&gt;0</formula>
    </cfRule>
    <cfRule type="expression" dxfId="533" priority="4">
      <formula>Q7&lt;0</formula>
    </cfRule>
  </conditionalFormatting>
  <conditionalFormatting sqref="Q8">
    <cfRule type="expression" dxfId="532" priority="1">
      <formula>Q8&gt;0</formula>
    </cfRule>
    <cfRule type="expression" dxfId="531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8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285156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205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6"/>
      <c r="U2" s="127"/>
      <c r="V2" s="16"/>
      <c r="W2" s="141">
        <v>42614</v>
      </c>
      <c r="X2" s="142">
        <v>57.67</v>
      </c>
      <c r="Y2" s="142">
        <v>58.55</v>
      </c>
      <c r="Z2" s="10">
        <v>57.53</v>
      </c>
      <c r="AA2" s="10">
        <v>58.54</v>
      </c>
      <c r="AB2" s="95">
        <v>8172300</v>
      </c>
      <c r="AC2" s="10">
        <v>58.54</v>
      </c>
      <c r="AE2" s="138"/>
    </row>
    <row r="3" spans="1:42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57.41</v>
      </c>
      <c r="W3" s="133">
        <v>42614</v>
      </c>
      <c r="X3" s="10" t="s">
        <v>206</v>
      </c>
      <c r="Y3" s="10"/>
      <c r="Z3" s="10"/>
      <c r="AA3" s="10"/>
      <c r="AB3" s="95"/>
      <c r="AC3" s="10"/>
      <c r="AE3" s="138"/>
      <c r="AL3" s="234"/>
      <c r="AO3" s="234"/>
    </row>
    <row r="4" spans="1:4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57.41</v>
      </c>
      <c r="T4" s="1"/>
      <c r="W4" s="133">
        <v>42613</v>
      </c>
      <c r="X4" s="10">
        <v>57.86</v>
      </c>
      <c r="Y4" s="10">
        <v>58.28</v>
      </c>
      <c r="Z4" s="10">
        <v>57.19</v>
      </c>
      <c r="AA4" s="10">
        <v>57.64</v>
      </c>
      <c r="AB4" s="95">
        <v>7723600</v>
      </c>
      <c r="AC4" s="10">
        <v>57.48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42612</v>
      </c>
      <c r="X5" s="10">
        <v>58.46</v>
      </c>
      <c r="Y5" s="10">
        <v>58.76</v>
      </c>
      <c r="Z5" s="10">
        <v>57.85</v>
      </c>
      <c r="AA5" s="10">
        <v>58</v>
      </c>
      <c r="AB5" s="95">
        <v>6344600</v>
      </c>
      <c r="AC5" s="10">
        <v>57.84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42611</v>
      </c>
      <c r="X6" s="10">
        <v>59.2</v>
      </c>
      <c r="Y6" s="10">
        <v>59.25</v>
      </c>
      <c r="Z6" s="10">
        <v>58.53</v>
      </c>
      <c r="AA6" s="10">
        <v>58.63</v>
      </c>
      <c r="AB6" s="95">
        <v>5831000</v>
      </c>
      <c r="AC6" s="10">
        <v>58.47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187</v>
      </c>
      <c r="Q7" s="2">
        <f>Q10+Q8</f>
        <v>281.96000000000095</v>
      </c>
      <c r="R7">
        <v>0</v>
      </c>
      <c r="W7" s="133">
        <v>42608</v>
      </c>
      <c r="X7" s="10">
        <v>58.57</v>
      </c>
      <c r="Y7" s="10">
        <v>59.2</v>
      </c>
      <c r="Z7" s="10">
        <v>58.3</v>
      </c>
      <c r="AA7" s="10">
        <v>59</v>
      </c>
      <c r="AB7" s="95">
        <v>9994300</v>
      </c>
      <c r="AC7" s="10">
        <v>58.84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42607</v>
      </c>
      <c r="X8" s="10">
        <v>60.01</v>
      </c>
      <c r="Y8" s="10">
        <v>60.15</v>
      </c>
      <c r="Z8" s="10">
        <v>59.03</v>
      </c>
      <c r="AA8" s="10">
        <v>59.24</v>
      </c>
      <c r="AB8" s="95">
        <v>8713900</v>
      </c>
      <c r="AC8" s="10">
        <v>59.08</v>
      </c>
      <c r="AE8" s="138"/>
      <c r="AL8" s="234"/>
      <c r="AO8" s="234"/>
      <c r="AP8" s="234"/>
    </row>
    <row r="9" spans="1:42" x14ac:dyDescent="0.25">
      <c r="H9" s="72"/>
      <c r="O9" s="11" t="s">
        <v>224</v>
      </c>
      <c r="Q9" s="138">
        <f>IF(Q2=0, 0, Q8/Q6)</f>
        <v>0</v>
      </c>
      <c r="W9" s="133">
        <v>42606</v>
      </c>
      <c r="X9" s="10">
        <v>59.89</v>
      </c>
      <c r="Y9" s="10">
        <v>60.33</v>
      </c>
      <c r="Z9" s="10">
        <v>59.72</v>
      </c>
      <c r="AA9" s="10">
        <v>60.22</v>
      </c>
      <c r="AB9" s="95">
        <v>11379000</v>
      </c>
      <c r="AC9" s="10">
        <v>60.05</v>
      </c>
      <c r="AE9" s="138"/>
    </row>
    <row r="10" spans="1:42" x14ac:dyDescent="0.25">
      <c r="H10" s="72"/>
      <c r="O10" s="11" t="s">
        <v>223</v>
      </c>
      <c r="P10" s="34"/>
      <c r="Q10" s="2">
        <f>M63</f>
        <v>281.96000000000095</v>
      </c>
      <c r="T10" s="11"/>
      <c r="W10" s="133">
        <v>42605</v>
      </c>
      <c r="X10" s="10">
        <v>58.8</v>
      </c>
      <c r="Y10" s="10">
        <v>59.8</v>
      </c>
      <c r="Z10" s="10">
        <v>58.8</v>
      </c>
      <c r="AA10" s="10">
        <v>59.62</v>
      </c>
      <c r="AB10" s="95">
        <v>8222800</v>
      </c>
      <c r="AC10" s="10">
        <v>59.45</v>
      </c>
      <c r="AE10" s="138"/>
      <c r="AL10" s="234"/>
      <c r="AO10" s="234"/>
    </row>
    <row r="11" spans="1:42" x14ac:dyDescent="0.25">
      <c r="H11" s="72"/>
      <c r="O11" s="11" t="s">
        <v>184</v>
      </c>
      <c r="P11" s="34"/>
      <c r="Q11" s="138">
        <f>IF(U58="N/A (N/A)", 0, VALUE(TRIM(CLEAN(MID(U58, FIND("(", U58)+1, 5)))))</f>
        <v>1.09E-2</v>
      </c>
      <c r="T11" s="1"/>
      <c r="W11" s="133">
        <v>42604</v>
      </c>
      <c r="X11" s="10">
        <v>58.82</v>
      </c>
      <c r="Y11" s="10">
        <v>59.46</v>
      </c>
      <c r="Z11" s="10">
        <v>58.65</v>
      </c>
      <c r="AA11" s="10">
        <v>58.66</v>
      </c>
      <c r="AB11" s="95">
        <v>8266000</v>
      </c>
      <c r="AC11" s="10">
        <v>58.5</v>
      </c>
      <c r="AE11" s="138"/>
    </row>
    <row r="12" spans="1:42" x14ac:dyDescent="0.25">
      <c r="H12" s="72"/>
      <c r="W12" s="133">
        <v>42601</v>
      </c>
      <c r="X12" s="10">
        <v>57.4</v>
      </c>
      <c r="Y12" s="10">
        <v>59.14</v>
      </c>
      <c r="Z12" s="10">
        <v>57.25</v>
      </c>
      <c r="AA12" s="10">
        <v>58.9</v>
      </c>
      <c r="AB12" s="95">
        <v>15987100</v>
      </c>
      <c r="AC12" s="10">
        <v>58.74</v>
      </c>
      <c r="AE12" s="138"/>
      <c r="AL12" s="234"/>
      <c r="AO12" s="234"/>
    </row>
    <row r="13" spans="1:42" x14ac:dyDescent="0.25">
      <c r="H13" s="72"/>
      <c r="T13" s="1"/>
      <c r="W13" s="133">
        <v>42600</v>
      </c>
      <c r="X13" s="10">
        <v>56.99</v>
      </c>
      <c r="Y13" s="10">
        <v>57.46</v>
      </c>
      <c r="Z13" s="10">
        <v>56.9</v>
      </c>
      <c r="AA13" s="10">
        <v>57.21</v>
      </c>
      <c r="AB13" s="95">
        <v>6043600</v>
      </c>
      <c r="AC13" s="10">
        <v>57.05</v>
      </c>
      <c r="AE13" s="138"/>
    </row>
    <row r="14" spans="1:42" x14ac:dyDescent="0.25">
      <c r="H14" s="72"/>
      <c r="W14" s="133">
        <v>42599</v>
      </c>
      <c r="X14" s="10">
        <v>56.87</v>
      </c>
      <c r="Y14" s="10">
        <v>56.97</v>
      </c>
      <c r="Z14" s="10">
        <v>56.54</v>
      </c>
      <c r="AA14" s="10">
        <v>56.86</v>
      </c>
      <c r="AB14" s="95">
        <v>7340500</v>
      </c>
      <c r="AC14" s="10">
        <v>56.7</v>
      </c>
      <c r="AE14" s="138"/>
      <c r="AL14" s="234"/>
      <c r="AO14" s="234"/>
      <c r="AP14" s="234"/>
    </row>
    <row r="15" spans="1:42" x14ac:dyDescent="0.25">
      <c r="H15" s="72"/>
      <c r="W15" s="133">
        <v>42598</v>
      </c>
      <c r="X15" s="10">
        <v>56.8</v>
      </c>
      <c r="Y15" s="10">
        <v>57.04</v>
      </c>
      <c r="Z15" s="10">
        <v>56.42</v>
      </c>
      <c r="AA15" s="10">
        <v>56.88</v>
      </c>
      <c r="AB15" s="95">
        <v>4901800</v>
      </c>
      <c r="AC15" s="10">
        <v>56.72</v>
      </c>
      <c r="AE15" s="138"/>
    </row>
    <row r="16" spans="1:42" x14ac:dyDescent="0.25">
      <c r="H16" s="72"/>
      <c r="O16" s="2"/>
      <c r="P16" s="2"/>
      <c r="Q16" s="2"/>
      <c r="T16" s="69"/>
      <c r="W16" s="133">
        <v>42597</v>
      </c>
      <c r="X16" s="10">
        <v>56.65</v>
      </c>
      <c r="Y16" s="10">
        <v>57.06</v>
      </c>
      <c r="Z16" s="10">
        <v>56.62</v>
      </c>
      <c r="AA16" s="10">
        <v>56.77</v>
      </c>
      <c r="AB16" s="95">
        <v>4836300</v>
      </c>
      <c r="AC16" s="10">
        <v>56.61</v>
      </c>
      <c r="AE16" s="138"/>
    </row>
    <row r="17" spans="1:41" x14ac:dyDescent="0.25">
      <c r="H17" s="72"/>
      <c r="O17" s="2"/>
      <c r="P17" s="2"/>
      <c r="Q17" s="2"/>
      <c r="W17" s="133">
        <v>42594</v>
      </c>
      <c r="X17" s="10">
        <v>56.7</v>
      </c>
      <c r="Y17" s="10">
        <v>56.76</v>
      </c>
      <c r="Z17" s="10">
        <v>56.13</v>
      </c>
      <c r="AA17" s="10">
        <v>56.45</v>
      </c>
      <c r="AB17" s="95">
        <v>5393400</v>
      </c>
      <c r="AC17" s="10">
        <v>56.29</v>
      </c>
      <c r="AE17" s="138"/>
    </row>
    <row r="18" spans="1:41" x14ac:dyDescent="0.25">
      <c r="A18" s="22" t="s">
        <v>81</v>
      </c>
      <c r="B18" s="12"/>
      <c r="C18" s="12">
        <f>SUM(C2:C7)</f>
        <v>0</v>
      </c>
      <c r="D18" s="12"/>
      <c r="E18" s="12"/>
      <c r="F18" s="13">
        <f>SUM(F2:F7)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 t="shared" ref="M18" si="0">SUM(M2:M17)</f>
        <v>0</v>
      </c>
      <c r="O18" s="2"/>
      <c r="P18" s="2"/>
      <c r="Q18" s="2"/>
      <c r="W18" s="133">
        <v>42593</v>
      </c>
      <c r="X18" s="10">
        <v>55.63</v>
      </c>
      <c r="Y18" s="10">
        <v>56.89</v>
      </c>
      <c r="Z18" s="10">
        <v>55.48</v>
      </c>
      <c r="AA18" s="10">
        <v>56.73</v>
      </c>
      <c r="AB18" s="95">
        <v>9539500</v>
      </c>
      <c r="AC18" s="10">
        <v>56.57</v>
      </c>
      <c r="AE18" s="138"/>
      <c r="AL18" s="234"/>
      <c r="AO18" s="234"/>
    </row>
    <row r="19" spans="1:4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SumByColor($A$19,F2:F5)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>SumByColor($A$19,M2:M17)</f>
        <v>0</v>
      </c>
      <c r="O19" s="2"/>
      <c r="P19" s="2"/>
      <c r="Q19" s="2"/>
      <c r="W19" s="133">
        <v>42592</v>
      </c>
      <c r="X19" s="10">
        <v>55.95</v>
      </c>
      <c r="Y19" s="10">
        <v>56.18</v>
      </c>
      <c r="Z19" s="10">
        <v>55.07</v>
      </c>
      <c r="AA19" s="10">
        <v>55.13</v>
      </c>
      <c r="AB19" s="95">
        <v>6881400</v>
      </c>
      <c r="AC19" s="10">
        <v>54.98</v>
      </c>
      <c r="AE19" s="138"/>
    </row>
    <row r="20" spans="1:41" x14ac:dyDescent="0.25">
      <c r="O20" s="2"/>
      <c r="P20" s="2"/>
      <c r="Q20" s="2"/>
      <c r="W20" s="133">
        <v>42591</v>
      </c>
      <c r="X20" s="10">
        <v>56.08</v>
      </c>
      <c r="Y20" s="10">
        <v>56.24</v>
      </c>
      <c r="Z20" s="10">
        <v>55.69</v>
      </c>
      <c r="AA20" s="10">
        <v>55.77</v>
      </c>
      <c r="AB20" s="95">
        <v>8044400</v>
      </c>
      <c r="AC20" s="10">
        <v>55.62</v>
      </c>
      <c r="AE20" s="138"/>
    </row>
    <row r="21" spans="1:41" x14ac:dyDescent="0.25">
      <c r="O21" s="2"/>
      <c r="P21" s="2"/>
      <c r="Q21" s="2"/>
      <c r="W21" s="133">
        <v>42590</v>
      </c>
      <c r="X21" s="10">
        <v>56.13</v>
      </c>
      <c r="Y21" s="10">
        <v>56.39</v>
      </c>
      <c r="Z21" s="10">
        <v>55.68</v>
      </c>
      <c r="AA21" s="10">
        <v>55.98</v>
      </c>
      <c r="AB21" s="95">
        <v>6307000</v>
      </c>
      <c r="AC21" s="10">
        <v>55.82</v>
      </c>
      <c r="AE21" s="138"/>
    </row>
    <row r="22" spans="1:41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5" t="s">
        <v>65</v>
      </c>
      <c r="G22" s="229" t="s">
        <v>155</v>
      </c>
      <c r="H22" s="195" t="s">
        <v>88</v>
      </c>
      <c r="I22" s="229" t="s">
        <v>161</v>
      </c>
      <c r="O22" s="2"/>
      <c r="P22" s="2"/>
      <c r="Q22" s="2"/>
      <c r="W22" s="133">
        <v>42587</v>
      </c>
      <c r="X22" s="10">
        <v>55.32</v>
      </c>
      <c r="Y22" s="10">
        <v>56.06</v>
      </c>
      <c r="Z22" s="10">
        <v>55.17</v>
      </c>
      <c r="AA22" s="10">
        <v>55.85</v>
      </c>
      <c r="AB22" s="95">
        <v>7512500</v>
      </c>
      <c r="AC22" s="10">
        <v>55.69</v>
      </c>
      <c r="AE22" s="138"/>
    </row>
    <row r="23" spans="1:41" x14ac:dyDescent="0.25">
      <c r="B23" s="193">
        <v>42472</v>
      </c>
      <c r="C23" s="10">
        <v>50</v>
      </c>
      <c r="D23" s="200">
        <v>56.99</v>
      </c>
      <c r="E23" s="40">
        <v>58.55</v>
      </c>
      <c r="F23" s="40">
        <f t="shared" ref="F23:F31" si="1">-C23*(D23-E23)</f>
        <v>77.999999999999758</v>
      </c>
      <c r="G23" s="40">
        <f t="shared" ref="G23:G31" si="2">IF(C23=0, 0,D23*C23)</f>
        <v>2849.5</v>
      </c>
      <c r="H23" s="232">
        <f t="shared" ref="H23:H31" si="3">IF(C23=0, D23, (E23-D23)/D23)</f>
        <v>2.7373223372521408E-2</v>
      </c>
      <c r="I23" s="40"/>
      <c r="O23" s="2"/>
      <c r="P23" s="2"/>
      <c r="Q23" s="2"/>
      <c r="W23" s="133">
        <v>42586</v>
      </c>
      <c r="X23" s="10">
        <v>54.96</v>
      </c>
      <c r="Y23" s="10">
        <v>55.57</v>
      </c>
      <c r="Z23" s="10">
        <v>54.65</v>
      </c>
      <c r="AA23" s="10">
        <v>54.79</v>
      </c>
      <c r="AB23" s="95">
        <v>8678100</v>
      </c>
      <c r="AC23" s="10">
        <v>54.64</v>
      </c>
      <c r="AE23" s="138"/>
    </row>
    <row r="24" spans="1:41" x14ac:dyDescent="0.25">
      <c r="B24" s="193">
        <v>42484</v>
      </c>
      <c r="C24" s="10">
        <v>50</v>
      </c>
      <c r="D24" s="200">
        <v>56.99</v>
      </c>
      <c r="E24" s="40">
        <v>59.43</v>
      </c>
      <c r="F24" s="40">
        <f t="shared" si="1"/>
        <v>121.99999999999989</v>
      </c>
      <c r="G24" s="40">
        <f t="shared" si="2"/>
        <v>2849.5</v>
      </c>
      <c r="H24" s="232">
        <f t="shared" si="3"/>
        <v>4.281452886471307E-2</v>
      </c>
      <c r="I24" s="40"/>
      <c r="O24" s="2"/>
      <c r="P24" s="2"/>
      <c r="Q24" s="2"/>
      <c r="W24" s="133">
        <v>42585</v>
      </c>
      <c r="X24" s="10">
        <v>54.55</v>
      </c>
      <c r="Y24" s="10">
        <v>55.19</v>
      </c>
      <c r="Z24" s="10">
        <v>54.28</v>
      </c>
      <c r="AA24" s="10">
        <v>54.75</v>
      </c>
      <c r="AB24" s="95">
        <v>9687300</v>
      </c>
      <c r="AC24" s="10">
        <v>54.6</v>
      </c>
      <c r="AE24" s="138"/>
    </row>
    <row r="25" spans="1:41" x14ac:dyDescent="0.25">
      <c r="B25" s="193">
        <v>42502</v>
      </c>
      <c r="C25" s="10">
        <v>50</v>
      </c>
      <c r="D25" s="200">
        <v>56.99</v>
      </c>
      <c r="E25" s="40">
        <v>57.99</v>
      </c>
      <c r="F25" s="40">
        <f t="shared" si="1"/>
        <v>50</v>
      </c>
      <c r="G25" s="40">
        <f t="shared" si="2"/>
        <v>2849.5</v>
      </c>
      <c r="H25" s="232">
        <f t="shared" si="3"/>
        <v>1.754693805930865E-2</v>
      </c>
      <c r="I25" s="40"/>
      <c r="O25" s="2"/>
      <c r="P25" s="2"/>
      <c r="Q25" s="2"/>
      <c r="W25" s="133">
        <v>42584</v>
      </c>
      <c r="X25" s="10">
        <v>55.23</v>
      </c>
      <c r="Y25" s="10">
        <v>55.28</v>
      </c>
      <c r="Z25" s="10">
        <v>54.78</v>
      </c>
      <c r="AA25" s="10">
        <v>54.92</v>
      </c>
      <c r="AB25" s="95">
        <v>7145600</v>
      </c>
      <c r="AC25" s="10">
        <v>54.77</v>
      </c>
      <c r="AE25" s="138"/>
    </row>
    <row r="26" spans="1:41" x14ac:dyDescent="0.25">
      <c r="B26" s="193">
        <v>42508</v>
      </c>
      <c r="C26" s="10">
        <v>50</v>
      </c>
      <c r="D26" s="200">
        <v>56.99</v>
      </c>
      <c r="E26" s="40">
        <v>56.12</v>
      </c>
      <c r="F26" s="40">
        <f t="shared" si="1"/>
        <v>-43.500000000000227</v>
      </c>
      <c r="G26" s="40">
        <f t="shared" si="2"/>
        <v>2849.5</v>
      </c>
      <c r="H26" s="232">
        <f t="shared" si="3"/>
        <v>-1.5265836111598605E-2</v>
      </c>
      <c r="I26" s="40"/>
      <c r="O26" s="2"/>
      <c r="P26" s="2"/>
      <c r="Q26" s="2"/>
      <c r="W26" s="133">
        <v>42583</v>
      </c>
      <c r="X26" s="10">
        <v>55.73</v>
      </c>
      <c r="Y26" s="10">
        <v>55.87</v>
      </c>
      <c r="Z26" s="10">
        <v>55.3</v>
      </c>
      <c r="AA26" s="10">
        <v>55.41</v>
      </c>
      <c r="AB26" s="95">
        <v>6268400</v>
      </c>
      <c r="AC26" s="10">
        <v>55.26</v>
      </c>
      <c r="AE26" s="138"/>
    </row>
    <row r="27" spans="1:41" x14ac:dyDescent="0.25">
      <c r="B27" s="193">
        <v>42524</v>
      </c>
      <c r="C27" s="10">
        <v>120</v>
      </c>
      <c r="D27" s="200">
        <v>55.284999999999997</v>
      </c>
      <c r="E27" s="40">
        <v>53.45</v>
      </c>
      <c r="F27" s="40">
        <f t="shared" si="1"/>
        <v>-220.19999999999925</v>
      </c>
      <c r="G27" s="40">
        <f t="shared" si="2"/>
        <v>6634.2</v>
      </c>
      <c r="H27" s="232">
        <f t="shared" si="3"/>
        <v>-3.3191643302884939E-2</v>
      </c>
      <c r="I27" s="40"/>
      <c r="O27" s="2"/>
      <c r="P27" s="2"/>
      <c r="Q27" s="2"/>
      <c r="W27" s="133">
        <v>42580</v>
      </c>
      <c r="X27" s="10">
        <v>55.27</v>
      </c>
      <c r="Y27" s="10">
        <v>55.66</v>
      </c>
      <c r="Z27" s="10">
        <v>55.21</v>
      </c>
      <c r="AA27" s="10">
        <v>55.5</v>
      </c>
      <c r="AB27" s="95">
        <v>6353400</v>
      </c>
      <c r="AC27" s="10">
        <v>55.35</v>
      </c>
      <c r="AE27" s="138"/>
    </row>
    <row r="28" spans="1:41" x14ac:dyDescent="0.25">
      <c r="B28" s="193">
        <v>42530</v>
      </c>
      <c r="C28" s="10">
        <v>120</v>
      </c>
      <c r="D28" s="200">
        <v>55.284999999999997</v>
      </c>
      <c r="E28" s="40">
        <v>54.94</v>
      </c>
      <c r="F28" s="40">
        <f t="shared" si="1"/>
        <v>-41.399999999999864</v>
      </c>
      <c r="G28" s="40">
        <f t="shared" si="2"/>
        <v>6634.2</v>
      </c>
      <c r="H28" s="232">
        <f t="shared" si="3"/>
        <v>-6.2403907027222373E-3</v>
      </c>
      <c r="I28" s="40"/>
      <c r="O28" s="2"/>
      <c r="P28" s="2"/>
      <c r="Q28" s="2"/>
      <c r="W28" s="133">
        <v>42579</v>
      </c>
      <c r="X28" s="10">
        <v>55.59</v>
      </c>
      <c r="Y28" s="10">
        <v>55.81</v>
      </c>
      <c r="Z28" s="10">
        <v>54.98</v>
      </c>
      <c r="AA28" s="10">
        <v>55.45</v>
      </c>
      <c r="AB28" s="95">
        <v>9574100</v>
      </c>
      <c r="AC28" s="10">
        <v>55.3</v>
      </c>
      <c r="AE28" s="138"/>
    </row>
    <row r="29" spans="1:41" x14ac:dyDescent="0.25">
      <c r="B29" s="193">
        <v>42537</v>
      </c>
      <c r="C29" s="10">
        <v>120</v>
      </c>
      <c r="D29" s="200">
        <v>55.284999999999997</v>
      </c>
      <c r="E29" s="40">
        <v>53.47</v>
      </c>
      <c r="F29" s="40">
        <f t="shared" si="1"/>
        <v>-217.79999999999973</v>
      </c>
      <c r="G29" s="40">
        <f t="shared" si="2"/>
        <v>6634.2</v>
      </c>
      <c r="H29" s="232">
        <f t="shared" si="3"/>
        <v>-3.2829881523017052E-2</v>
      </c>
      <c r="I29" s="40"/>
      <c r="W29" s="133">
        <v>42578</v>
      </c>
      <c r="X29" s="10">
        <v>56.5</v>
      </c>
      <c r="Y29" s="10">
        <v>57</v>
      </c>
      <c r="Z29" s="10">
        <v>55.47</v>
      </c>
      <c r="AA29" s="10">
        <v>55.79</v>
      </c>
      <c r="AB29" s="95">
        <v>10295400</v>
      </c>
      <c r="AC29" s="10">
        <v>55.64</v>
      </c>
      <c r="AE29" s="138"/>
    </row>
    <row r="30" spans="1:41" x14ac:dyDescent="0.25">
      <c r="B30" s="193">
        <v>42542</v>
      </c>
      <c r="C30" s="10">
        <v>120</v>
      </c>
      <c r="D30" s="200">
        <v>55.284999999999997</v>
      </c>
      <c r="E30" s="40">
        <v>54.77</v>
      </c>
      <c r="F30" s="40">
        <f t="shared" si="1"/>
        <v>-61.799999999999216</v>
      </c>
      <c r="G30" s="40">
        <f t="shared" si="2"/>
        <v>6634.2</v>
      </c>
      <c r="H30" s="232">
        <f t="shared" si="3"/>
        <v>-9.3153658315997742E-3</v>
      </c>
      <c r="I30" s="40"/>
      <c r="W30" s="133">
        <v>42577</v>
      </c>
      <c r="X30" s="10">
        <v>57.2</v>
      </c>
      <c r="Y30" s="10">
        <v>57.87</v>
      </c>
      <c r="Z30" s="10">
        <v>56.25</v>
      </c>
      <c r="AA30" s="10">
        <v>56.37</v>
      </c>
      <c r="AB30" s="95">
        <v>8546700</v>
      </c>
      <c r="AC30" s="10">
        <v>56.21</v>
      </c>
      <c r="AE30" s="138"/>
    </row>
    <row r="31" spans="1:41" x14ac:dyDescent="0.25">
      <c r="B31" s="193">
        <v>42546</v>
      </c>
      <c r="C31" s="10">
        <v>150</v>
      </c>
      <c r="D31" s="200">
        <v>54.704000000000001</v>
      </c>
      <c r="E31" s="40">
        <v>52.59</v>
      </c>
      <c r="F31" s="40">
        <f t="shared" si="1"/>
        <v>-317.09999999999957</v>
      </c>
      <c r="G31" s="40">
        <f t="shared" si="2"/>
        <v>8205.6</v>
      </c>
      <c r="H31" s="232">
        <f t="shared" si="3"/>
        <v>-3.8644340450424051E-2</v>
      </c>
      <c r="I31" s="40"/>
      <c r="W31" s="133">
        <v>42576</v>
      </c>
      <c r="X31" s="10">
        <v>56.87</v>
      </c>
      <c r="Y31" s="10">
        <v>57.15</v>
      </c>
      <c r="Z31" s="10">
        <v>56.46</v>
      </c>
      <c r="AA31" s="10">
        <v>57.14</v>
      </c>
      <c r="AB31" s="95">
        <v>7256300</v>
      </c>
      <c r="AC31" s="10">
        <v>56.98</v>
      </c>
      <c r="AE31" s="138"/>
    </row>
    <row r="32" spans="1:41" x14ac:dyDescent="0.25">
      <c r="B32" s="193">
        <v>42549</v>
      </c>
      <c r="C32" s="10">
        <v>150</v>
      </c>
      <c r="D32" s="200">
        <v>54.704000000000001</v>
      </c>
      <c r="E32" s="40">
        <v>53.09</v>
      </c>
      <c r="F32" s="40">
        <f t="shared" ref="F32" si="4">-C32*(D32-E32)</f>
        <v>-242.09999999999957</v>
      </c>
      <c r="G32" s="40">
        <f t="shared" ref="G32" si="5">IF(C32=0, 0,D32*C32)</f>
        <v>8205.6</v>
      </c>
      <c r="H32" s="232">
        <f t="shared" ref="H32" si="6">IF(C32=0, D32, (E32-D32)/D32)</f>
        <v>-2.9504241006142094E-2</v>
      </c>
      <c r="I32" s="40" t="s">
        <v>264</v>
      </c>
      <c r="W32" s="133">
        <v>42573</v>
      </c>
      <c r="X32" s="10">
        <v>56.82</v>
      </c>
      <c r="Y32" s="10">
        <v>56.96</v>
      </c>
      <c r="Z32" s="10">
        <v>56.43</v>
      </c>
      <c r="AA32" s="10">
        <v>56.73</v>
      </c>
      <c r="AB32" s="95">
        <v>8614700</v>
      </c>
      <c r="AC32" s="10">
        <v>56.57</v>
      </c>
      <c r="AE32" s="138"/>
    </row>
    <row r="33" spans="2:41" x14ac:dyDescent="0.25">
      <c r="B33" s="193">
        <v>42550</v>
      </c>
      <c r="C33" s="7">
        <v>100</v>
      </c>
      <c r="D33" s="79">
        <v>54.6511</v>
      </c>
      <c r="E33" s="40">
        <v>55.13</v>
      </c>
      <c r="F33" s="40">
        <f t="shared" ref="F33:F35" si="7">-C33*(D33-E33)</f>
        <v>47.890000000000299</v>
      </c>
      <c r="G33" s="40">
        <f t="shared" ref="G33:G35" si="8">IF(C33=0, 0,D33*C33)</f>
        <v>5465.11</v>
      </c>
      <c r="H33" s="232">
        <f t="shared" ref="H33:H35" si="9">IF(C33=0, D33, (E33-D33)/D33)</f>
        <v>8.7628611317979513E-3</v>
      </c>
      <c r="I33" s="40" t="s">
        <v>265</v>
      </c>
      <c r="W33" s="133">
        <v>42572</v>
      </c>
      <c r="X33" s="10">
        <v>57.99</v>
      </c>
      <c r="Y33" s="10">
        <v>58.03</v>
      </c>
      <c r="Z33" s="10">
        <v>56.57</v>
      </c>
      <c r="AA33" s="10">
        <v>56.99</v>
      </c>
      <c r="AB33" s="95">
        <v>8262000</v>
      </c>
      <c r="AC33" s="10">
        <v>56.83</v>
      </c>
      <c r="AE33" s="138"/>
    </row>
    <row r="34" spans="2:41" x14ac:dyDescent="0.25">
      <c r="B34" s="193">
        <v>42552</v>
      </c>
      <c r="C34" s="10">
        <v>100</v>
      </c>
      <c r="D34" s="200">
        <v>54.6511</v>
      </c>
      <c r="E34" s="40">
        <v>55.61</v>
      </c>
      <c r="F34" s="40">
        <f t="shared" si="7"/>
        <v>95.889999999999986</v>
      </c>
      <c r="G34" s="40">
        <f t="shared" si="8"/>
        <v>5465.11</v>
      </c>
      <c r="H34" s="232">
        <f t="shared" si="9"/>
        <v>1.7545849946295679E-2</v>
      </c>
      <c r="I34" s="40"/>
      <c r="W34" s="133">
        <v>42571</v>
      </c>
      <c r="X34" s="10">
        <v>57.99</v>
      </c>
      <c r="Y34" s="10">
        <v>58.1</v>
      </c>
      <c r="Z34" s="10">
        <v>57.74</v>
      </c>
      <c r="AA34" s="10">
        <v>57.76</v>
      </c>
      <c r="AB34" s="95">
        <v>5872400</v>
      </c>
      <c r="AC34" s="10">
        <v>57.6</v>
      </c>
      <c r="AE34" s="138"/>
    </row>
    <row r="35" spans="2:41" x14ac:dyDescent="0.25">
      <c r="B35" s="193">
        <v>42556</v>
      </c>
      <c r="C35" s="7">
        <v>100</v>
      </c>
      <c r="D35" s="79">
        <v>54.539099999999998</v>
      </c>
      <c r="E35" s="40">
        <v>55.2</v>
      </c>
      <c r="F35" s="40">
        <f t="shared" si="7"/>
        <v>66.090000000000515</v>
      </c>
      <c r="G35" s="40">
        <f t="shared" si="8"/>
        <v>5453.91</v>
      </c>
      <c r="H35" s="232">
        <f t="shared" si="9"/>
        <v>1.2117911736717422E-2</v>
      </c>
      <c r="I35" s="40" t="s">
        <v>195</v>
      </c>
      <c r="W35" s="133">
        <v>42570</v>
      </c>
      <c r="X35" s="10">
        <v>57.46</v>
      </c>
      <c r="Y35" s="10">
        <v>57.77</v>
      </c>
      <c r="Z35" s="10">
        <v>57.15</v>
      </c>
      <c r="AA35" s="10">
        <v>57.76</v>
      </c>
      <c r="AB35" s="95">
        <v>7442700</v>
      </c>
      <c r="AC35" s="10">
        <v>57.6</v>
      </c>
      <c r="AE35" s="138"/>
    </row>
    <row r="36" spans="2:41" x14ac:dyDescent="0.25">
      <c r="B36" s="193">
        <v>42562</v>
      </c>
      <c r="C36" s="10">
        <v>100</v>
      </c>
      <c r="D36" s="200">
        <v>54.539099999999998</v>
      </c>
      <c r="E36" s="40">
        <v>56.83</v>
      </c>
      <c r="F36" s="40">
        <f t="shared" ref="F36:F37" si="10">-C36*(D36-E36)</f>
        <v>229.09000000000006</v>
      </c>
      <c r="G36" s="40">
        <f t="shared" ref="G36:G37" si="11">IF(C36=0, 0,D36*C36)</f>
        <v>5453.91</v>
      </c>
      <c r="H36" s="232">
        <f t="shared" ref="H36:H37" si="12">IF(C36=0, D36, (E36-D36)/D36)</f>
        <v>4.2004726884015332E-2</v>
      </c>
      <c r="I36" s="40"/>
      <c r="W36" s="133">
        <v>42569</v>
      </c>
      <c r="X36" s="10">
        <v>58</v>
      </c>
      <c r="Y36" s="10">
        <v>58.16</v>
      </c>
      <c r="Z36" s="10">
        <v>57.74</v>
      </c>
      <c r="AA36" s="10">
        <v>57.74</v>
      </c>
      <c r="AB36" s="95">
        <v>6478900</v>
      </c>
      <c r="AC36" s="10">
        <v>57.58</v>
      </c>
      <c r="AE36" s="138"/>
      <c r="AL36" s="234"/>
    </row>
    <row r="37" spans="2:41" x14ac:dyDescent="0.25">
      <c r="B37" s="193">
        <v>42563</v>
      </c>
      <c r="C37" s="10">
        <v>30</v>
      </c>
      <c r="D37" s="200">
        <v>46.98</v>
      </c>
      <c r="E37" s="40">
        <v>58.06</v>
      </c>
      <c r="F37" s="40">
        <f t="shared" si="10"/>
        <v>332.40000000000015</v>
      </c>
      <c r="G37" s="40">
        <f t="shared" si="11"/>
        <v>1409.3999999999999</v>
      </c>
      <c r="H37" s="232">
        <f t="shared" si="12"/>
        <v>0.23584504044274171</v>
      </c>
      <c r="I37" s="40"/>
      <c r="W37" s="133">
        <v>42566</v>
      </c>
      <c r="X37" s="10">
        <v>58.59</v>
      </c>
      <c r="Y37" s="10">
        <v>58.87</v>
      </c>
      <c r="Z37" s="10">
        <v>57.87</v>
      </c>
      <c r="AA37" s="10">
        <v>57.87</v>
      </c>
      <c r="AB37" s="95">
        <v>9225200</v>
      </c>
      <c r="AC37" s="10">
        <v>57.71</v>
      </c>
      <c r="AE37" s="138"/>
    </row>
    <row r="38" spans="2:41" x14ac:dyDescent="0.25">
      <c r="B38" s="193">
        <v>42570</v>
      </c>
      <c r="C38" s="10">
        <v>30</v>
      </c>
      <c r="D38" s="200">
        <v>46.98</v>
      </c>
      <c r="E38" s="40">
        <v>57.76</v>
      </c>
      <c r="F38" s="40">
        <f t="shared" ref="F38" si="13">-C38*(D38-E38)</f>
        <v>323.40000000000003</v>
      </c>
      <c r="G38" s="40">
        <f t="shared" ref="G38" si="14">IF(C38=0, 0,D38*C38)</f>
        <v>1409.3999999999999</v>
      </c>
      <c r="H38" s="232">
        <f t="shared" ref="H38" si="15">IF(C38=0, D38, (E38-D38)/D38)</f>
        <v>0.22945934440187318</v>
      </c>
      <c r="I38" s="40"/>
      <c r="W38" s="133">
        <v>42565</v>
      </c>
      <c r="X38" s="10">
        <v>58.3</v>
      </c>
      <c r="Y38" s="10">
        <v>58.6</v>
      </c>
      <c r="Z38" s="10">
        <v>58.15</v>
      </c>
      <c r="AA38" s="10">
        <v>58.49</v>
      </c>
      <c r="AB38" s="95">
        <v>7488400</v>
      </c>
      <c r="AC38" s="10">
        <v>58.33</v>
      </c>
      <c r="AE38" s="138"/>
    </row>
    <row r="39" spans="2:41" x14ac:dyDescent="0.25">
      <c r="B39" s="193">
        <v>42571</v>
      </c>
      <c r="C39" s="10">
        <v>30</v>
      </c>
      <c r="D39" s="200">
        <v>46.98</v>
      </c>
      <c r="E39" s="40">
        <v>57.76</v>
      </c>
      <c r="F39" s="40">
        <f t="shared" ref="F39" si="16">-C39*(D39-E39)</f>
        <v>323.40000000000003</v>
      </c>
      <c r="G39" s="40">
        <f t="shared" ref="G39" si="17">IF(C39=0, 0,D39*C39)</f>
        <v>1409.3999999999999</v>
      </c>
      <c r="H39" s="232">
        <f t="shared" ref="H39" si="18">IF(C39=0, D39, (E39-D39)/D39)</f>
        <v>0.22945934440187318</v>
      </c>
      <c r="I39" s="40"/>
      <c r="W39" s="133">
        <v>42564</v>
      </c>
      <c r="X39" s="10">
        <v>58.18</v>
      </c>
      <c r="Y39" s="10">
        <v>58.44</v>
      </c>
      <c r="Z39" s="10">
        <v>57.73</v>
      </c>
      <c r="AA39" s="10">
        <v>57.99</v>
      </c>
      <c r="AB39" s="95">
        <v>9126500</v>
      </c>
      <c r="AC39" s="10">
        <v>57.83</v>
      </c>
      <c r="AE39" s="138"/>
    </row>
    <row r="40" spans="2:41" x14ac:dyDescent="0.25">
      <c r="B40" s="193">
        <v>42572</v>
      </c>
      <c r="C40" s="10">
        <v>30</v>
      </c>
      <c r="D40" s="200">
        <v>46.98</v>
      </c>
      <c r="E40" s="40">
        <v>56.99</v>
      </c>
      <c r="F40" s="40">
        <f t="shared" ref="F40" si="19">-C40*(D40-E40)</f>
        <v>300.30000000000018</v>
      </c>
      <c r="G40" s="40">
        <f t="shared" ref="G40" si="20">IF(C40=0, 0,D40*C40)</f>
        <v>1409.3999999999999</v>
      </c>
      <c r="H40" s="232">
        <f t="shared" ref="H40" si="21">IF(C40=0, D40, (E40-D40)/D40)</f>
        <v>0.21306939123031091</v>
      </c>
      <c r="I40" s="40"/>
      <c r="W40" s="133">
        <v>42563</v>
      </c>
      <c r="X40" s="10">
        <v>57.09</v>
      </c>
      <c r="Y40" s="10">
        <v>58.2</v>
      </c>
      <c r="Z40" s="10">
        <v>57.07</v>
      </c>
      <c r="AA40" s="10">
        <v>58.06</v>
      </c>
      <c r="AB40" s="95">
        <v>11164400</v>
      </c>
      <c r="AC40" s="10">
        <v>57.9</v>
      </c>
      <c r="AE40" s="138"/>
    </row>
    <row r="41" spans="2:41" x14ac:dyDescent="0.25">
      <c r="B41" s="193">
        <v>42577</v>
      </c>
      <c r="C41" s="10">
        <v>30</v>
      </c>
      <c r="D41" s="200">
        <v>46.98</v>
      </c>
      <c r="E41" s="40">
        <v>56.37</v>
      </c>
      <c r="F41" s="40">
        <f t="shared" ref="F41" si="22">-C41*(D41-E41)</f>
        <v>281.70000000000005</v>
      </c>
      <c r="G41" s="40">
        <f t="shared" ref="G41" si="23">IF(C41=0, 0,D41*C41)</f>
        <v>1409.3999999999999</v>
      </c>
      <c r="H41" s="232">
        <f t="shared" ref="H41" si="24">IF(C41=0, D41, (E41-D41)/D41)</f>
        <v>0.19987228607918264</v>
      </c>
      <c r="I41" s="40"/>
      <c r="W41" s="133">
        <v>42562</v>
      </c>
      <c r="X41" s="10">
        <v>56.83</v>
      </c>
      <c r="Y41" s="10">
        <v>57.23</v>
      </c>
      <c r="Z41" s="10">
        <v>56.71</v>
      </c>
      <c r="AA41" s="10">
        <v>56.83</v>
      </c>
      <c r="AB41" s="95">
        <v>8122500</v>
      </c>
      <c r="AC41" s="10">
        <v>56.67</v>
      </c>
      <c r="AE41" s="138"/>
    </row>
    <row r="42" spans="2:41" ht="20.25" thickBot="1" x14ac:dyDescent="0.35">
      <c r="B42" s="193">
        <v>42580</v>
      </c>
      <c r="C42" s="10">
        <v>30</v>
      </c>
      <c r="D42" s="200">
        <v>46.98</v>
      </c>
      <c r="E42" s="40">
        <v>55.5</v>
      </c>
      <c r="F42" s="40">
        <f t="shared" ref="F42" si="25">-C42*(D42-E42)</f>
        <v>255.60000000000008</v>
      </c>
      <c r="G42" s="40">
        <f t="shared" ref="G42" si="26">IF(C42=0, 0,D42*C42)</f>
        <v>1409.3999999999999</v>
      </c>
      <c r="H42" s="232">
        <f t="shared" ref="H42" si="27">IF(C42=0, D42, (E42-D42)/D42)</f>
        <v>0.18135376756066418</v>
      </c>
      <c r="I42" s="40"/>
      <c r="T42" s="91" t="s">
        <v>113</v>
      </c>
      <c r="W42" s="133">
        <v>42559</v>
      </c>
      <c r="X42" s="10">
        <v>56.1</v>
      </c>
      <c r="Y42" s="10">
        <v>56.82</v>
      </c>
      <c r="Z42" s="10">
        <v>56.09</v>
      </c>
      <c r="AA42" s="10">
        <v>56.72</v>
      </c>
      <c r="AB42" s="95">
        <v>8645900</v>
      </c>
      <c r="AC42" s="10">
        <v>56.56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58.54</v>
      </c>
      <c r="W43" s="133">
        <v>42558</v>
      </c>
      <c r="X43" s="10">
        <v>55.8</v>
      </c>
      <c r="Y43" s="10">
        <v>55.98</v>
      </c>
      <c r="Z43" s="10">
        <v>55.56</v>
      </c>
      <c r="AA43" s="10">
        <v>55.92</v>
      </c>
      <c r="AB43" s="95">
        <v>6948000</v>
      </c>
      <c r="AC43" s="10">
        <v>55.76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545" t="s">
        <v>78</v>
      </c>
      <c r="P44" s="545"/>
      <c r="T44" s="93" t="s">
        <v>99</v>
      </c>
      <c r="U44" s="130">
        <v>58.63</v>
      </c>
      <c r="W44" s="133">
        <v>42557</v>
      </c>
      <c r="X44" s="10">
        <v>54.88</v>
      </c>
      <c r="Y44" s="10">
        <v>55.81</v>
      </c>
      <c r="Z44" s="10">
        <v>54.82</v>
      </c>
      <c r="AA44" s="10">
        <v>55.8</v>
      </c>
      <c r="AB44" s="95">
        <v>7863400</v>
      </c>
      <c r="AC44" s="10">
        <v>55.65</v>
      </c>
      <c r="AE44" s="138"/>
    </row>
    <row r="45" spans="2:41" ht="15.75" thickTop="1" x14ac:dyDescent="0.25">
      <c r="B45" s="193"/>
      <c r="C45" s="10"/>
      <c r="D45" s="200"/>
      <c r="E45" s="40"/>
      <c r="F45" s="40"/>
      <c r="G45" s="40"/>
      <c r="H45" s="232"/>
      <c r="I45" s="40"/>
      <c r="O45" s="83">
        <v>1.1000000000000001</v>
      </c>
      <c r="P45" s="83">
        <f>O45*$Q$4</f>
        <v>63.151000000000003</v>
      </c>
      <c r="T45" s="93" t="s">
        <v>100</v>
      </c>
      <c r="U45" s="130" t="s">
        <v>526</v>
      </c>
      <c r="W45" s="133">
        <v>42556</v>
      </c>
      <c r="X45" s="10">
        <v>55.34</v>
      </c>
      <c r="Y45" s="10">
        <v>55.91</v>
      </c>
      <c r="Z45" s="10">
        <v>55.01</v>
      </c>
      <c r="AA45" s="10">
        <v>55.2</v>
      </c>
      <c r="AB45" s="95">
        <v>10256100</v>
      </c>
      <c r="AC45" s="10">
        <v>55.05</v>
      </c>
      <c r="AE45" s="138"/>
    </row>
    <row r="46" spans="2:41" x14ac:dyDescent="0.25">
      <c r="O46" s="83">
        <v>1.0900000000000001</v>
      </c>
      <c r="P46" s="83">
        <f t="shared" ref="P46:P65" si="28">O46*$Q$4</f>
        <v>62.576900000000002</v>
      </c>
      <c r="T46" s="93" t="s">
        <v>101</v>
      </c>
      <c r="U46" s="130" t="s">
        <v>527</v>
      </c>
      <c r="W46" s="133">
        <v>42552</v>
      </c>
      <c r="X46" s="10">
        <v>55.07</v>
      </c>
      <c r="Y46" s="10">
        <v>55.81</v>
      </c>
      <c r="Z46" s="10">
        <v>54.91</v>
      </c>
      <c r="AA46" s="10">
        <v>55.61</v>
      </c>
      <c r="AB46" s="95">
        <v>9285100</v>
      </c>
      <c r="AC46" s="10">
        <v>55.46</v>
      </c>
      <c r="AE46" s="138"/>
    </row>
    <row r="47" spans="2:41" x14ac:dyDescent="0.25">
      <c r="O47" s="83">
        <v>1.08</v>
      </c>
      <c r="P47" s="83">
        <f t="shared" si="28"/>
        <v>62.002800000000001</v>
      </c>
      <c r="T47" s="93" t="s">
        <v>102</v>
      </c>
      <c r="U47" s="130">
        <v>65.790000000000006</v>
      </c>
      <c r="W47" s="133">
        <v>42551</v>
      </c>
      <c r="X47" s="10">
        <v>55.29</v>
      </c>
      <c r="Y47" s="10">
        <v>55.43</v>
      </c>
      <c r="Z47" s="10">
        <v>54.6</v>
      </c>
      <c r="AA47" s="10">
        <v>55.2</v>
      </c>
      <c r="AB47" s="95">
        <v>17350500</v>
      </c>
      <c r="AC47" s="10">
        <v>55.05</v>
      </c>
      <c r="AE47" s="138"/>
    </row>
    <row r="48" spans="2:41" x14ac:dyDescent="0.25">
      <c r="O48" s="83">
        <v>1.07</v>
      </c>
      <c r="P48" s="83">
        <f t="shared" si="28"/>
        <v>61.428699999999999</v>
      </c>
      <c r="T48" s="93" t="s">
        <v>103</v>
      </c>
      <c r="U48" s="130">
        <v>0.56589199999999995</v>
      </c>
      <c r="W48" s="133">
        <v>42550</v>
      </c>
      <c r="X48" s="10">
        <v>54.5</v>
      </c>
      <c r="Y48" s="10">
        <v>55.14</v>
      </c>
      <c r="Z48" s="10">
        <v>52.89</v>
      </c>
      <c r="AA48" s="10">
        <v>55.13</v>
      </c>
      <c r="AB48" s="95">
        <v>36084800</v>
      </c>
      <c r="AC48" s="10">
        <v>54.98</v>
      </c>
      <c r="AE48" s="138"/>
    </row>
    <row r="49" spans="1:41" x14ac:dyDescent="0.25">
      <c r="O49" s="83">
        <v>1.06</v>
      </c>
      <c r="P49" s="83">
        <f t="shared" si="28"/>
        <v>60.854599999999998</v>
      </c>
      <c r="T49" s="93" t="s">
        <v>123</v>
      </c>
      <c r="U49" s="130" t="s">
        <v>268</v>
      </c>
      <c r="W49" s="133">
        <v>42549</v>
      </c>
      <c r="X49" s="10">
        <v>52.04</v>
      </c>
      <c r="Y49" s="10">
        <v>53.2</v>
      </c>
      <c r="Z49" s="10">
        <v>51.57</v>
      </c>
      <c r="AA49" s="10">
        <v>53.09</v>
      </c>
      <c r="AB49" s="95">
        <v>20837800</v>
      </c>
      <c r="AC49" s="10">
        <v>52.94</v>
      </c>
      <c r="AE49" s="138"/>
    </row>
    <row r="50" spans="1:41" x14ac:dyDescent="0.25">
      <c r="O50" s="83">
        <v>1.05</v>
      </c>
      <c r="P50" s="83">
        <f t="shared" si="28"/>
        <v>60.280499999999996</v>
      </c>
      <c r="T50" s="93"/>
      <c r="U50" s="130"/>
      <c r="W50" s="133">
        <v>42548</v>
      </c>
      <c r="X50" s="10">
        <v>52</v>
      </c>
      <c r="Y50" s="10">
        <v>52.52</v>
      </c>
      <c r="Z50" s="10">
        <v>51.48</v>
      </c>
      <c r="AA50" s="10">
        <v>51.89</v>
      </c>
      <c r="AB50" s="95">
        <v>15265700</v>
      </c>
      <c r="AC50" s="10">
        <v>51.75</v>
      </c>
      <c r="AE50" s="138"/>
      <c r="AL50" s="234"/>
      <c r="AO50" s="234"/>
    </row>
    <row r="51" spans="1:41" x14ac:dyDescent="0.25">
      <c r="O51" s="83">
        <v>1.04</v>
      </c>
      <c r="P51" s="83">
        <f t="shared" si="28"/>
        <v>59.706399999999995</v>
      </c>
      <c r="T51" s="93" t="s">
        <v>105</v>
      </c>
      <c r="U51" s="130" t="s">
        <v>528</v>
      </c>
      <c r="W51" s="133">
        <v>42545</v>
      </c>
      <c r="X51" s="10">
        <v>52.36</v>
      </c>
      <c r="Y51" s="10">
        <v>53.36</v>
      </c>
      <c r="Z51" s="10">
        <v>52.18</v>
      </c>
      <c r="AA51" s="10">
        <v>52.59</v>
      </c>
      <c r="AB51" s="95">
        <v>18481200</v>
      </c>
      <c r="AC51" s="10">
        <v>52.44</v>
      </c>
      <c r="AE51" s="138"/>
    </row>
    <row r="52" spans="1:41" x14ac:dyDescent="0.25">
      <c r="O52" s="83">
        <v>1.03</v>
      </c>
      <c r="P52" s="83">
        <f t="shared" si="28"/>
        <v>59.132300000000001</v>
      </c>
      <c r="T52" s="93" t="s">
        <v>106</v>
      </c>
      <c r="U52" s="130" t="s">
        <v>363</v>
      </c>
      <c r="W52" s="133">
        <v>42544</v>
      </c>
      <c r="X52" s="10">
        <v>55.11</v>
      </c>
      <c r="Y52" s="10">
        <v>55.18</v>
      </c>
      <c r="Z52" s="10">
        <v>53.95</v>
      </c>
      <c r="AA52" s="10">
        <v>54.12</v>
      </c>
      <c r="AB52" s="95">
        <v>11219800</v>
      </c>
      <c r="AC52" s="10">
        <v>53.97</v>
      </c>
      <c r="AE52" s="138"/>
    </row>
    <row r="53" spans="1:41" x14ac:dyDescent="0.25">
      <c r="O53" s="83">
        <v>1.02</v>
      </c>
      <c r="P53" s="83">
        <f t="shared" si="28"/>
        <v>58.558199999999999</v>
      </c>
      <c r="T53" s="93" t="s">
        <v>107</v>
      </c>
      <c r="U53" s="131">
        <v>6933123</v>
      </c>
      <c r="W53" s="133">
        <v>42543</v>
      </c>
      <c r="X53" s="10">
        <v>55</v>
      </c>
      <c r="Y53" s="10">
        <v>55.14</v>
      </c>
      <c r="Z53" s="10">
        <v>54.53</v>
      </c>
      <c r="AA53" s="10">
        <v>54.57</v>
      </c>
      <c r="AB53" s="95">
        <v>7019600</v>
      </c>
      <c r="AC53" s="10">
        <v>54.42</v>
      </c>
      <c r="AE53" s="138"/>
    </row>
    <row r="54" spans="1:41" x14ac:dyDescent="0.25">
      <c r="O54" s="83">
        <v>1.01</v>
      </c>
      <c r="P54" s="83">
        <f t="shared" si="28"/>
        <v>57.984099999999998</v>
      </c>
      <c r="T54" s="93" t="s">
        <v>110</v>
      </c>
      <c r="U54" s="131">
        <v>9805180</v>
      </c>
      <c r="W54" s="133">
        <v>42542</v>
      </c>
      <c r="X54" s="10">
        <v>54.46</v>
      </c>
      <c r="Y54" s="10">
        <v>55.09</v>
      </c>
      <c r="Z54" s="10">
        <v>54.44</v>
      </c>
      <c r="AA54" s="10">
        <v>54.77</v>
      </c>
      <c r="AB54" s="95">
        <v>8278200</v>
      </c>
      <c r="AC54" s="10">
        <v>54.62</v>
      </c>
      <c r="AE54" s="138"/>
      <c r="AL54" s="234"/>
      <c r="AO54" s="234"/>
    </row>
    <row r="55" spans="1:41" x14ac:dyDescent="0.25">
      <c r="O55" s="83">
        <v>1</v>
      </c>
      <c r="P55" s="83">
        <f t="shared" si="28"/>
        <v>57.41</v>
      </c>
      <c r="T55" s="93" t="s">
        <v>108</v>
      </c>
      <c r="U55" s="130" t="s">
        <v>529</v>
      </c>
      <c r="W55" s="133">
        <v>42541</v>
      </c>
      <c r="X55" s="10">
        <v>54.23</v>
      </c>
      <c r="Y55" s="10">
        <v>55.15</v>
      </c>
      <c r="Z55" s="10">
        <v>54.23</v>
      </c>
      <c r="AA55" s="10">
        <v>54.36</v>
      </c>
      <c r="AB55" s="95">
        <v>8429400</v>
      </c>
      <c r="AC55" s="10">
        <v>54.21</v>
      </c>
      <c r="AE55" s="138"/>
    </row>
    <row r="56" spans="1:41" x14ac:dyDescent="0.25">
      <c r="O56" s="83">
        <v>0.99</v>
      </c>
      <c r="P56" s="83">
        <f t="shared" si="28"/>
        <v>56.835899999999995</v>
      </c>
      <c r="T56" s="93" t="s">
        <v>111</v>
      </c>
      <c r="U56" s="130">
        <v>26.86</v>
      </c>
      <c r="W56" s="133">
        <v>42538</v>
      </c>
      <c r="X56" s="10">
        <v>53.45</v>
      </c>
      <c r="Y56" s="10">
        <v>53.87</v>
      </c>
      <c r="Z56" s="10">
        <v>53.16</v>
      </c>
      <c r="AA56" s="10">
        <v>53.71</v>
      </c>
      <c r="AB56" s="95">
        <v>11007100</v>
      </c>
      <c r="AC56" s="10">
        <v>53.56</v>
      </c>
      <c r="AE56" s="138"/>
    </row>
    <row r="57" spans="1:41" x14ac:dyDescent="0.25">
      <c r="O57" s="83">
        <v>0.98</v>
      </c>
      <c r="P57" s="83">
        <f t="shared" si="28"/>
        <v>56.261799999999994</v>
      </c>
      <c r="T57" s="93" t="s">
        <v>112</v>
      </c>
      <c r="U57" s="130">
        <v>2.16</v>
      </c>
      <c r="W57" s="133">
        <v>42537</v>
      </c>
      <c r="X57" s="10">
        <v>53.54</v>
      </c>
      <c r="Y57" s="10">
        <v>53.64</v>
      </c>
      <c r="Z57" s="10">
        <v>52.94</v>
      </c>
      <c r="AA57" s="10">
        <v>53.47</v>
      </c>
      <c r="AB57" s="95">
        <v>14456500</v>
      </c>
      <c r="AC57" s="10">
        <v>53.32</v>
      </c>
      <c r="AE57" s="138"/>
    </row>
    <row r="58" spans="1:41" x14ac:dyDescent="0.25">
      <c r="O58" s="83">
        <v>0.97</v>
      </c>
      <c r="P58" s="83">
        <f t="shared" si="28"/>
        <v>55.687699999999992</v>
      </c>
      <c r="T58" s="93" t="s">
        <v>109</v>
      </c>
      <c r="U58" s="130" t="s">
        <v>530</v>
      </c>
      <c r="W58" s="133">
        <v>42536</v>
      </c>
      <c r="X58" s="10">
        <v>54.24</v>
      </c>
      <c r="Y58" s="10">
        <v>55.06</v>
      </c>
      <c r="Z58" s="10">
        <v>54.24</v>
      </c>
      <c r="AA58" s="10">
        <v>54.31</v>
      </c>
      <c r="AB58" s="95">
        <v>7498400</v>
      </c>
      <c r="AC58" s="10">
        <v>54.16</v>
      </c>
      <c r="AE58" s="138"/>
      <c r="AL58" s="234"/>
      <c r="AO58" s="234"/>
    </row>
    <row r="59" spans="1:41" x14ac:dyDescent="0.25">
      <c r="O59" s="83">
        <v>0.96</v>
      </c>
      <c r="P59" s="83">
        <f t="shared" si="28"/>
        <v>55.113599999999998</v>
      </c>
      <c r="W59" s="133">
        <v>42535</v>
      </c>
      <c r="X59" s="10">
        <v>54.58</v>
      </c>
      <c r="Y59" s="10">
        <v>54.94</v>
      </c>
      <c r="Z59" s="10">
        <v>54.08</v>
      </c>
      <c r="AA59" s="10">
        <v>54.12</v>
      </c>
      <c r="AB59" s="95">
        <v>9585600</v>
      </c>
      <c r="AC59" s="10">
        <v>53.97</v>
      </c>
      <c r="AE59" s="138"/>
    </row>
    <row r="60" spans="1:41" x14ac:dyDescent="0.25">
      <c r="O60" s="83">
        <v>0.95</v>
      </c>
      <c r="P60" s="83">
        <f t="shared" si="28"/>
        <v>54.539499999999997</v>
      </c>
      <c r="W60" s="133">
        <v>42534</v>
      </c>
      <c r="X60" s="10">
        <v>55</v>
      </c>
      <c r="Y60" s="10">
        <v>55.64</v>
      </c>
      <c r="Z60" s="10">
        <v>54.88</v>
      </c>
      <c r="AA60" s="10">
        <v>54.91</v>
      </c>
      <c r="AB60" s="95">
        <v>8582200</v>
      </c>
      <c r="AC60" s="10">
        <v>54.76</v>
      </c>
      <c r="AE60" s="138"/>
    </row>
    <row r="61" spans="1:41" x14ac:dyDescent="0.25">
      <c r="O61" s="83">
        <v>0.94</v>
      </c>
      <c r="P61" s="83">
        <f t="shared" si="28"/>
        <v>53.965399999999995</v>
      </c>
      <c r="W61" s="133">
        <v>42531</v>
      </c>
      <c r="X61" s="10">
        <v>54.64</v>
      </c>
      <c r="Y61" s="10">
        <v>55.36</v>
      </c>
      <c r="Z61" s="10">
        <v>54.55</v>
      </c>
      <c r="AA61" s="10">
        <v>55.11</v>
      </c>
      <c r="AB61" s="95">
        <v>12183600</v>
      </c>
      <c r="AC61" s="10">
        <v>54.96</v>
      </c>
      <c r="AE61" s="138"/>
    </row>
    <row r="62" spans="1:41" x14ac:dyDescent="0.25">
      <c r="O62" s="83">
        <v>0.93</v>
      </c>
      <c r="P62" s="83">
        <f t="shared" si="28"/>
        <v>53.391300000000001</v>
      </c>
      <c r="W62" s="133">
        <v>42530</v>
      </c>
      <c r="X62" s="10">
        <v>54.11</v>
      </c>
      <c r="Y62" s="10">
        <v>55.05</v>
      </c>
      <c r="Z62" s="10">
        <v>53.88</v>
      </c>
      <c r="AA62" s="10">
        <v>54.94</v>
      </c>
      <c r="AB62" s="95">
        <v>11609800</v>
      </c>
      <c r="AC62" s="10">
        <v>54.79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28"/>
        <v>52.8172</v>
      </c>
      <c r="W63" s="133">
        <v>42529</v>
      </c>
      <c r="X63" s="10">
        <v>53.83</v>
      </c>
      <c r="Y63" s="10">
        <v>54.34</v>
      </c>
      <c r="Z63" s="10">
        <v>53.66</v>
      </c>
      <c r="AA63" s="10">
        <v>54.12</v>
      </c>
      <c r="AB63" s="95">
        <v>12068500</v>
      </c>
      <c r="AC63" s="10">
        <v>53.97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522" t="s">
        <v>7</v>
      </c>
      <c r="J64" s="522" t="s">
        <v>95</v>
      </c>
      <c r="K64" s="522" t="s">
        <v>61</v>
      </c>
      <c r="L64" s="32" t="s">
        <v>37</v>
      </c>
      <c r="M64" s="32" t="s">
        <v>38</v>
      </c>
      <c r="O64" s="83">
        <v>0.91</v>
      </c>
      <c r="P64" s="83">
        <f t="shared" si="28"/>
        <v>52.243099999999998</v>
      </c>
      <c r="W64" s="133">
        <v>42528</v>
      </c>
      <c r="X64" s="10">
        <v>54.16</v>
      </c>
      <c r="Y64" s="10">
        <v>54.35</v>
      </c>
      <c r="Z64" s="10">
        <v>53.55</v>
      </c>
      <c r="AA64" s="10">
        <v>53.55</v>
      </c>
      <c r="AB64" s="95">
        <v>13334000</v>
      </c>
      <c r="AC64" s="10">
        <v>53.4</v>
      </c>
      <c r="AE64" s="138"/>
    </row>
    <row r="65" spans="1:31" x14ac:dyDescent="0.25">
      <c r="A65" s="265" t="s">
        <v>205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28"/>
        <v>51.668999999999997</v>
      </c>
      <c r="W65" s="133">
        <v>42527</v>
      </c>
      <c r="X65" s="10">
        <v>53.77</v>
      </c>
      <c r="Y65" s="10">
        <v>54.54</v>
      </c>
      <c r="Z65" s="10">
        <v>53.69</v>
      </c>
      <c r="AA65" s="10">
        <v>54.3</v>
      </c>
      <c r="AB65" s="95">
        <v>13808300</v>
      </c>
      <c r="AC65" s="10">
        <v>54.15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285</v>
      </c>
      <c r="M66" s="261"/>
      <c r="W66" s="133">
        <v>42524</v>
      </c>
      <c r="X66" s="10">
        <v>54.29</v>
      </c>
      <c r="Y66" s="10">
        <v>54.57</v>
      </c>
      <c r="Z66" s="10">
        <v>53.4</v>
      </c>
      <c r="AA66" s="10">
        <v>53.45</v>
      </c>
      <c r="AB66" s="95">
        <v>17265800</v>
      </c>
      <c r="AC66" s="10">
        <v>53.3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42523</v>
      </c>
      <c r="X67" s="10">
        <v>54.22</v>
      </c>
      <c r="Y67" s="10">
        <v>54.67</v>
      </c>
      <c r="Z67" s="10">
        <v>54.22</v>
      </c>
      <c r="AA67" s="10">
        <v>54.53</v>
      </c>
      <c r="AB67" s="95">
        <v>13901700</v>
      </c>
      <c r="AC67" s="10">
        <v>54.38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42523</v>
      </c>
      <c r="X68" s="10" t="s">
        <v>206</v>
      </c>
      <c r="Y68" s="10"/>
      <c r="Z68" s="10"/>
      <c r="AA68" s="10"/>
      <c r="AB68" s="95"/>
      <c r="AC68" s="10"/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>
        <v>42522</v>
      </c>
      <c r="X69">
        <v>53.33</v>
      </c>
      <c r="Y69">
        <v>55.04</v>
      </c>
      <c r="Z69">
        <v>52.92</v>
      </c>
      <c r="AA69">
        <v>54.93</v>
      </c>
      <c r="AB69" s="235">
        <v>28409300</v>
      </c>
      <c r="AC69">
        <v>54.62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  <c r="W70" s="133" t="s">
        <v>122</v>
      </c>
      <c r="X70" s="10"/>
      <c r="Y70" s="10"/>
      <c r="Z70" s="10"/>
      <c r="AA70" s="10"/>
      <c r="AB70" s="95"/>
      <c r="AC70" s="10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29">SUM(M65:M80)</f>
        <v>11.2</v>
      </c>
    </row>
    <row r="82" spans="1:13" ht="15.75" thickBot="1" x14ac:dyDescent="0.3">
      <c r="A82" s="488" t="s">
        <v>204</v>
      </c>
      <c r="B82" s="489"/>
      <c r="C82" s="490">
        <f>SumByColor($A$19,C65:C80)</f>
        <v>0</v>
      </c>
      <c r="D82" s="490"/>
      <c r="E82" s="490"/>
      <c r="F82" s="491">
        <f>SumByColor($A$19,F65:F68)</f>
        <v>0</v>
      </c>
      <c r="G82" s="490"/>
      <c r="H82" s="490">
        <f>SumByColor($A$19,H65:H80)</f>
        <v>0</v>
      </c>
      <c r="I82" s="490"/>
      <c r="J82" s="490"/>
      <c r="K82" s="491">
        <f>SumByColor($A$19,K65:K80)</f>
        <v>0</v>
      </c>
      <c r="L82" s="490"/>
      <c r="M82" s="491">
        <f>SumByColor($A$19,M65:M80)</f>
        <v>0</v>
      </c>
    </row>
  </sheetData>
  <mergeCells count="1">
    <mergeCell ref="O44:P44"/>
  </mergeCells>
  <conditionalFormatting sqref="P16:P2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7:F33 F35:F45">
    <cfRule type="expression" dxfId="530" priority="29">
      <formula>F27&gt;0</formula>
    </cfRule>
    <cfRule type="expression" dxfId="529" priority="30">
      <formula>F27&lt;0</formula>
    </cfRule>
  </conditionalFormatting>
  <conditionalFormatting sqref="H27:H33 H35:H45">
    <cfRule type="expression" dxfId="528" priority="25">
      <formula>H27&gt;0</formula>
    </cfRule>
    <cfRule type="expression" dxfId="527" priority="26">
      <formula>H27&lt;0</formula>
    </cfRule>
  </conditionalFormatting>
  <conditionalFormatting sqref="F23:F26">
    <cfRule type="expression" dxfId="526" priority="11">
      <formula>F23&gt;0</formula>
    </cfRule>
    <cfRule type="expression" dxfId="525" priority="12">
      <formula>F23&lt;0</formula>
    </cfRule>
  </conditionalFormatting>
  <conditionalFormatting sqref="H23:H26">
    <cfRule type="expression" dxfId="524" priority="9">
      <formula>H23&gt;0</formula>
    </cfRule>
    <cfRule type="expression" dxfId="523" priority="10">
      <formula>H23&lt;0</formula>
    </cfRule>
  </conditionalFormatting>
  <conditionalFormatting sqref="Q8">
    <cfRule type="expression" dxfId="522" priority="5">
      <formula>Q8&gt;0</formula>
    </cfRule>
    <cfRule type="expression" dxfId="521" priority="6">
      <formula>Q8&lt;0</formula>
    </cfRule>
  </conditionalFormatting>
  <conditionalFormatting sqref="Q7">
    <cfRule type="expression" dxfId="520" priority="7">
      <formula>Q7&gt;0</formula>
    </cfRule>
    <cfRule type="expression" dxfId="519" priority="8">
      <formula>Q7&lt;0</formula>
    </cfRule>
  </conditionalFormatting>
  <conditionalFormatting sqref="F34">
    <cfRule type="expression" dxfId="518" priority="3">
      <formula>F34&gt;0</formula>
    </cfRule>
    <cfRule type="expression" dxfId="517" priority="4">
      <formula>F34&lt;0</formula>
    </cfRule>
  </conditionalFormatting>
  <conditionalFormatting sqref="H34">
    <cfRule type="expression" dxfId="516" priority="1">
      <formula>H34&gt;0</formula>
    </cfRule>
    <cfRule type="expression" dxfId="515" priority="2">
      <formula>H34&lt;0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75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8554687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480" t="s">
        <v>291</v>
      </c>
      <c r="W2" s="133">
        <v>42615</v>
      </c>
      <c r="X2" s="10">
        <v>29.48</v>
      </c>
      <c r="Y2" s="10">
        <v>29.85</v>
      </c>
      <c r="Z2" s="10">
        <v>28.9</v>
      </c>
      <c r="AA2" s="10">
        <v>29.49</v>
      </c>
      <c r="AB2" s="95">
        <v>3839200</v>
      </c>
      <c r="AC2" s="10">
        <v>29.49</v>
      </c>
      <c r="AD2" s="2">
        <f>Y2-Z2</f>
        <v>0.95000000000000284</v>
      </c>
      <c r="AE2" s="138">
        <f>AC2/AC3-1</f>
        <v>1.0970174837161339E-2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28.65</v>
      </c>
      <c r="T3" s="1"/>
      <c r="W3" s="133">
        <v>42614</v>
      </c>
      <c r="X3" s="10">
        <v>30</v>
      </c>
      <c r="Y3" s="10">
        <v>30.03</v>
      </c>
      <c r="Z3" s="10">
        <v>29.04</v>
      </c>
      <c r="AA3" s="10">
        <v>29.17</v>
      </c>
      <c r="AB3" s="95">
        <v>6231100</v>
      </c>
      <c r="AC3" s="10">
        <v>29.17</v>
      </c>
      <c r="AD3" s="2">
        <f t="shared" ref="AD3:AD66" si="0">Y3-Z3</f>
        <v>0.99000000000000199</v>
      </c>
      <c r="AE3" s="138">
        <f t="shared" ref="AE3:AE66" si="1">AC3/AC4-1</f>
        <v>-2.9930162953109352E-2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28.65</v>
      </c>
      <c r="T4" s="163"/>
      <c r="U4" s="1"/>
      <c r="W4" s="133">
        <v>42613</v>
      </c>
      <c r="X4" s="10">
        <v>30.3</v>
      </c>
      <c r="Y4" s="10">
        <v>30.39</v>
      </c>
      <c r="Z4" s="10">
        <v>29.55</v>
      </c>
      <c r="AA4" s="10">
        <v>30.07</v>
      </c>
      <c r="AB4" s="95">
        <v>8702700</v>
      </c>
      <c r="AC4" s="10">
        <v>30.07</v>
      </c>
      <c r="AD4" s="2">
        <f t="shared" si="0"/>
        <v>0.83999999999999986</v>
      </c>
      <c r="AE4" s="138">
        <f t="shared" si="1"/>
        <v>-1.2479474548440006E-2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42612</v>
      </c>
      <c r="X5" s="10">
        <v>27.95</v>
      </c>
      <c r="Y5" s="10">
        <v>30.96</v>
      </c>
      <c r="Z5" s="10">
        <v>27.69</v>
      </c>
      <c r="AA5" s="10">
        <v>30.45</v>
      </c>
      <c r="AB5" s="95">
        <v>21094800</v>
      </c>
      <c r="AC5" s="10">
        <v>30.45</v>
      </c>
      <c r="AD5" s="2">
        <f t="shared" si="0"/>
        <v>3.2699999999999996</v>
      </c>
      <c r="AE5" s="138">
        <f t="shared" si="1"/>
        <v>8.9445438282647505E-2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42611</v>
      </c>
      <c r="X6" s="10">
        <v>27.67</v>
      </c>
      <c r="Y6" s="10">
        <v>28.16</v>
      </c>
      <c r="Z6" s="10">
        <v>27.67</v>
      </c>
      <c r="AA6" s="10">
        <v>27.95</v>
      </c>
      <c r="AB6" s="95">
        <v>3132000</v>
      </c>
      <c r="AC6" s="10">
        <v>27.95</v>
      </c>
      <c r="AD6" s="2">
        <f t="shared" si="0"/>
        <v>0.48999999999999844</v>
      </c>
      <c r="AE6" s="138">
        <f t="shared" si="1"/>
        <v>1.26811594202898E-2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287.94000000000005</v>
      </c>
      <c r="R7">
        <v>0</v>
      </c>
      <c r="W7" s="133">
        <v>42608</v>
      </c>
      <c r="X7" s="10">
        <v>28.67</v>
      </c>
      <c r="Y7" s="10">
        <v>28.9</v>
      </c>
      <c r="Z7" s="10">
        <v>27.47</v>
      </c>
      <c r="AA7" s="10">
        <v>27.6</v>
      </c>
      <c r="AB7" s="95">
        <v>5416500</v>
      </c>
      <c r="AC7" s="10">
        <v>27.6</v>
      </c>
      <c r="AD7" s="2">
        <f t="shared" si="0"/>
        <v>1.4299999999999997</v>
      </c>
      <c r="AE7" s="138">
        <f t="shared" si="1"/>
        <v>-3.157894736842104E-2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42607</v>
      </c>
      <c r="X8" s="10">
        <v>28.5</v>
      </c>
      <c r="Y8" s="10">
        <v>28.8</v>
      </c>
      <c r="Z8" s="10">
        <v>28.33</v>
      </c>
      <c r="AA8" s="10">
        <v>28.5</v>
      </c>
      <c r="AB8" s="95">
        <v>2979000</v>
      </c>
      <c r="AC8" s="10">
        <v>28.5</v>
      </c>
      <c r="AD8" s="2">
        <f t="shared" si="0"/>
        <v>0.47000000000000242</v>
      </c>
      <c r="AE8" s="138">
        <f t="shared" si="1"/>
        <v>2.1097046413500742E-3</v>
      </c>
    </row>
    <row r="9" spans="1:31" x14ac:dyDescent="0.25">
      <c r="H9" s="72"/>
      <c r="O9" s="11" t="s">
        <v>224</v>
      </c>
      <c r="Q9" s="138">
        <f>IF(Q2=0, 0, Q8/Q6)</f>
        <v>0</v>
      </c>
      <c r="W9" s="133">
        <v>42606</v>
      </c>
      <c r="X9" s="10">
        <v>29.22</v>
      </c>
      <c r="Y9" s="10">
        <v>29.38</v>
      </c>
      <c r="Z9" s="10">
        <v>28.39</v>
      </c>
      <c r="AA9" s="10">
        <v>28.44</v>
      </c>
      <c r="AB9" s="95">
        <v>4235600</v>
      </c>
      <c r="AC9" s="10">
        <v>28.44</v>
      </c>
      <c r="AD9" s="2">
        <f t="shared" si="0"/>
        <v>0.98999999999999844</v>
      </c>
      <c r="AE9" s="138">
        <f t="shared" si="1"/>
        <v>-2.8356679193713652E-2</v>
      </c>
    </row>
    <row r="10" spans="1:31" x14ac:dyDescent="0.25">
      <c r="H10" s="72"/>
      <c r="O10" s="11" t="s">
        <v>223</v>
      </c>
      <c r="P10" s="34"/>
      <c r="Q10" s="2">
        <f>M56</f>
        <v>287.94000000000005</v>
      </c>
      <c r="W10" s="133">
        <v>42605</v>
      </c>
      <c r="X10" s="10">
        <v>28.72</v>
      </c>
      <c r="Y10" s="10">
        <v>29.47</v>
      </c>
      <c r="Z10" s="10">
        <v>28.64</v>
      </c>
      <c r="AA10" s="10">
        <v>29.27</v>
      </c>
      <c r="AB10" s="95">
        <v>5265900</v>
      </c>
      <c r="AC10" s="10">
        <v>29.27</v>
      </c>
      <c r="AD10" s="2">
        <f t="shared" si="0"/>
        <v>0.82999999999999829</v>
      </c>
      <c r="AE10" s="138">
        <f t="shared" si="1"/>
        <v>3.0996829869672338E-2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2.9000000000000001E-2</v>
      </c>
      <c r="W11" s="133">
        <v>42604</v>
      </c>
      <c r="X11" s="10">
        <v>27.87</v>
      </c>
      <c r="Y11" s="10">
        <v>28.43</v>
      </c>
      <c r="Z11" s="10">
        <v>27.72</v>
      </c>
      <c r="AA11" s="10">
        <v>28.39</v>
      </c>
      <c r="AB11" s="95">
        <v>3536500</v>
      </c>
      <c r="AC11" s="10">
        <v>28.39</v>
      </c>
      <c r="AD11" s="2">
        <f t="shared" si="0"/>
        <v>0.71000000000000085</v>
      </c>
      <c r="AE11" s="138">
        <f t="shared" si="1"/>
        <v>1.1400071250445398E-2</v>
      </c>
    </row>
    <row r="12" spans="1:31" x14ac:dyDescent="0.25">
      <c r="H12" s="72"/>
      <c r="W12" s="133">
        <v>42601</v>
      </c>
      <c r="X12" s="10">
        <v>27.65</v>
      </c>
      <c r="Y12" s="10">
        <v>28.15</v>
      </c>
      <c r="Z12" s="10">
        <v>27.44</v>
      </c>
      <c r="AA12" s="10">
        <v>28.07</v>
      </c>
      <c r="AB12" s="95">
        <v>3010000</v>
      </c>
      <c r="AC12" s="10">
        <v>28.07</v>
      </c>
      <c r="AD12" s="2">
        <f t="shared" si="0"/>
        <v>0.7099999999999973</v>
      </c>
      <c r="AE12" s="138">
        <f t="shared" si="1"/>
        <v>3.9341917024320328E-3</v>
      </c>
    </row>
    <row r="13" spans="1:31" x14ac:dyDescent="0.25">
      <c r="H13" s="72"/>
      <c r="W13" s="133">
        <v>42600</v>
      </c>
      <c r="X13" s="10">
        <v>27.86</v>
      </c>
      <c r="Y13" s="10">
        <v>28.03</v>
      </c>
      <c r="Z13" s="10">
        <v>27.62</v>
      </c>
      <c r="AA13" s="10">
        <v>27.96</v>
      </c>
      <c r="AB13" s="95">
        <v>4276700</v>
      </c>
      <c r="AC13" s="10">
        <v>27.96</v>
      </c>
      <c r="AD13" s="2">
        <f t="shared" si="0"/>
        <v>0.41000000000000014</v>
      </c>
      <c r="AE13" s="138">
        <f t="shared" si="1"/>
        <v>5.7553956834532904E-3</v>
      </c>
    </row>
    <row r="14" spans="1:31" x14ac:dyDescent="0.25">
      <c r="H14" s="72"/>
      <c r="W14" s="133">
        <v>42599</v>
      </c>
      <c r="X14" s="10">
        <v>27.8</v>
      </c>
      <c r="Y14" s="10">
        <v>27.97</v>
      </c>
      <c r="Z14" s="10">
        <v>27.37</v>
      </c>
      <c r="AA14" s="10">
        <v>27.8</v>
      </c>
      <c r="AB14" s="95">
        <v>4616900</v>
      </c>
      <c r="AC14" s="10">
        <v>27.8</v>
      </c>
      <c r="AD14" s="2">
        <f t="shared" si="0"/>
        <v>0.59999999999999787</v>
      </c>
      <c r="AE14" s="138">
        <f t="shared" si="1"/>
        <v>-9.6188101175632701E-3</v>
      </c>
    </row>
    <row r="15" spans="1:31" x14ac:dyDescent="0.25">
      <c r="H15" s="72"/>
      <c r="W15" s="133">
        <v>42598</v>
      </c>
      <c r="X15" s="10">
        <v>28.5</v>
      </c>
      <c r="Y15" s="10">
        <v>28.7</v>
      </c>
      <c r="Z15" s="10">
        <v>27.85</v>
      </c>
      <c r="AA15" s="10">
        <v>28.07</v>
      </c>
      <c r="AB15" s="95">
        <v>4670000</v>
      </c>
      <c r="AC15" s="10">
        <v>28.07</v>
      </c>
      <c r="AD15" s="2">
        <f t="shared" si="0"/>
        <v>0.84999999999999787</v>
      </c>
      <c r="AE15" s="138">
        <f t="shared" si="1"/>
        <v>-1.2662680267323201E-2</v>
      </c>
    </row>
    <row r="16" spans="1:31" x14ac:dyDescent="0.25">
      <c r="H16" s="72"/>
      <c r="W16" s="133">
        <v>42597</v>
      </c>
      <c r="X16" s="10">
        <v>27.26</v>
      </c>
      <c r="Y16" s="10">
        <v>28.5</v>
      </c>
      <c r="Z16" s="10">
        <v>27.19</v>
      </c>
      <c r="AA16" s="10">
        <v>28.43</v>
      </c>
      <c r="AB16" s="95">
        <v>4628700</v>
      </c>
      <c r="AC16" s="10">
        <v>28.43</v>
      </c>
      <c r="AD16" s="2">
        <f t="shared" si="0"/>
        <v>1.3099999999999987</v>
      </c>
      <c r="AE16" s="138">
        <f t="shared" si="1"/>
        <v>4.5989698307579152E-2</v>
      </c>
    </row>
    <row r="17" spans="1:31" x14ac:dyDescent="0.25">
      <c r="W17" s="133">
        <v>42594</v>
      </c>
      <c r="X17" s="10">
        <v>28.11</v>
      </c>
      <c r="Y17" s="10">
        <v>28.5</v>
      </c>
      <c r="Z17" s="10">
        <v>27.13</v>
      </c>
      <c r="AA17" s="10">
        <v>27.18</v>
      </c>
      <c r="AB17" s="95">
        <v>5417400</v>
      </c>
      <c r="AC17" s="10">
        <v>27.18</v>
      </c>
      <c r="AD17" s="2">
        <f t="shared" si="0"/>
        <v>1.370000000000001</v>
      </c>
      <c r="AE17" s="138">
        <f t="shared" si="1"/>
        <v>-3.3084311632870844E-2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42593</v>
      </c>
      <c r="X18" s="10">
        <v>27.94</v>
      </c>
      <c r="Y18" s="10">
        <v>28.18</v>
      </c>
      <c r="Z18" s="10">
        <v>27.3</v>
      </c>
      <c r="AA18" s="10">
        <v>28.11</v>
      </c>
      <c r="AB18" s="95">
        <v>4386000</v>
      </c>
      <c r="AC18" s="10">
        <v>28.11</v>
      </c>
      <c r="AD18" s="2">
        <f t="shared" si="0"/>
        <v>0.87999999999999901</v>
      </c>
      <c r="AE18" s="138">
        <f t="shared" si="1"/>
        <v>8.2496413199426577E-3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42592</v>
      </c>
      <c r="X19" s="10">
        <v>28.31</v>
      </c>
      <c r="Y19" s="10">
        <v>28.7</v>
      </c>
      <c r="Z19" s="10">
        <v>27.79</v>
      </c>
      <c r="AA19" s="10">
        <v>27.88</v>
      </c>
      <c r="AB19" s="95">
        <v>5130600</v>
      </c>
      <c r="AC19" s="10">
        <v>27.88</v>
      </c>
      <c r="AD19" s="2">
        <f t="shared" si="0"/>
        <v>0.91000000000000014</v>
      </c>
      <c r="AE19" s="138">
        <f t="shared" si="1"/>
        <v>-1.1697979439915018E-2</v>
      </c>
    </row>
    <row r="20" spans="1:31" x14ac:dyDescent="0.25">
      <c r="W20" s="133">
        <v>42591</v>
      </c>
      <c r="X20" s="10">
        <v>28.39</v>
      </c>
      <c r="Y20" s="10">
        <v>28.66</v>
      </c>
      <c r="Z20" s="10">
        <v>28.12</v>
      </c>
      <c r="AA20" s="10">
        <v>28.21</v>
      </c>
      <c r="AB20" s="95">
        <v>4342300</v>
      </c>
      <c r="AC20" s="10">
        <v>28.21</v>
      </c>
      <c r="AD20" s="2">
        <f t="shared" si="0"/>
        <v>0.53999999999999915</v>
      </c>
      <c r="AE20" s="138">
        <f t="shared" si="1"/>
        <v>-3.8841807909604231E-3</v>
      </c>
    </row>
    <row r="21" spans="1:31" x14ac:dyDescent="0.25">
      <c r="W21" s="133">
        <v>42590</v>
      </c>
      <c r="X21" s="10">
        <v>27.47</v>
      </c>
      <c r="Y21" s="10">
        <v>28.4</v>
      </c>
      <c r="Z21" s="10">
        <v>27.47</v>
      </c>
      <c r="AA21" s="10">
        <v>28.32</v>
      </c>
      <c r="AB21" s="95">
        <v>4755700</v>
      </c>
      <c r="AC21" s="10">
        <v>28.32</v>
      </c>
      <c r="AD21" s="2">
        <f t="shared" si="0"/>
        <v>0.92999999999999972</v>
      </c>
      <c r="AE21" s="138">
        <f t="shared" si="1"/>
        <v>3.8503850385038563E-2</v>
      </c>
    </row>
    <row r="22" spans="1:31" x14ac:dyDescent="0.25">
      <c r="W22" s="133">
        <v>42587</v>
      </c>
      <c r="X22" s="10">
        <v>26.65</v>
      </c>
      <c r="Y22" s="10">
        <v>27.69</v>
      </c>
      <c r="Z22" s="10">
        <v>26.51</v>
      </c>
      <c r="AA22" s="10">
        <v>27.27</v>
      </c>
      <c r="AB22" s="95">
        <v>6205800</v>
      </c>
      <c r="AC22" s="10">
        <v>27.27</v>
      </c>
      <c r="AD22" s="2">
        <f t="shared" si="0"/>
        <v>1.1799999999999997</v>
      </c>
      <c r="AE22" s="138">
        <f t="shared" si="1"/>
        <v>3.1391830559757805E-2</v>
      </c>
    </row>
    <row r="23" spans="1:31" x14ac:dyDescent="0.25">
      <c r="W23" s="133">
        <v>42586</v>
      </c>
      <c r="X23" s="10">
        <v>27.11</v>
      </c>
      <c r="Y23" s="10">
        <v>27.11</v>
      </c>
      <c r="Z23" s="10">
        <v>25.98</v>
      </c>
      <c r="AA23" s="10">
        <v>26.44</v>
      </c>
      <c r="AB23" s="95">
        <v>6586900</v>
      </c>
      <c r="AC23" s="10">
        <v>26.44</v>
      </c>
      <c r="AD23" s="2">
        <f t="shared" si="0"/>
        <v>1.129999999999999</v>
      </c>
      <c r="AE23" s="138">
        <f t="shared" si="1"/>
        <v>-3.1501831501831501E-2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42585</v>
      </c>
      <c r="X24" s="10">
        <v>27.11</v>
      </c>
      <c r="Y24" s="10">
        <v>27.75</v>
      </c>
      <c r="Z24" s="10">
        <v>26.85</v>
      </c>
      <c r="AA24" s="10">
        <v>27.3</v>
      </c>
      <c r="AB24" s="95">
        <v>6253300</v>
      </c>
      <c r="AC24" s="10">
        <v>27.3</v>
      </c>
      <c r="AD24" s="2">
        <f t="shared" si="0"/>
        <v>0.89999999999999858</v>
      </c>
      <c r="AE24" s="138">
        <f t="shared" si="1"/>
        <v>1.4673514306675628E-3</v>
      </c>
    </row>
    <row r="25" spans="1:31" x14ac:dyDescent="0.25">
      <c r="B25" s="193">
        <v>42548</v>
      </c>
      <c r="C25" s="10">
        <v>100</v>
      </c>
      <c r="D25" s="40">
        <v>25</v>
      </c>
      <c r="E25" s="40">
        <v>24.69</v>
      </c>
      <c r="F25" s="40">
        <f t="shared" ref="F25:F30" si="3">C25*(E25-D25)</f>
        <v>-30.999999999999872</v>
      </c>
      <c r="G25" s="40">
        <f t="shared" ref="G25:G30" si="4">D25*C25</f>
        <v>2500</v>
      </c>
      <c r="H25" s="231">
        <f t="shared" ref="H25:H30" si="5">(E25-D25)/D25</f>
        <v>-1.2399999999999949E-2</v>
      </c>
      <c r="I25" s="40"/>
      <c r="W25" s="133">
        <v>42584</v>
      </c>
      <c r="X25" s="10">
        <v>26.42</v>
      </c>
      <c r="Y25" s="10">
        <v>28.06</v>
      </c>
      <c r="Z25" s="10">
        <v>26.42</v>
      </c>
      <c r="AA25" s="10">
        <v>27.26</v>
      </c>
      <c r="AB25" s="95">
        <v>8097800</v>
      </c>
      <c r="AC25" s="10">
        <v>27.26</v>
      </c>
      <c r="AD25" s="2">
        <f t="shared" si="0"/>
        <v>1.639999999999997</v>
      </c>
      <c r="AE25" s="138">
        <f t="shared" si="1"/>
        <v>2.3657529102516062E-2</v>
      </c>
    </row>
    <row r="26" spans="1:31" x14ac:dyDescent="0.25">
      <c r="B26" s="193">
        <v>42549</v>
      </c>
      <c r="C26" s="10">
        <v>100</v>
      </c>
      <c r="D26" s="40">
        <v>25</v>
      </c>
      <c r="E26" s="40">
        <v>25.26</v>
      </c>
      <c r="F26" s="40">
        <f t="shared" si="3"/>
        <v>26.000000000000156</v>
      </c>
      <c r="G26" s="40">
        <f t="shared" si="4"/>
        <v>2500</v>
      </c>
      <c r="H26" s="231">
        <f t="shared" si="5"/>
        <v>1.0400000000000062E-2</v>
      </c>
      <c r="I26" s="40"/>
      <c r="W26" s="133">
        <v>42583</v>
      </c>
      <c r="X26" s="10">
        <v>27.02</v>
      </c>
      <c r="Y26" s="10">
        <v>27.13</v>
      </c>
      <c r="Z26" s="10">
        <v>26.41</v>
      </c>
      <c r="AA26" s="10">
        <v>26.63</v>
      </c>
      <c r="AB26" s="95">
        <v>6613100</v>
      </c>
      <c r="AC26" s="10">
        <v>26.63</v>
      </c>
      <c r="AD26" s="2">
        <f t="shared" si="0"/>
        <v>0.71999999999999886</v>
      </c>
      <c r="AE26" s="138">
        <f t="shared" si="1"/>
        <v>-1.3703703703703773E-2</v>
      </c>
    </row>
    <row r="27" spans="1:31" x14ac:dyDescent="0.25">
      <c r="B27" s="193">
        <v>42552</v>
      </c>
      <c r="C27" s="10">
        <v>100</v>
      </c>
      <c r="D27" s="40">
        <v>25</v>
      </c>
      <c r="E27" s="40">
        <v>26.57</v>
      </c>
      <c r="F27" s="40">
        <f t="shared" si="3"/>
        <v>157.00000000000003</v>
      </c>
      <c r="G27" s="40">
        <f t="shared" si="4"/>
        <v>2500</v>
      </c>
      <c r="H27" s="231">
        <f t="shared" si="5"/>
        <v>6.2800000000000009E-2</v>
      </c>
      <c r="I27" s="40"/>
      <c r="W27" s="133">
        <v>42580</v>
      </c>
      <c r="X27" s="10">
        <v>27.53</v>
      </c>
      <c r="Y27" s="10">
        <v>27.54</v>
      </c>
      <c r="Z27" s="10">
        <v>26.63</v>
      </c>
      <c r="AA27" s="10">
        <v>27</v>
      </c>
      <c r="AB27" s="95">
        <v>9051400</v>
      </c>
      <c r="AC27" s="10">
        <v>27</v>
      </c>
      <c r="AD27" s="2">
        <f t="shared" si="0"/>
        <v>0.91000000000000014</v>
      </c>
      <c r="AE27" s="138">
        <f t="shared" si="1"/>
        <v>-2.3508137432188048E-2</v>
      </c>
    </row>
    <row r="28" spans="1:31" x14ac:dyDescent="0.25">
      <c r="B28" s="193">
        <v>42556</v>
      </c>
      <c r="C28" s="10">
        <v>100</v>
      </c>
      <c r="D28" s="40">
        <v>25</v>
      </c>
      <c r="E28" s="40">
        <v>25.47</v>
      </c>
      <c r="F28" s="40">
        <f t="shared" si="3"/>
        <v>46.999999999999886</v>
      </c>
      <c r="G28" s="40">
        <f t="shared" si="4"/>
        <v>2500</v>
      </c>
      <c r="H28" s="231">
        <f t="shared" si="5"/>
        <v>1.8799999999999956E-2</v>
      </c>
      <c r="I28" s="40"/>
      <c r="W28" s="133">
        <v>42579</v>
      </c>
      <c r="X28" s="10">
        <v>28.32</v>
      </c>
      <c r="Y28" s="10">
        <v>28.37</v>
      </c>
      <c r="Z28" s="10">
        <v>27.43</v>
      </c>
      <c r="AA28" s="10">
        <v>27.65</v>
      </c>
      <c r="AB28" s="95">
        <v>5901100</v>
      </c>
      <c r="AC28" s="10">
        <v>27.65</v>
      </c>
      <c r="AD28" s="2">
        <f t="shared" si="0"/>
        <v>0.94000000000000128</v>
      </c>
      <c r="AE28" s="138">
        <f t="shared" si="1"/>
        <v>-4.259002770083109E-2</v>
      </c>
    </row>
    <row r="29" spans="1:31" x14ac:dyDescent="0.25">
      <c r="B29" s="193">
        <v>42562</v>
      </c>
      <c r="C29" s="10">
        <v>100</v>
      </c>
      <c r="D29" s="40">
        <v>25</v>
      </c>
      <c r="E29" s="40">
        <v>25.69</v>
      </c>
      <c r="F29" s="40">
        <f t="shared" si="3"/>
        <v>69.000000000000128</v>
      </c>
      <c r="G29" s="40">
        <f t="shared" si="4"/>
        <v>2500</v>
      </c>
      <c r="H29" s="231">
        <f t="shared" si="5"/>
        <v>2.7600000000000052E-2</v>
      </c>
      <c r="I29" s="40"/>
      <c r="W29" s="133">
        <v>42578</v>
      </c>
      <c r="X29" s="10">
        <v>29.43</v>
      </c>
      <c r="Y29" s="10">
        <v>29.69</v>
      </c>
      <c r="Z29" s="10">
        <v>28.58</v>
      </c>
      <c r="AA29" s="10">
        <v>28.88</v>
      </c>
      <c r="AB29" s="95">
        <v>3798800</v>
      </c>
      <c r="AC29" s="10">
        <v>28.88</v>
      </c>
      <c r="AD29" s="2">
        <f t="shared" si="0"/>
        <v>1.110000000000003</v>
      </c>
      <c r="AE29" s="138">
        <f t="shared" si="1"/>
        <v>-1.5678254942058656E-2</v>
      </c>
    </row>
    <row r="30" spans="1:31" x14ac:dyDescent="0.25">
      <c r="B30" s="193">
        <v>42563</v>
      </c>
      <c r="C30" s="10">
        <v>100</v>
      </c>
      <c r="D30" s="40">
        <v>25</v>
      </c>
      <c r="E30" s="40">
        <v>26.48</v>
      </c>
      <c r="F30" s="40">
        <f t="shared" si="3"/>
        <v>148.00000000000006</v>
      </c>
      <c r="G30" s="40">
        <f t="shared" si="4"/>
        <v>2500</v>
      </c>
      <c r="H30" s="231">
        <f t="shared" si="5"/>
        <v>5.9200000000000016E-2</v>
      </c>
      <c r="I30" s="40"/>
      <c r="W30" s="133">
        <v>42577</v>
      </c>
      <c r="X30" s="10">
        <v>28.63</v>
      </c>
      <c r="Y30" s="10">
        <v>29.46</v>
      </c>
      <c r="Z30" s="10">
        <v>28.5</v>
      </c>
      <c r="AA30" s="10">
        <v>29.34</v>
      </c>
      <c r="AB30" s="95">
        <v>3773700</v>
      </c>
      <c r="AC30" s="10">
        <v>29.34</v>
      </c>
      <c r="AD30" s="2">
        <f t="shared" si="0"/>
        <v>0.96000000000000085</v>
      </c>
      <c r="AE30" s="138">
        <f t="shared" si="1"/>
        <v>2.479916171847707E-2</v>
      </c>
    </row>
    <row r="31" spans="1:31" x14ac:dyDescent="0.25">
      <c r="B31" s="193">
        <v>42569</v>
      </c>
      <c r="C31" s="10">
        <v>100</v>
      </c>
      <c r="D31" s="40">
        <v>25</v>
      </c>
      <c r="E31" s="40">
        <v>29.28</v>
      </c>
      <c r="F31" s="40">
        <f t="shared" ref="F31" si="6">C31*(E31-D31)</f>
        <v>428.00000000000011</v>
      </c>
      <c r="G31" s="40">
        <f t="shared" ref="G31" si="7">D31*C31</f>
        <v>2500</v>
      </c>
      <c r="H31" s="231">
        <f t="shared" ref="H31" si="8">(E31-D31)/D31</f>
        <v>0.17120000000000005</v>
      </c>
      <c r="I31" s="40"/>
      <c r="W31" s="133">
        <v>42576</v>
      </c>
      <c r="X31" s="10">
        <v>28.24</v>
      </c>
      <c r="Y31" s="10">
        <v>28.65</v>
      </c>
      <c r="Z31" s="10">
        <v>27.98</v>
      </c>
      <c r="AA31" s="10">
        <v>28.63</v>
      </c>
      <c r="AB31" s="95">
        <v>4375000</v>
      </c>
      <c r="AC31" s="10">
        <v>28.63</v>
      </c>
      <c r="AD31" s="2">
        <f t="shared" si="0"/>
        <v>0.66999999999999815</v>
      </c>
      <c r="AE31" s="138">
        <f t="shared" si="1"/>
        <v>1.2376237623762387E-2</v>
      </c>
    </row>
    <row r="32" spans="1:31" x14ac:dyDescent="0.25">
      <c r="B32" s="193">
        <v>42570</v>
      </c>
      <c r="C32" s="10">
        <v>100</v>
      </c>
      <c r="D32" s="40">
        <v>25</v>
      </c>
      <c r="E32" s="40">
        <v>28.68</v>
      </c>
      <c r="F32" s="40">
        <f t="shared" ref="F32" si="9">C32*(E32-D32)</f>
        <v>368</v>
      </c>
      <c r="G32" s="40">
        <f t="shared" ref="G32" si="10">D32*C32</f>
        <v>2500</v>
      </c>
      <c r="H32" s="231">
        <f t="shared" ref="H32" si="11">(E32-D32)/D32</f>
        <v>0.1472</v>
      </c>
      <c r="I32" s="40"/>
      <c r="W32" s="133">
        <v>42573</v>
      </c>
      <c r="X32" s="10">
        <v>28.74</v>
      </c>
      <c r="Y32" s="10">
        <v>28.97</v>
      </c>
      <c r="Z32" s="10">
        <v>28.24</v>
      </c>
      <c r="AA32" s="10">
        <v>28.28</v>
      </c>
      <c r="AB32" s="95">
        <v>3892600</v>
      </c>
      <c r="AC32" s="10">
        <v>28.28</v>
      </c>
      <c r="AD32" s="2">
        <f t="shared" si="0"/>
        <v>0.73000000000000043</v>
      </c>
      <c r="AE32" s="138">
        <f t="shared" si="1"/>
        <v>-2.1114572516441665E-2</v>
      </c>
    </row>
    <row r="33" spans="2:31" x14ac:dyDescent="0.25">
      <c r="B33" s="193">
        <v>42571</v>
      </c>
      <c r="C33" s="10">
        <v>100</v>
      </c>
      <c r="D33" s="40">
        <v>25</v>
      </c>
      <c r="E33" s="40">
        <v>29.01</v>
      </c>
      <c r="F33" s="40">
        <f t="shared" ref="F33" si="12">C33*(E33-D33)</f>
        <v>401.00000000000017</v>
      </c>
      <c r="G33" s="40">
        <f t="shared" ref="G33" si="13">D33*C33</f>
        <v>2500</v>
      </c>
      <c r="H33" s="231">
        <f t="shared" ref="H33" si="14">(E33-D33)/D33</f>
        <v>0.16040000000000007</v>
      </c>
      <c r="I33" s="40"/>
      <c r="W33" s="133">
        <v>42572</v>
      </c>
      <c r="X33" s="10">
        <v>29.02</v>
      </c>
      <c r="Y33" s="10">
        <v>29.41</v>
      </c>
      <c r="Z33" s="10">
        <v>28.66</v>
      </c>
      <c r="AA33" s="10">
        <v>28.89</v>
      </c>
      <c r="AB33" s="95">
        <v>4071100</v>
      </c>
      <c r="AC33" s="10">
        <v>28.89</v>
      </c>
      <c r="AD33" s="2">
        <f t="shared" si="0"/>
        <v>0.75</v>
      </c>
      <c r="AE33" s="138">
        <f t="shared" si="1"/>
        <v>-4.1365046535677408E-3</v>
      </c>
    </row>
    <row r="34" spans="2:31" x14ac:dyDescent="0.25">
      <c r="B34" s="193">
        <v>42572</v>
      </c>
      <c r="C34" s="10">
        <v>100</v>
      </c>
      <c r="D34" s="40">
        <v>25</v>
      </c>
      <c r="E34" s="40">
        <v>28.89</v>
      </c>
      <c r="F34" s="40">
        <f t="shared" ref="F34" si="15">C34*(E34-D34)</f>
        <v>389.00000000000006</v>
      </c>
      <c r="G34" s="40">
        <f t="shared" ref="G34" si="16">D34*C34</f>
        <v>2500</v>
      </c>
      <c r="H34" s="231">
        <f t="shared" ref="H34" si="17">(E34-D34)/D34</f>
        <v>0.15560000000000002</v>
      </c>
      <c r="I34" s="40"/>
      <c r="W34" s="133">
        <v>42571</v>
      </c>
      <c r="X34" s="10">
        <v>28.58</v>
      </c>
      <c r="Y34" s="10">
        <v>29.58</v>
      </c>
      <c r="Z34" s="10">
        <v>28.3</v>
      </c>
      <c r="AA34" s="10">
        <v>29.01</v>
      </c>
      <c r="AB34" s="95">
        <v>5825800</v>
      </c>
      <c r="AC34" s="10">
        <v>29.01</v>
      </c>
      <c r="AD34" s="2">
        <f t="shared" si="0"/>
        <v>1.2799999999999976</v>
      </c>
      <c r="AE34" s="138">
        <f t="shared" si="1"/>
        <v>1.1506276150627714E-2</v>
      </c>
    </row>
    <row r="35" spans="2:31" x14ac:dyDescent="0.25">
      <c r="B35" s="193">
        <v>42576</v>
      </c>
      <c r="C35" s="10">
        <v>100</v>
      </c>
      <c r="D35" s="40">
        <v>25</v>
      </c>
      <c r="E35" s="40">
        <v>28.63</v>
      </c>
      <c r="F35" s="40">
        <f t="shared" ref="F35" si="18">C35*(E35-D35)</f>
        <v>362.99999999999989</v>
      </c>
      <c r="G35" s="40">
        <f t="shared" ref="G35" si="19">D35*C35</f>
        <v>2500</v>
      </c>
      <c r="H35" s="231">
        <f t="shared" ref="H35" si="20">(E35-D35)/D35</f>
        <v>0.14519999999999997</v>
      </c>
      <c r="I35" s="40"/>
      <c r="W35" s="133">
        <v>42570</v>
      </c>
      <c r="X35" s="10">
        <v>28.8</v>
      </c>
      <c r="Y35" s="10">
        <v>29.24</v>
      </c>
      <c r="Z35" s="10">
        <v>28.29</v>
      </c>
      <c r="AA35" s="10">
        <v>28.68</v>
      </c>
      <c r="AB35" s="95">
        <v>6292700</v>
      </c>
      <c r="AC35" s="10">
        <v>28.68</v>
      </c>
      <c r="AD35" s="2">
        <f t="shared" si="0"/>
        <v>0.94999999999999929</v>
      </c>
      <c r="AE35" s="138">
        <f t="shared" si="1"/>
        <v>-2.0491803278688603E-2</v>
      </c>
    </row>
    <row r="36" spans="2:31" x14ac:dyDescent="0.25">
      <c r="B36" s="193">
        <v>42577</v>
      </c>
      <c r="C36" s="10">
        <v>100</v>
      </c>
      <c r="D36" s="40">
        <v>25</v>
      </c>
      <c r="E36" s="40">
        <v>29.34</v>
      </c>
      <c r="F36" s="40">
        <f t="shared" ref="F36" si="21">C36*(E36-D36)</f>
        <v>434</v>
      </c>
      <c r="G36" s="40">
        <f t="shared" ref="G36" si="22">D36*C36</f>
        <v>2500</v>
      </c>
      <c r="H36" s="231">
        <f t="shared" ref="H36" si="23">(E36-D36)/D36</f>
        <v>0.1736</v>
      </c>
      <c r="I36" s="40"/>
      <c r="W36" s="133">
        <v>42569</v>
      </c>
      <c r="X36" s="10">
        <v>28.62</v>
      </c>
      <c r="Y36" s="10">
        <v>29.37</v>
      </c>
      <c r="Z36" s="10">
        <v>28.26</v>
      </c>
      <c r="AA36" s="10">
        <v>29.28</v>
      </c>
      <c r="AB36" s="95">
        <v>5520600</v>
      </c>
      <c r="AC36" s="10">
        <v>29.28</v>
      </c>
      <c r="AD36" s="2">
        <f t="shared" si="0"/>
        <v>1.1099999999999994</v>
      </c>
      <c r="AE36" s="138">
        <f t="shared" si="1"/>
        <v>2.0564656674799675E-2</v>
      </c>
    </row>
    <row r="37" spans="2:31" x14ac:dyDescent="0.25">
      <c r="B37" s="193">
        <v>42580</v>
      </c>
      <c r="C37" s="10">
        <v>100</v>
      </c>
      <c r="D37" s="40">
        <v>25</v>
      </c>
      <c r="E37" s="40">
        <v>27</v>
      </c>
      <c r="F37" s="40">
        <f t="shared" ref="F37" si="24">C37*(E37-D37)</f>
        <v>200</v>
      </c>
      <c r="G37" s="40">
        <f t="shared" ref="G37" si="25">D37*C37</f>
        <v>2500</v>
      </c>
      <c r="H37" s="231">
        <f t="shared" ref="H37" si="26">(E37-D37)/D37</f>
        <v>0.08</v>
      </c>
      <c r="I37" s="40"/>
      <c r="W37" s="133">
        <v>42566</v>
      </c>
      <c r="X37" s="10">
        <v>28.3</v>
      </c>
      <c r="Y37" s="10">
        <v>28.71</v>
      </c>
      <c r="Z37" s="10">
        <v>27.95</v>
      </c>
      <c r="AA37" s="10">
        <v>28.69</v>
      </c>
      <c r="AB37" s="95">
        <v>4862000</v>
      </c>
      <c r="AC37" s="10">
        <v>28.69</v>
      </c>
      <c r="AD37" s="2">
        <f t="shared" si="0"/>
        <v>0.76000000000000156</v>
      </c>
      <c r="AE37" s="138">
        <f t="shared" si="1"/>
        <v>1.8097941802696971E-2</v>
      </c>
    </row>
    <row r="38" spans="2:31" x14ac:dyDescent="0.25">
      <c r="B38" s="193">
        <v>42584</v>
      </c>
      <c r="C38" s="10">
        <v>0</v>
      </c>
      <c r="D38" s="40"/>
      <c r="E38" s="40"/>
      <c r="F38" s="40">
        <v>287.94</v>
      </c>
      <c r="G38" s="40"/>
      <c r="H38" s="231"/>
      <c r="I38" s="40"/>
      <c r="W38" s="133">
        <v>42565</v>
      </c>
      <c r="X38" s="10">
        <v>27.62</v>
      </c>
      <c r="Y38" s="10">
        <v>28.67</v>
      </c>
      <c r="Z38" s="10">
        <v>27.36</v>
      </c>
      <c r="AA38" s="10">
        <v>28.18</v>
      </c>
      <c r="AB38" s="95">
        <v>6964800</v>
      </c>
      <c r="AC38" s="10">
        <v>28.18</v>
      </c>
      <c r="AD38" s="2">
        <f t="shared" si="0"/>
        <v>1.3100000000000023</v>
      </c>
      <c r="AE38" s="138">
        <f t="shared" si="1"/>
        <v>2.8091937249179022E-2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42564</v>
      </c>
      <c r="X39" s="10">
        <v>26.15</v>
      </c>
      <c r="Y39" s="10">
        <v>27.42</v>
      </c>
      <c r="Z39" s="10">
        <v>25.94</v>
      </c>
      <c r="AA39" s="10">
        <v>27.41</v>
      </c>
      <c r="AB39" s="95">
        <v>7547700</v>
      </c>
      <c r="AC39" s="10">
        <v>27.41</v>
      </c>
      <c r="AD39" s="2">
        <f t="shared" si="0"/>
        <v>1.4800000000000004</v>
      </c>
      <c r="AE39" s="138">
        <f t="shared" si="1"/>
        <v>3.5120845921450039E-2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45" t="s">
        <v>78</v>
      </c>
      <c r="P40" s="545"/>
      <c r="W40" s="133">
        <v>42563</v>
      </c>
      <c r="X40" s="10">
        <v>25.74</v>
      </c>
      <c r="Y40" s="10">
        <v>26.83</v>
      </c>
      <c r="Z40" s="10">
        <v>25.74</v>
      </c>
      <c r="AA40" s="10">
        <v>26.48</v>
      </c>
      <c r="AB40" s="95">
        <v>6540500</v>
      </c>
      <c r="AC40" s="10">
        <v>26.48</v>
      </c>
      <c r="AD40" s="2">
        <f t="shared" si="0"/>
        <v>1.0899999999999999</v>
      </c>
      <c r="AE40" s="138">
        <f t="shared" si="1"/>
        <v>3.0751265083690082E-2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31.515000000000001</v>
      </c>
      <c r="Q41" s="2"/>
      <c r="W41" s="133">
        <v>42562</v>
      </c>
      <c r="X41" s="10">
        <v>25.7</v>
      </c>
      <c r="Y41" s="10">
        <v>26.2</v>
      </c>
      <c r="Z41" s="10">
        <v>25.59</v>
      </c>
      <c r="AA41" s="10">
        <v>25.69</v>
      </c>
      <c r="AB41" s="95">
        <v>3561400</v>
      </c>
      <c r="AC41" s="10">
        <v>25.69</v>
      </c>
      <c r="AD41" s="2">
        <f t="shared" si="0"/>
        <v>0.60999999999999943</v>
      </c>
      <c r="AE41" s="138">
        <f t="shared" si="1"/>
        <v>8.2417582417582125E-3</v>
      </c>
    </row>
    <row r="42" spans="2:31" ht="20.25" thickBot="1" x14ac:dyDescent="0.35">
      <c r="O42" s="83">
        <v>1.0900000000000001</v>
      </c>
      <c r="P42" s="83">
        <f t="shared" ref="P42:P61" si="27">O42*$Q$4</f>
        <v>31.2285</v>
      </c>
      <c r="Q42" s="2"/>
      <c r="T42" s="91" t="s">
        <v>113</v>
      </c>
      <c r="W42" s="133">
        <v>42559</v>
      </c>
      <c r="X42" s="10">
        <v>25.39</v>
      </c>
      <c r="Y42" s="10">
        <v>25.6</v>
      </c>
      <c r="Z42" s="10">
        <v>24.99</v>
      </c>
      <c r="AA42" s="10">
        <v>25.48</v>
      </c>
      <c r="AB42" s="95">
        <v>4398700</v>
      </c>
      <c r="AC42" s="10">
        <v>25.48</v>
      </c>
      <c r="AD42" s="2">
        <f t="shared" si="0"/>
        <v>0.61000000000000298</v>
      </c>
      <c r="AE42" s="138">
        <f t="shared" si="1"/>
        <v>1.9607843137255054E-2</v>
      </c>
    </row>
    <row r="43" spans="2:31" ht="15.75" thickTop="1" x14ac:dyDescent="0.25">
      <c r="O43" s="83">
        <v>1.08</v>
      </c>
      <c r="P43" s="83">
        <f t="shared" si="27"/>
        <v>30.942</v>
      </c>
      <c r="Q43" s="2"/>
      <c r="T43" s="128" t="s">
        <v>98</v>
      </c>
      <c r="U43" s="129">
        <v>29.17</v>
      </c>
      <c r="W43" s="133">
        <v>42558</v>
      </c>
      <c r="X43" s="10">
        <v>25.43</v>
      </c>
      <c r="Y43" s="10">
        <v>25.71</v>
      </c>
      <c r="Z43" s="10">
        <v>24.84</v>
      </c>
      <c r="AA43" s="10">
        <v>24.99</v>
      </c>
      <c r="AB43" s="95">
        <v>4477100</v>
      </c>
      <c r="AC43" s="10">
        <v>24.99</v>
      </c>
      <c r="AD43" s="2">
        <f t="shared" si="0"/>
        <v>0.87000000000000099</v>
      </c>
      <c r="AE43" s="138">
        <f t="shared" si="1"/>
        <v>-9.5124851367420771E-3</v>
      </c>
    </row>
    <row r="44" spans="2:31" x14ac:dyDescent="0.25">
      <c r="O44" s="83">
        <v>1.07</v>
      </c>
      <c r="P44" s="83">
        <f t="shared" si="27"/>
        <v>30.6555</v>
      </c>
      <c r="Q44" s="2"/>
      <c r="T44" s="93" t="s">
        <v>99</v>
      </c>
      <c r="U44" s="130">
        <v>29.48</v>
      </c>
      <c r="W44" s="133">
        <v>42557</v>
      </c>
      <c r="X44" s="10">
        <v>25.44</v>
      </c>
      <c r="Y44" s="10">
        <v>25.48</v>
      </c>
      <c r="Z44" s="10">
        <v>24.45</v>
      </c>
      <c r="AA44" s="10">
        <v>25.23</v>
      </c>
      <c r="AB44" s="95">
        <v>4557800</v>
      </c>
      <c r="AC44" s="10">
        <v>25.23</v>
      </c>
      <c r="AD44" s="2">
        <f t="shared" si="0"/>
        <v>1.0300000000000011</v>
      </c>
      <c r="AE44" s="138">
        <f t="shared" si="1"/>
        <v>-9.4228504122496615E-3</v>
      </c>
    </row>
    <row r="45" spans="2:31" x14ac:dyDescent="0.25">
      <c r="O45" s="83">
        <v>1.06</v>
      </c>
      <c r="P45" s="83">
        <f t="shared" si="27"/>
        <v>30.369</v>
      </c>
      <c r="Q45" s="2"/>
      <c r="T45" s="93" t="s">
        <v>100</v>
      </c>
      <c r="U45" s="130" t="s">
        <v>531</v>
      </c>
      <c r="W45" s="133">
        <v>42556</v>
      </c>
      <c r="X45" s="10">
        <v>26.24</v>
      </c>
      <c r="Y45" s="10">
        <v>26.56</v>
      </c>
      <c r="Z45" s="10">
        <v>25.24</v>
      </c>
      <c r="AA45" s="10">
        <v>25.47</v>
      </c>
      <c r="AB45" s="95">
        <v>3895700</v>
      </c>
      <c r="AC45" s="10">
        <v>25.47</v>
      </c>
      <c r="AD45" s="2">
        <f t="shared" si="0"/>
        <v>1.3200000000000003</v>
      </c>
      <c r="AE45" s="138">
        <f t="shared" si="1"/>
        <v>-4.1400075272864156E-2</v>
      </c>
    </row>
    <row r="46" spans="2:31" x14ac:dyDescent="0.25">
      <c r="O46" s="83">
        <v>1.05</v>
      </c>
      <c r="P46" s="83">
        <f t="shared" si="27"/>
        <v>30.0825</v>
      </c>
      <c r="Q46" s="2"/>
      <c r="T46" s="93" t="s">
        <v>101</v>
      </c>
      <c r="U46" s="130" t="s">
        <v>532</v>
      </c>
      <c r="W46" s="133">
        <v>42552</v>
      </c>
      <c r="X46" s="10">
        <v>26.03</v>
      </c>
      <c r="Y46" s="10">
        <v>26.87</v>
      </c>
      <c r="Z46" s="10">
        <v>26.02</v>
      </c>
      <c r="AA46" s="10">
        <v>26.57</v>
      </c>
      <c r="AB46" s="95">
        <v>3845900</v>
      </c>
      <c r="AC46" s="10">
        <v>26.57</v>
      </c>
      <c r="AD46" s="2">
        <f t="shared" si="0"/>
        <v>0.85000000000000142</v>
      </c>
      <c r="AE46" s="138">
        <f t="shared" si="1"/>
        <v>1.4896867838044336E-2</v>
      </c>
    </row>
    <row r="47" spans="2:31" x14ac:dyDescent="0.25">
      <c r="O47" s="83">
        <v>1.04</v>
      </c>
      <c r="P47" s="83">
        <f t="shared" si="27"/>
        <v>29.795999999999999</v>
      </c>
      <c r="Q47" s="2"/>
      <c r="T47" s="93" t="s">
        <v>102</v>
      </c>
      <c r="U47" s="130">
        <v>26.33</v>
      </c>
      <c r="W47" s="133">
        <v>42551</v>
      </c>
      <c r="X47" s="10">
        <v>25.71</v>
      </c>
      <c r="Y47" s="10">
        <v>26.79</v>
      </c>
      <c r="Z47" s="10">
        <v>25.21</v>
      </c>
      <c r="AA47" s="10">
        <v>26.18</v>
      </c>
      <c r="AB47" s="95">
        <v>7548800</v>
      </c>
      <c r="AC47" s="10">
        <v>26.18</v>
      </c>
      <c r="AD47" s="2">
        <f t="shared" si="0"/>
        <v>1.5799999999999983</v>
      </c>
      <c r="AE47" s="138">
        <f t="shared" si="1"/>
        <v>2.1857923497267784E-2</v>
      </c>
    </row>
    <row r="48" spans="2:31" x14ac:dyDescent="0.25">
      <c r="O48" s="83">
        <v>1.03</v>
      </c>
      <c r="P48" s="83">
        <f t="shared" si="27"/>
        <v>29.509499999999999</v>
      </c>
      <c r="Q48" s="2"/>
      <c r="T48" s="93" t="s">
        <v>103</v>
      </c>
      <c r="U48" s="130">
        <v>-0.59522699999999995</v>
      </c>
      <c r="W48" s="133">
        <v>42550</v>
      </c>
      <c r="X48" s="10">
        <v>25.58</v>
      </c>
      <c r="Y48" s="10">
        <v>25.73</v>
      </c>
      <c r="Z48" s="10">
        <v>25.04</v>
      </c>
      <c r="AA48" s="10">
        <v>25.62</v>
      </c>
      <c r="AB48" s="95">
        <v>4469700</v>
      </c>
      <c r="AC48" s="10">
        <v>25.62</v>
      </c>
      <c r="AD48" s="2">
        <f t="shared" si="0"/>
        <v>0.69000000000000128</v>
      </c>
      <c r="AE48" s="138">
        <f t="shared" si="1"/>
        <v>1.4251781472684133E-2</v>
      </c>
    </row>
    <row r="49" spans="1:31" x14ac:dyDescent="0.25">
      <c r="O49" s="83">
        <v>1.02</v>
      </c>
      <c r="P49" s="83">
        <f t="shared" si="27"/>
        <v>29.222999999999999</v>
      </c>
      <c r="Q49" s="2"/>
      <c r="T49" s="93" t="s">
        <v>123</v>
      </c>
      <c r="U49" s="130" t="s">
        <v>324</v>
      </c>
      <c r="W49" s="133">
        <v>42549</v>
      </c>
      <c r="X49" s="10">
        <v>25.27</v>
      </c>
      <c r="Y49" s="10">
        <v>25.58</v>
      </c>
      <c r="Z49" s="10">
        <v>24.84</v>
      </c>
      <c r="AA49" s="10">
        <v>25.26</v>
      </c>
      <c r="AB49" s="95">
        <v>4953400</v>
      </c>
      <c r="AC49" s="10">
        <v>25.26</v>
      </c>
      <c r="AD49" s="2">
        <f t="shared" si="0"/>
        <v>0.73999999999999844</v>
      </c>
      <c r="AE49" s="138">
        <f t="shared" si="1"/>
        <v>2.3086269744835963E-2</v>
      </c>
    </row>
    <row r="50" spans="1:31" x14ac:dyDescent="0.25">
      <c r="O50" s="83">
        <v>1.01</v>
      </c>
      <c r="P50" s="83">
        <f t="shared" si="27"/>
        <v>28.936499999999999</v>
      </c>
      <c r="Q50" s="2"/>
      <c r="T50" s="93"/>
      <c r="U50" s="130"/>
      <c r="W50" s="133">
        <v>42548</v>
      </c>
      <c r="X50" s="10">
        <v>26.43</v>
      </c>
      <c r="Y50" s="10">
        <v>26.5</v>
      </c>
      <c r="Z50" s="10">
        <v>24.53</v>
      </c>
      <c r="AA50" s="10">
        <v>24.69</v>
      </c>
      <c r="AB50" s="95">
        <v>7350400</v>
      </c>
      <c r="AC50" s="10">
        <v>24.69</v>
      </c>
      <c r="AD50" s="2">
        <f t="shared" si="0"/>
        <v>1.9699999999999989</v>
      </c>
      <c r="AE50" s="138">
        <f t="shared" si="1"/>
        <v>-8.2497212931995523E-2</v>
      </c>
    </row>
    <row r="51" spans="1:31" x14ac:dyDescent="0.25">
      <c r="O51" s="83">
        <v>1</v>
      </c>
      <c r="P51" s="83">
        <f t="shared" si="27"/>
        <v>28.65</v>
      </c>
      <c r="Q51" s="2"/>
      <c r="T51" s="93" t="s">
        <v>105</v>
      </c>
      <c r="U51" s="130" t="s">
        <v>533</v>
      </c>
      <c r="W51" s="133">
        <v>42545</v>
      </c>
      <c r="X51" s="10">
        <v>26.93</v>
      </c>
      <c r="Y51" s="10">
        <v>27.83</v>
      </c>
      <c r="Z51" s="10">
        <v>26.64</v>
      </c>
      <c r="AA51" s="10">
        <v>26.91</v>
      </c>
      <c r="AB51" s="95">
        <v>8695100</v>
      </c>
      <c r="AC51" s="10">
        <v>26.91</v>
      </c>
      <c r="AD51" s="2">
        <f t="shared" si="0"/>
        <v>1.1899999999999977</v>
      </c>
      <c r="AE51" s="138">
        <f t="shared" si="1"/>
        <v>-3.8928571428571423E-2</v>
      </c>
    </row>
    <row r="52" spans="1:31" x14ac:dyDescent="0.25">
      <c r="O52" s="83">
        <v>0.99</v>
      </c>
      <c r="P52" s="83">
        <f t="shared" si="27"/>
        <v>28.363499999999998</v>
      </c>
      <c r="Q52" s="2"/>
      <c r="T52" s="93" t="s">
        <v>106</v>
      </c>
      <c r="U52" s="130" t="s">
        <v>351</v>
      </c>
      <c r="W52" s="133">
        <v>42544</v>
      </c>
      <c r="X52" s="10">
        <v>27.57</v>
      </c>
      <c r="Y52" s="10">
        <v>28.7</v>
      </c>
      <c r="Z52" s="10">
        <v>27.55</v>
      </c>
      <c r="AA52" s="10">
        <v>28</v>
      </c>
      <c r="AB52" s="95">
        <v>9273100</v>
      </c>
      <c r="AC52" s="10">
        <v>28</v>
      </c>
      <c r="AD52" s="2">
        <f t="shared" si="0"/>
        <v>1.1499999999999986</v>
      </c>
      <c r="AE52" s="138">
        <f t="shared" si="1"/>
        <v>4.7120418848167533E-2</v>
      </c>
    </row>
    <row r="53" spans="1:31" x14ac:dyDescent="0.25">
      <c r="O53" s="83">
        <v>0.98</v>
      </c>
      <c r="P53" s="83">
        <f t="shared" si="27"/>
        <v>28.076999999999998</v>
      </c>
      <c r="Q53" s="2"/>
      <c r="T53" s="93" t="s">
        <v>107</v>
      </c>
      <c r="U53" s="131">
        <v>3842643</v>
      </c>
      <c r="W53" s="133">
        <v>42543</v>
      </c>
      <c r="X53" s="10">
        <v>27.19</v>
      </c>
      <c r="Y53" s="10">
        <v>27.65</v>
      </c>
      <c r="Z53" s="10">
        <v>26.69</v>
      </c>
      <c r="AA53" s="10">
        <v>26.74</v>
      </c>
      <c r="AB53" s="95">
        <v>4821100</v>
      </c>
      <c r="AC53" s="10">
        <v>26.74</v>
      </c>
      <c r="AD53" s="2">
        <f t="shared" si="0"/>
        <v>0.9599999999999973</v>
      </c>
      <c r="AE53" s="138">
        <f t="shared" si="1"/>
        <v>-8.5279940674823917E-3</v>
      </c>
    </row>
    <row r="54" spans="1:31" x14ac:dyDescent="0.25">
      <c r="O54" s="83">
        <v>0.97</v>
      </c>
      <c r="P54" s="83">
        <f t="shared" si="27"/>
        <v>27.790499999999998</v>
      </c>
      <c r="T54" s="93" t="s">
        <v>110</v>
      </c>
      <c r="U54" s="131">
        <v>5634700</v>
      </c>
      <c r="W54" s="133">
        <v>42542</v>
      </c>
      <c r="X54" s="10">
        <v>26.86</v>
      </c>
      <c r="Y54" s="10">
        <v>27.15</v>
      </c>
      <c r="Z54" s="10">
        <v>26.08</v>
      </c>
      <c r="AA54" s="10">
        <v>26.97</v>
      </c>
      <c r="AB54" s="95">
        <v>6251200</v>
      </c>
      <c r="AC54" s="10">
        <v>26.97</v>
      </c>
      <c r="AD54" s="2">
        <f t="shared" si="0"/>
        <v>1.0700000000000003</v>
      </c>
      <c r="AE54" s="138">
        <f t="shared" si="1"/>
        <v>3.3482142857141906E-3</v>
      </c>
    </row>
    <row r="55" spans="1:31" x14ac:dyDescent="0.25">
      <c r="O55" s="83">
        <v>0.96</v>
      </c>
      <c r="P55" s="83">
        <f t="shared" si="27"/>
        <v>27.503999999999998</v>
      </c>
      <c r="T55" s="93" t="s">
        <v>108</v>
      </c>
      <c r="U55" s="130" t="s">
        <v>534</v>
      </c>
      <c r="W55" s="133">
        <v>42541</v>
      </c>
      <c r="X55" s="10">
        <v>27.07</v>
      </c>
      <c r="Y55" s="10">
        <v>27.73</v>
      </c>
      <c r="Z55" s="10">
        <v>26.85</v>
      </c>
      <c r="AA55" s="10">
        <v>26.88</v>
      </c>
      <c r="AB55" s="95">
        <v>5225600</v>
      </c>
      <c r="AC55" s="10">
        <v>26.88</v>
      </c>
      <c r="AD55" s="2">
        <f t="shared" si="0"/>
        <v>0.87999999999999901</v>
      </c>
      <c r="AE55" s="138">
        <f t="shared" si="1"/>
        <v>5.2356020942407877E-3</v>
      </c>
    </row>
    <row r="56" spans="1:31" x14ac:dyDescent="0.25">
      <c r="L56" t="s">
        <v>65</v>
      </c>
      <c r="M56" s="2">
        <f>K74+M74-F74</f>
        <v>287.94000000000005</v>
      </c>
      <c r="O56" s="83">
        <v>0.95</v>
      </c>
      <c r="P56" s="83">
        <f t="shared" si="27"/>
        <v>27.217499999999998</v>
      </c>
      <c r="T56" s="93" t="s">
        <v>111</v>
      </c>
      <c r="U56" s="130">
        <v>18.579999999999998</v>
      </c>
      <c r="W56" s="133">
        <v>42538</v>
      </c>
      <c r="X56" s="10">
        <v>25.93</v>
      </c>
      <c r="Y56" s="10">
        <v>26.87</v>
      </c>
      <c r="Z56" s="10">
        <v>25.93</v>
      </c>
      <c r="AA56" s="10">
        <v>26.74</v>
      </c>
      <c r="AB56" s="95">
        <v>6420700</v>
      </c>
      <c r="AC56" s="10">
        <v>26.74</v>
      </c>
      <c r="AD56" s="2">
        <f t="shared" si="0"/>
        <v>0.94000000000000128</v>
      </c>
      <c r="AE56" s="138">
        <f t="shared" si="1"/>
        <v>3.2432432432432323E-2</v>
      </c>
    </row>
    <row r="57" spans="1:31" x14ac:dyDescent="0.25">
      <c r="A57" s="500" t="s">
        <v>1</v>
      </c>
      <c r="B57" s="500" t="s">
        <v>2</v>
      </c>
      <c r="C57" s="500" t="s">
        <v>4</v>
      </c>
      <c r="D57" s="501" t="s">
        <v>5</v>
      </c>
      <c r="E57" s="501" t="s">
        <v>94</v>
      </c>
      <c r="F57" s="501" t="s">
        <v>60</v>
      </c>
      <c r="G57" s="500" t="s">
        <v>3</v>
      </c>
      <c r="H57" s="500" t="s">
        <v>6</v>
      </c>
      <c r="I57" s="501" t="s">
        <v>7</v>
      </c>
      <c r="J57" s="501" t="s">
        <v>95</v>
      </c>
      <c r="K57" s="501" t="s">
        <v>61</v>
      </c>
      <c r="L57" s="500" t="s">
        <v>37</v>
      </c>
      <c r="M57" s="500" t="s">
        <v>38</v>
      </c>
      <c r="O57" s="83">
        <v>0.94</v>
      </c>
      <c r="P57" s="83">
        <f t="shared" si="27"/>
        <v>26.930999999999997</v>
      </c>
      <c r="T57" s="93" t="s">
        <v>112</v>
      </c>
      <c r="U57" s="130">
        <v>1.59</v>
      </c>
      <c r="W57" s="133">
        <v>42537</v>
      </c>
      <c r="X57" s="10">
        <v>26.07</v>
      </c>
      <c r="Y57" s="10">
        <v>26.11</v>
      </c>
      <c r="Z57" s="10">
        <v>25.44</v>
      </c>
      <c r="AA57" s="10">
        <v>25.9</v>
      </c>
      <c r="AB57" s="95">
        <v>4591500</v>
      </c>
      <c r="AC57" s="10">
        <v>25.9</v>
      </c>
      <c r="AD57" s="2">
        <f t="shared" si="0"/>
        <v>0.66999999999999815</v>
      </c>
      <c r="AE57" s="138">
        <f t="shared" si="1"/>
        <v>-1.5209125475285301E-2</v>
      </c>
    </row>
    <row r="58" spans="1:31" x14ac:dyDescent="0.25">
      <c r="A58" s="502" t="s">
        <v>258</v>
      </c>
      <c r="B58" s="503">
        <v>42548</v>
      </c>
      <c r="C58" s="504">
        <v>100</v>
      </c>
      <c r="D58" s="505">
        <v>25</v>
      </c>
      <c r="E58" s="505">
        <v>0</v>
      </c>
      <c r="F58" s="505">
        <f>D58*C58+E58</f>
        <v>2500</v>
      </c>
      <c r="G58" s="503">
        <v>42584</v>
      </c>
      <c r="H58" s="506">
        <v>100</v>
      </c>
      <c r="I58" s="505">
        <v>27.88</v>
      </c>
      <c r="J58" s="505">
        <v>0.06</v>
      </c>
      <c r="K58" s="505">
        <f>H58*I58-J58</f>
        <v>2787.94</v>
      </c>
      <c r="L58" s="503" t="s">
        <v>284</v>
      </c>
      <c r="M58" s="504"/>
      <c r="O58" s="83">
        <v>0.93</v>
      </c>
      <c r="P58" s="83">
        <f t="shared" si="27"/>
        <v>26.644500000000001</v>
      </c>
      <c r="T58" s="93" t="s">
        <v>109</v>
      </c>
      <c r="U58" s="130" t="s">
        <v>260</v>
      </c>
      <c r="W58" s="133">
        <v>42536</v>
      </c>
      <c r="X58" s="10">
        <v>26.4</v>
      </c>
      <c r="Y58" s="10">
        <v>27.04</v>
      </c>
      <c r="Z58" s="10">
        <v>26.24</v>
      </c>
      <c r="AA58" s="10">
        <v>26.3</v>
      </c>
      <c r="AB58" s="95">
        <v>3910300</v>
      </c>
      <c r="AC58" s="10">
        <v>26.3</v>
      </c>
      <c r="AD58" s="2">
        <f t="shared" si="0"/>
        <v>0.80000000000000071</v>
      </c>
      <c r="AE58" s="138">
        <f t="shared" si="1"/>
        <v>3.8037276530999975E-4</v>
      </c>
    </row>
    <row r="59" spans="1:31" x14ac:dyDescent="0.25">
      <c r="A59" s="507" t="s">
        <v>71</v>
      </c>
      <c r="B59" s="503"/>
      <c r="C59" s="504"/>
      <c r="D59" s="505"/>
      <c r="E59" s="505"/>
      <c r="F59" s="505"/>
      <c r="G59" s="504"/>
      <c r="H59" s="506"/>
      <c r="I59" s="505"/>
      <c r="J59" s="505"/>
      <c r="K59" s="505"/>
      <c r="L59" s="504"/>
      <c r="M59" s="504"/>
      <c r="O59" s="83">
        <v>0.92</v>
      </c>
      <c r="P59" s="83">
        <f t="shared" si="27"/>
        <v>26.358000000000001</v>
      </c>
      <c r="W59" s="133">
        <v>42535</v>
      </c>
      <c r="X59" s="10">
        <v>26.85</v>
      </c>
      <c r="Y59" s="10">
        <v>27.47</v>
      </c>
      <c r="Z59" s="10">
        <v>25.95</v>
      </c>
      <c r="AA59" s="10">
        <v>26.29</v>
      </c>
      <c r="AB59" s="95">
        <v>5589000</v>
      </c>
      <c r="AC59" s="10">
        <v>26.29</v>
      </c>
      <c r="AD59" s="2">
        <f t="shared" si="0"/>
        <v>1.5199999999999996</v>
      </c>
      <c r="AE59" s="138">
        <f t="shared" si="1"/>
        <v>-2.3039762170196987E-2</v>
      </c>
    </row>
    <row r="60" spans="1:31" x14ac:dyDescent="0.25">
      <c r="A60" s="504"/>
      <c r="B60" s="503"/>
      <c r="C60" s="504"/>
      <c r="D60" s="505"/>
      <c r="E60" s="505"/>
      <c r="F60" s="505"/>
      <c r="G60" s="504"/>
      <c r="H60" s="506"/>
      <c r="I60" s="505"/>
      <c r="J60" s="505"/>
      <c r="K60" s="505"/>
      <c r="L60" s="504"/>
      <c r="M60" s="504"/>
      <c r="O60" s="83">
        <v>0.91</v>
      </c>
      <c r="P60" s="83">
        <f t="shared" si="27"/>
        <v>26.0715</v>
      </c>
      <c r="W60" s="133">
        <v>42534</v>
      </c>
      <c r="X60" s="10">
        <v>27.22</v>
      </c>
      <c r="Y60" s="10">
        <v>28.08</v>
      </c>
      <c r="Z60" s="10">
        <v>26.89</v>
      </c>
      <c r="AA60" s="10">
        <v>26.91</v>
      </c>
      <c r="AB60" s="95">
        <v>4073000</v>
      </c>
      <c r="AC60" s="10">
        <v>26.91</v>
      </c>
      <c r="AD60" s="2">
        <f t="shared" si="0"/>
        <v>1.1899999999999977</v>
      </c>
      <c r="AE60" s="138">
        <f t="shared" si="1"/>
        <v>-2.2246941045606095E-3</v>
      </c>
    </row>
    <row r="61" spans="1:31" x14ac:dyDescent="0.25">
      <c r="A61" s="504"/>
      <c r="B61" s="503"/>
      <c r="C61" s="504"/>
      <c r="D61" s="505"/>
      <c r="E61" s="505"/>
      <c r="F61" s="505"/>
      <c r="G61" s="504"/>
      <c r="H61" s="506"/>
      <c r="I61" s="505"/>
      <c r="J61" s="505"/>
      <c r="K61" s="505"/>
      <c r="L61" s="504"/>
      <c r="M61" s="504"/>
      <c r="O61" s="83">
        <v>0.9</v>
      </c>
      <c r="P61" s="83">
        <f t="shared" si="27"/>
        <v>25.785</v>
      </c>
      <c r="W61" s="133">
        <v>42531</v>
      </c>
      <c r="X61" s="10">
        <v>27.21</v>
      </c>
      <c r="Y61" s="10">
        <v>27.46</v>
      </c>
      <c r="Z61" s="10">
        <v>26.62</v>
      </c>
      <c r="AA61" s="10">
        <v>26.97</v>
      </c>
      <c r="AB61" s="95">
        <v>5135600</v>
      </c>
      <c r="AC61" s="10">
        <v>26.97</v>
      </c>
      <c r="AD61" s="2">
        <f t="shared" si="0"/>
        <v>0.83999999999999986</v>
      </c>
      <c r="AE61" s="138">
        <f t="shared" si="1"/>
        <v>-2.0341445695604921E-2</v>
      </c>
    </row>
    <row r="62" spans="1:31" x14ac:dyDescent="0.25">
      <c r="A62" s="504"/>
      <c r="B62" s="503"/>
      <c r="C62" s="504"/>
      <c r="D62" s="505"/>
      <c r="E62" s="505"/>
      <c r="F62" s="505"/>
      <c r="G62" s="504"/>
      <c r="H62" s="506"/>
      <c r="I62" s="505"/>
      <c r="J62" s="505"/>
      <c r="K62" s="505"/>
      <c r="L62" s="504"/>
      <c r="M62" s="504"/>
      <c r="W62" s="133">
        <v>42530</v>
      </c>
      <c r="X62" s="10">
        <v>28.05</v>
      </c>
      <c r="Y62" s="10">
        <v>28.13</v>
      </c>
      <c r="Z62" s="10">
        <v>27.11</v>
      </c>
      <c r="AA62" s="10">
        <v>27.53</v>
      </c>
      <c r="AB62" s="95">
        <v>5002900</v>
      </c>
      <c r="AC62" s="10">
        <v>27.53</v>
      </c>
      <c r="AD62" s="2">
        <f t="shared" si="0"/>
        <v>1.0199999999999996</v>
      </c>
      <c r="AE62" s="138">
        <f t="shared" si="1"/>
        <v>-1.7487508922198414E-2</v>
      </c>
    </row>
    <row r="63" spans="1:31" x14ac:dyDescent="0.25">
      <c r="A63" s="504"/>
      <c r="B63" s="504"/>
      <c r="C63" s="504"/>
      <c r="D63" s="505"/>
      <c r="E63" s="505"/>
      <c r="F63" s="505"/>
      <c r="G63" s="504"/>
      <c r="H63" s="506"/>
      <c r="I63" s="505"/>
      <c r="J63" s="505"/>
      <c r="K63" s="505"/>
      <c r="L63" s="504"/>
      <c r="M63" s="504"/>
      <c r="W63" s="133">
        <v>42529</v>
      </c>
      <c r="X63" s="10">
        <v>29.3</v>
      </c>
      <c r="Y63" s="10">
        <v>29.46</v>
      </c>
      <c r="Z63" s="10">
        <v>27.63</v>
      </c>
      <c r="AA63" s="10">
        <v>28.02</v>
      </c>
      <c r="AB63" s="95">
        <v>6700200</v>
      </c>
      <c r="AC63" s="10">
        <v>28.02</v>
      </c>
      <c r="AD63" s="2">
        <f t="shared" si="0"/>
        <v>1.8300000000000018</v>
      </c>
      <c r="AE63" s="138">
        <f t="shared" si="1"/>
        <v>-3.4791594901825706E-2</v>
      </c>
    </row>
    <row r="64" spans="1:31" x14ac:dyDescent="0.25">
      <c r="A64" s="504"/>
      <c r="B64" s="504"/>
      <c r="C64" s="504"/>
      <c r="D64" s="505"/>
      <c r="E64" s="505"/>
      <c r="F64" s="505"/>
      <c r="G64" s="504"/>
      <c r="H64" s="506"/>
      <c r="I64" s="505"/>
      <c r="J64" s="505"/>
      <c r="K64" s="505"/>
      <c r="L64" s="504"/>
      <c r="M64" s="504"/>
      <c r="W64" s="133">
        <v>42528</v>
      </c>
      <c r="X64" s="10">
        <v>28.52</v>
      </c>
      <c r="Y64" s="10">
        <v>29.39</v>
      </c>
      <c r="Z64" s="10">
        <v>28.47</v>
      </c>
      <c r="AA64" s="10">
        <v>29.03</v>
      </c>
      <c r="AB64" s="95">
        <v>6579700</v>
      </c>
      <c r="AC64" s="10">
        <v>29.03</v>
      </c>
      <c r="AD64" s="2">
        <f t="shared" si="0"/>
        <v>0.92000000000000171</v>
      </c>
      <c r="AE64" s="138">
        <f t="shared" si="1"/>
        <v>2.3624823695345576E-2</v>
      </c>
    </row>
    <row r="65" spans="1:31" x14ac:dyDescent="0.25">
      <c r="A65" s="504"/>
      <c r="B65" s="504"/>
      <c r="C65" s="504"/>
      <c r="D65" s="505"/>
      <c r="E65" s="505"/>
      <c r="F65" s="505"/>
      <c r="G65" s="504"/>
      <c r="H65" s="506"/>
      <c r="I65" s="505"/>
      <c r="J65" s="505"/>
      <c r="K65" s="505"/>
      <c r="L65" s="504"/>
      <c r="M65" s="504"/>
      <c r="W65" s="133">
        <v>42527</v>
      </c>
      <c r="X65" s="10">
        <v>26.85</v>
      </c>
      <c r="Y65" s="10">
        <v>28.49</v>
      </c>
      <c r="Z65" s="10">
        <v>26.75</v>
      </c>
      <c r="AA65" s="10">
        <v>28.36</v>
      </c>
      <c r="AB65" s="95">
        <v>7450700</v>
      </c>
      <c r="AC65" s="10">
        <v>28.36</v>
      </c>
      <c r="AD65" s="2">
        <f t="shared" si="0"/>
        <v>1.7399999999999984</v>
      </c>
      <c r="AE65" s="138">
        <f t="shared" si="1"/>
        <v>6.2172284644194775E-2</v>
      </c>
    </row>
    <row r="66" spans="1:31" x14ac:dyDescent="0.25">
      <c r="A66" s="504"/>
      <c r="B66" s="504"/>
      <c r="C66" s="504"/>
      <c r="D66" s="505"/>
      <c r="E66" s="505"/>
      <c r="F66" s="505"/>
      <c r="G66" s="504"/>
      <c r="H66" s="506"/>
      <c r="I66" s="505"/>
      <c r="J66" s="505"/>
      <c r="K66" s="505"/>
      <c r="L66" s="504"/>
      <c r="M66" s="504"/>
      <c r="W66" s="133">
        <v>42524</v>
      </c>
      <c r="X66" s="10">
        <v>25.28</v>
      </c>
      <c r="Y66" s="10">
        <v>26.73</v>
      </c>
      <c r="Z66" s="10">
        <v>25.25</v>
      </c>
      <c r="AA66" s="10">
        <v>26.7</v>
      </c>
      <c r="AB66" s="95">
        <v>6587600</v>
      </c>
      <c r="AC66" s="10">
        <v>26.7</v>
      </c>
      <c r="AD66" s="2">
        <f t="shared" si="0"/>
        <v>1.4800000000000004</v>
      </c>
      <c r="AE66" s="138">
        <f t="shared" si="1"/>
        <v>4.0935672514619936E-2</v>
      </c>
    </row>
    <row r="67" spans="1:31" x14ac:dyDescent="0.25">
      <c r="A67" s="504"/>
      <c r="B67" s="504"/>
      <c r="C67" s="504"/>
      <c r="D67" s="505"/>
      <c r="E67" s="505"/>
      <c r="F67" s="505"/>
      <c r="G67" s="504"/>
      <c r="H67" s="506"/>
      <c r="I67" s="505"/>
      <c r="J67" s="505"/>
      <c r="K67" s="505"/>
      <c r="L67" s="504"/>
      <c r="M67" s="504"/>
      <c r="W67" s="133">
        <v>42523</v>
      </c>
      <c r="X67" s="10">
        <v>25.29</v>
      </c>
      <c r="Y67" s="10">
        <v>26</v>
      </c>
      <c r="Z67" s="10">
        <v>25.12</v>
      </c>
      <c r="AA67" s="10">
        <v>25.65</v>
      </c>
      <c r="AB67" s="95">
        <v>7305900</v>
      </c>
      <c r="AC67" s="10">
        <v>25.65</v>
      </c>
      <c r="AD67" s="2">
        <f>Y67-Z67</f>
        <v>0.87999999999999901</v>
      </c>
      <c r="AE67" s="138" t="e">
        <f>AC67/#REF!-1</f>
        <v>#REF!</v>
      </c>
    </row>
    <row r="68" spans="1:31" x14ac:dyDescent="0.25">
      <c r="A68" s="504"/>
      <c r="B68" s="504"/>
      <c r="C68" s="504"/>
      <c r="D68" s="505"/>
      <c r="E68" s="505"/>
      <c r="F68" s="505"/>
      <c r="G68" s="504"/>
      <c r="H68" s="506"/>
      <c r="I68" s="505"/>
      <c r="J68" s="505"/>
      <c r="K68" s="505"/>
      <c r="L68" s="504"/>
      <c r="M68" s="504"/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1:31" x14ac:dyDescent="0.25">
      <c r="A69" s="504"/>
      <c r="B69" s="504"/>
      <c r="C69" s="504"/>
      <c r="D69" s="505"/>
      <c r="E69" s="505"/>
      <c r="F69" s="505"/>
      <c r="G69" s="504"/>
      <c r="H69" s="506"/>
      <c r="I69" s="505"/>
      <c r="J69" s="505"/>
      <c r="K69" s="505"/>
      <c r="L69" s="504"/>
      <c r="M69" s="504"/>
      <c r="AD69" s="2">
        <f>Y68-Z68</f>
        <v>0</v>
      </c>
      <c r="AE69" s="138" t="e">
        <f>AC68/AC69-1</f>
        <v>#DIV/0!</v>
      </c>
    </row>
    <row r="70" spans="1:31" x14ac:dyDescent="0.25">
      <c r="A70" s="504"/>
      <c r="B70" s="504"/>
      <c r="C70" s="504"/>
      <c r="D70" s="505"/>
      <c r="E70" s="505"/>
      <c r="F70" s="505"/>
      <c r="G70" s="504"/>
      <c r="H70" s="506"/>
      <c r="I70" s="505"/>
      <c r="J70" s="505"/>
      <c r="K70" s="505"/>
      <c r="L70" s="504"/>
      <c r="M70" s="504"/>
    </row>
    <row r="71" spans="1:31" x14ac:dyDescent="0.25">
      <c r="A71" s="504"/>
      <c r="B71" s="504"/>
      <c r="C71" s="504"/>
      <c r="D71" s="505"/>
      <c r="E71" s="505"/>
      <c r="F71" s="505"/>
      <c r="G71" s="504"/>
      <c r="H71" s="506"/>
      <c r="I71" s="505"/>
      <c r="J71" s="505"/>
      <c r="K71" s="505"/>
      <c r="L71" s="504"/>
      <c r="M71" s="504"/>
    </row>
    <row r="72" spans="1:31" x14ac:dyDescent="0.25">
      <c r="A72" s="504"/>
      <c r="B72" s="504"/>
      <c r="C72" s="504"/>
      <c r="D72" s="505"/>
      <c r="E72" s="505"/>
      <c r="F72" s="505"/>
      <c r="G72" s="504"/>
      <c r="H72" s="506"/>
      <c r="I72" s="505"/>
      <c r="J72" s="505"/>
      <c r="K72" s="505"/>
      <c r="L72" s="504"/>
      <c r="M72" s="504"/>
    </row>
    <row r="73" spans="1:31" x14ac:dyDescent="0.25">
      <c r="A73" s="504"/>
      <c r="B73" s="504"/>
      <c r="C73" s="504"/>
      <c r="D73" s="505"/>
      <c r="E73" s="505"/>
      <c r="F73" s="505"/>
      <c r="G73" s="504"/>
      <c r="H73" s="504"/>
      <c r="I73" s="505"/>
      <c r="J73" s="505"/>
      <c r="K73" s="505"/>
      <c r="L73" s="504"/>
      <c r="M73" s="504"/>
    </row>
    <row r="74" spans="1:31" x14ac:dyDescent="0.25">
      <c r="A74" s="64" t="s">
        <v>81</v>
      </c>
      <c r="B74" s="65"/>
      <c r="C74" s="65">
        <f>SUM(C58:C62)</f>
        <v>100</v>
      </c>
      <c r="D74" s="66"/>
      <c r="E74" s="66"/>
      <c r="F74" s="66">
        <f>SUM(F58:F62)</f>
        <v>2500</v>
      </c>
      <c r="G74" s="65"/>
      <c r="H74" s="65">
        <f>SUM(H58:H61)</f>
        <v>100</v>
      </c>
      <c r="I74" s="66"/>
      <c r="J74" s="66"/>
      <c r="K74" s="66">
        <f>SUM(K58:K61)</f>
        <v>2787.94</v>
      </c>
      <c r="L74" s="65"/>
      <c r="M74" s="66">
        <f>SUM(M58:M66)</f>
        <v>0</v>
      </c>
    </row>
    <row r="75" spans="1:31" ht="15.75" thickBot="1" x14ac:dyDescent="0.3">
      <c r="A75" s="508" t="s">
        <v>204</v>
      </c>
      <c r="B75" s="509"/>
      <c r="C75" s="510">
        <f>SumByColor($A$19,C58:C73)</f>
        <v>0</v>
      </c>
      <c r="D75" s="510"/>
      <c r="E75" s="510"/>
      <c r="F75" s="511">
        <f>SumByColor($A$19,F58:F73)</f>
        <v>0</v>
      </c>
      <c r="G75" s="510"/>
      <c r="H75" s="510">
        <f>SumByColor($A$19,H58:H73)</f>
        <v>0</v>
      </c>
      <c r="I75" s="510"/>
      <c r="J75" s="510"/>
      <c r="K75" s="511">
        <f>SumByColor($A$19,K58:K73)</f>
        <v>0</v>
      </c>
      <c r="L75" s="510"/>
      <c r="M75" s="511">
        <f t="shared" ref="M75" si="28">SumByColor($A$19,M58:M73)</f>
        <v>0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8:F41 H38:H41">
    <cfRule type="expression" dxfId="514" priority="19">
      <formula>F38&gt;0</formula>
    </cfRule>
    <cfRule type="expression" dxfId="513" priority="20">
      <formula>F38&lt;0</formula>
    </cfRule>
  </conditionalFormatting>
  <conditionalFormatting sqref="Q7">
    <cfRule type="expression" dxfId="512" priority="7">
      <formula>Q7&gt;0</formula>
    </cfRule>
    <cfRule type="expression" dxfId="511" priority="8">
      <formula>Q7&lt;0</formula>
    </cfRule>
  </conditionalFormatting>
  <conditionalFormatting sqref="Q8">
    <cfRule type="expression" dxfId="510" priority="5">
      <formula>Q8&gt;0</formula>
    </cfRule>
    <cfRule type="expression" dxfId="509" priority="6">
      <formula>Q8&lt;0</formula>
    </cfRule>
  </conditionalFormatting>
  <conditionalFormatting sqref="F25:F37">
    <cfRule type="expression" dxfId="508" priority="3">
      <formula>F25&gt;0</formula>
    </cfRule>
    <cfRule type="expression" dxfId="507" priority="4">
      <formula>F25&lt;0</formula>
    </cfRule>
  </conditionalFormatting>
  <conditionalFormatting sqref="H25:H37">
    <cfRule type="expression" dxfId="506" priority="1">
      <formula>H25&gt;0</formula>
    </cfRule>
    <cfRule type="expression" dxfId="505" priority="2">
      <formula>H25&lt;0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bestFit="1" customWidth="1"/>
    <col min="24" max="24" width="14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42615</v>
      </c>
      <c r="X2" s="10">
        <v>49.5</v>
      </c>
      <c r="Y2" s="10">
        <v>49.73</v>
      </c>
      <c r="Z2" s="10">
        <v>49.34</v>
      </c>
      <c r="AA2" s="10">
        <v>49.67</v>
      </c>
      <c r="AB2" s="95">
        <v>6852900</v>
      </c>
      <c r="AC2" s="10">
        <v>49.67</v>
      </c>
      <c r="AD2" s="2">
        <f>Y2-Z2</f>
        <v>0.38999999999999346</v>
      </c>
      <c r="AE2" s="138">
        <f>AC2/AC3-1</f>
        <v>1.3673469387755155E-2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49.95</v>
      </c>
      <c r="T3" s="1"/>
      <c r="W3" s="133">
        <v>42614</v>
      </c>
      <c r="X3" s="10">
        <v>48.87</v>
      </c>
      <c r="Y3" s="10">
        <v>49.01</v>
      </c>
      <c r="Z3" s="10">
        <v>48.69</v>
      </c>
      <c r="AA3" s="10">
        <v>49</v>
      </c>
      <c r="AB3" s="95">
        <v>4319100</v>
      </c>
      <c r="AC3" s="10">
        <v>49</v>
      </c>
      <c r="AD3" s="2">
        <f t="shared" ref="AD3:AD66" si="0">Y3-Z3</f>
        <v>0.32000000000000028</v>
      </c>
      <c r="AE3" s="138">
        <f t="shared" ref="AE3:AE66" si="1">AC3/AC4-1</f>
        <v>8.0230405266406013E-3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49.95</v>
      </c>
      <c r="T4" s="163"/>
      <c r="U4" s="1"/>
      <c r="W4" s="133">
        <v>42613</v>
      </c>
      <c r="X4" s="10">
        <v>48.7</v>
      </c>
      <c r="Y4" s="10">
        <v>48.83</v>
      </c>
      <c r="Z4" s="10">
        <v>48.46</v>
      </c>
      <c r="AA4" s="10">
        <v>48.61</v>
      </c>
      <c r="AB4" s="95">
        <v>3132600</v>
      </c>
      <c r="AC4" s="10">
        <v>48.61</v>
      </c>
      <c r="AD4" s="2">
        <f t="shared" si="0"/>
        <v>0.36999999999999744</v>
      </c>
      <c r="AE4" s="138">
        <f t="shared" si="1"/>
        <v>-2.0529665366454397E-3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42612</v>
      </c>
      <c r="X5" s="10">
        <v>48.9</v>
      </c>
      <c r="Y5" s="10">
        <v>48.94</v>
      </c>
      <c r="Z5" s="10">
        <v>48.63</v>
      </c>
      <c r="AA5" s="10">
        <v>48.71</v>
      </c>
      <c r="AB5" s="95">
        <v>4538100</v>
      </c>
      <c r="AC5" s="10">
        <v>48.71</v>
      </c>
      <c r="AD5" s="2">
        <f t="shared" si="0"/>
        <v>0.30999999999999517</v>
      </c>
      <c r="AE5" s="138">
        <f t="shared" si="1"/>
        <v>-2.4575056317837074E-3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42611</v>
      </c>
      <c r="X6" s="10">
        <v>48.46</v>
      </c>
      <c r="Y6" s="10">
        <v>48.83</v>
      </c>
      <c r="Z6" s="10">
        <v>48.46</v>
      </c>
      <c r="AA6" s="10">
        <v>48.83</v>
      </c>
      <c r="AB6" s="95">
        <v>1852900</v>
      </c>
      <c r="AC6" s="10">
        <v>48.83</v>
      </c>
      <c r="AD6" s="2">
        <f t="shared" si="0"/>
        <v>0.36999999999999744</v>
      </c>
      <c r="AE6" s="138">
        <f t="shared" si="1"/>
        <v>4.732510288065761E-3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257.64999999999964</v>
      </c>
      <c r="R7">
        <v>0</v>
      </c>
      <c r="W7" s="133">
        <v>42608</v>
      </c>
      <c r="X7" s="10">
        <v>49.09</v>
      </c>
      <c r="Y7" s="10">
        <v>49.55</v>
      </c>
      <c r="Z7" s="10">
        <v>48.42</v>
      </c>
      <c r="AA7" s="10">
        <v>48.6</v>
      </c>
      <c r="AB7" s="95">
        <v>5348500</v>
      </c>
      <c r="AC7" s="10">
        <v>48.6</v>
      </c>
      <c r="AD7" s="2">
        <f t="shared" si="0"/>
        <v>1.1299999999999955</v>
      </c>
      <c r="AE7" s="138">
        <f t="shared" si="1"/>
        <v>-5.5248618784529135E-3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42607</v>
      </c>
      <c r="X8" s="10">
        <v>48.96</v>
      </c>
      <c r="Y8" s="10">
        <v>49.05</v>
      </c>
      <c r="Z8" s="10">
        <v>48.83</v>
      </c>
      <c r="AA8" s="10">
        <v>48.87</v>
      </c>
      <c r="AB8" s="95">
        <v>1807000</v>
      </c>
      <c r="AC8" s="10">
        <v>48.87</v>
      </c>
      <c r="AD8" s="2">
        <f t="shared" si="0"/>
        <v>0.21999999999999886</v>
      </c>
      <c r="AE8" s="138">
        <f t="shared" si="1"/>
        <v>-4.2787286063570296E-3</v>
      </c>
    </row>
    <row r="9" spans="1:31" x14ac:dyDescent="0.25">
      <c r="H9" s="72"/>
      <c r="O9" s="11" t="s">
        <v>224</v>
      </c>
      <c r="Q9" s="138">
        <f>IF(Q2=0, 0, Q8/Q6)</f>
        <v>0</v>
      </c>
      <c r="W9" s="133">
        <v>42606</v>
      </c>
      <c r="X9" s="10">
        <v>49.31</v>
      </c>
      <c r="Y9" s="10">
        <v>49.38</v>
      </c>
      <c r="Z9" s="10">
        <v>49.07</v>
      </c>
      <c r="AA9" s="10">
        <v>49.08</v>
      </c>
      <c r="AB9" s="95">
        <v>3346800</v>
      </c>
      <c r="AC9" s="10">
        <v>49.08</v>
      </c>
      <c r="AD9" s="2">
        <f t="shared" si="0"/>
        <v>0.31000000000000227</v>
      </c>
      <c r="AE9" s="138">
        <f t="shared" si="1"/>
        <v>-2.8443722064201982E-3</v>
      </c>
    </row>
    <row r="10" spans="1:31" x14ac:dyDescent="0.25">
      <c r="H10" s="72"/>
      <c r="O10" s="11" t="s">
        <v>223</v>
      </c>
      <c r="P10" s="34"/>
      <c r="Q10" s="2">
        <f>M53</f>
        <v>257.64999999999964</v>
      </c>
      <c r="W10" s="133">
        <v>42605</v>
      </c>
      <c r="X10" s="10">
        <v>49.34</v>
      </c>
      <c r="Y10" s="10">
        <v>49.49</v>
      </c>
      <c r="Z10" s="10">
        <v>49.22</v>
      </c>
      <c r="AA10" s="10">
        <v>49.22</v>
      </c>
      <c r="AB10" s="95">
        <v>3791900</v>
      </c>
      <c r="AC10" s="10">
        <v>49.22</v>
      </c>
      <c r="AD10" s="2">
        <f t="shared" si="0"/>
        <v>0.27000000000000313</v>
      </c>
      <c r="AE10" s="138">
        <f t="shared" si="1"/>
        <v>4.6948356807510194E-3</v>
      </c>
    </row>
    <row r="11" spans="1:31" x14ac:dyDescent="0.25">
      <c r="H11" s="72"/>
      <c r="O11" s="11" t="s">
        <v>184</v>
      </c>
      <c r="P11" s="34"/>
      <c r="Q11" s="138">
        <v>0</v>
      </c>
      <c r="W11" s="133">
        <v>42604</v>
      </c>
      <c r="X11" s="10">
        <v>48.74</v>
      </c>
      <c r="Y11" s="10">
        <v>49.08</v>
      </c>
      <c r="Z11" s="10">
        <v>48.69</v>
      </c>
      <c r="AA11" s="10">
        <v>48.99</v>
      </c>
      <c r="AB11" s="95">
        <v>1604600</v>
      </c>
      <c r="AC11" s="10">
        <v>48.99</v>
      </c>
      <c r="AD11" s="2">
        <f t="shared" si="0"/>
        <v>0.39000000000000057</v>
      </c>
      <c r="AE11" s="138">
        <f t="shared" si="1"/>
        <v>8.1716036772205847E-4</v>
      </c>
    </row>
    <row r="12" spans="1:31" x14ac:dyDescent="0.25">
      <c r="H12" s="72"/>
      <c r="W12" s="133">
        <v>42601</v>
      </c>
      <c r="X12" s="10">
        <v>48.79</v>
      </c>
      <c r="Y12" s="10">
        <v>49.01</v>
      </c>
      <c r="Z12" s="10">
        <v>48.69</v>
      </c>
      <c r="AA12" s="10">
        <v>48.95</v>
      </c>
      <c r="AB12" s="95">
        <v>2020100</v>
      </c>
      <c r="AC12" s="10">
        <v>48.95</v>
      </c>
      <c r="AD12" s="2">
        <f t="shared" si="0"/>
        <v>0.32000000000000028</v>
      </c>
      <c r="AE12" s="138">
        <f t="shared" si="1"/>
        <v>-8.7079789388416762E-3</v>
      </c>
    </row>
    <row r="13" spans="1:31" x14ac:dyDescent="0.25">
      <c r="H13" s="72"/>
      <c r="W13" s="133">
        <v>42600</v>
      </c>
      <c r="X13" s="10">
        <v>49.11</v>
      </c>
      <c r="Y13" s="10">
        <v>49.39</v>
      </c>
      <c r="Z13" s="10">
        <v>49.09</v>
      </c>
      <c r="AA13" s="10">
        <v>49.38</v>
      </c>
      <c r="AB13" s="95">
        <v>2618000</v>
      </c>
      <c r="AC13" s="10">
        <v>49.38</v>
      </c>
      <c r="AD13" s="2">
        <f t="shared" si="0"/>
        <v>0.29999999999999716</v>
      </c>
      <c r="AE13" s="138">
        <f t="shared" si="1"/>
        <v>7.9608083282303177E-3</v>
      </c>
    </row>
    <row r="14" spans="1:31" x14ac:dyDescent="0.25">
      <c r="H14" s="72"/>
      <c r="W14" s="133">
        <v>42599</v>
      </c>
      <c r="X14" s="10">
        <v>48.82</v>
      </c>
      <c r="Y14" s="10">
        <v>49.14</v>
      </c>
      <c r="Z14" s="10">
        <v>48.61</v>
      </c>
      <c r="AA14" s="10">
        <v>48.99</v>
      </c>
      <c r="AB14" s="95">
        <v>3134300</v>
      </c>
      <c r="AC14" s="10">
        <v>48.99</v>
      </c>
      <c r="AD14" s="2">
        <f t="shared" si="0"/>
        <v>0.53000000000000114</v>
      </c>
      <c r="AE14" s="138">
        <f t="shared" si="1"/>
        <v>-1.6303240269003316E-3</v>
      </c>
    </row>
    <row r="15" spans="1:31" x14ac:dyDescent="0.25">
      <c r="H15" s="72"/>
      <c r="W15" s="133">
        <v>42598</v>
      </c>
      <c r="X15" s="10">
        <v>49.17</v>
      </c>
      <c r="Y15" s="10">
        <v>49.28</v>
      </c>
      <c r="Z15" s="10">
        <v>49.06</v>
      </c>
      <c r="AA15" s="10">
        <v>49.07</v>
      </c>
      <c r="AB15" s="95">
        <v>4113300</v>
      </c>
      <c r="AC15" s="10">
        <v>49.07</v>
      </c>
      <c r="AD15" s="2">
        <f t="shared" si="0"/>
        <v>0.21999999999999886</v>
      </c>
      <c r="AE15" s="138">
        <f t="shared" si="1"/>
        <v>-4.0741495212881507E-4</v>
      </c>
    </row>
    <row r="16" spans="1:31" x14ac:dyDescent="0.25">
      <c r="H16" s="72"/>
      <c r="W16" s="133">
        <v>42597</v>
      </c>
      <c r="X16" s="10">
        <v>49.09</v>
      </c>
      <c r="Y16" s="10">
        <v>49.2</v>
      </c>
      <c r="Z16" s="10">
        <v>49.05</v>
      </c>
      <c r="AA16" s="10">
        <v>49.09</v>
      </c>
      <c r="AB16" s="95">
        <v>1432600</v>
      </c>
      <c r="AC16" s="10">
        <v>49.09</v>
      </c>
      <c r="AD16" s="2">
        <f t="shared" si="0"/>
        <v>0.15000000000000568</v>
      </c>
      <c r="AE16" s="138">
        <f t="shared" si="1"/>
        <v>3.0649775234983245E-3</v>
      </c>
    </row>
    <row r="17" spans="1:31" x14ac:dyDescent="0.25">
      <c r="W17" s="133">
        <v>42594</v>
      </c>
      <c r="X17" s="10">
        <v>49.17</v>
      </c>
      <c r="Y17" s="10">
        <v>49.17</v>
      </c>
      <c r="Z17" s="10">
        <v>48.88</v>
      </c>
      <c r="AA17" s="10">
        <v>48.94</v>
      </c>
      <c r="AB17" s="95">
        <v>1558400</v>
      </c>
      <c r="AC17" s="10">
        <v>48.94</v>
      </c>
      <c r="AD17" s="2">
        <f t="shared" si="0"/>
        <v>0.28999999999999915</v>
      </c>
      <c r="AE17" s="138">
        <f t="shared" si="1"/>
        <v>-1.224489795918382E-3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42593</v>
      </c>
      <c r="X18" s="10">
        <v>48.82</v>
      </c>
      <c r="Y18" s="10">
        <v>49.14</v>
      </c>
      <c r="Z18" s="10">
        <v>48.82</v>
      </c>
      <c r="AA18" s="10">
        <v>49</v>
      </c>
      <c r="AB18" s="95">
        <v>2320000</v>
      </c>
      <c r="AC18" s="10">
        <v>49</v>
      </c>
      <c r="AD18" s="2">
        <f t="shared" si="0"/>
        <v>0.32000000000000028</v>
      </c>
      <c r="AE18" s="138">
        <f t="shared" si="1"/>
        <v>7.815713698066773E-3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42592</v>
      </c>
      <c r="X19" s="10">
        <v>48.66</v>
      </c>
      <c r="Y19" s="10">
        <v>48.74</v>
      </c>
      <c r="Z19" s="10">
        <v>48.57</v>
      </c>
      <c r="AA19" s="10">
        <v>48.62</v>
      </c>
      <c r="AB19" s="95">
        <v>2209500</v>
      </c>
      <c r="AC19" s="10">
        <v>48.62</v>
      </c>
      <c r="AD19" s="2">
        <f t="shared" si="0"/>
        <v>0.17000000000000171</v>
      </c>
      <c r="AE19" s="138">
        <f t="shared" si="1"/>
        <v>4.3379467052262477E-3</v>
      </c>
    </row>
    <row r="20" spans="1:31" x14ac:dyDescent="0.25">
      <c r="W20" s="133">
        <v>42591</v>
      </c>
      <c r="X20" s="10">
        <v>48.13</v>
      </c>
      <c r="Y20" s="10">
        <v>48.54</v>
      </c>
      <c r="Z20" s="10">
        <v>48.12</v>
      </c>
      <c r="AA20" s="10">
        <v>48.41</v>
      </c>
      <c r="AB20" s="95">
        <v>2543500</v>
      </c>
      <c r="AC20" s="10">
        <v>48.41</v>
      </c>
      <c r="AD20" s="2">
        <f t="shared" si="0"/>
        <v>0.42000000000000171</v>
      </c>
      <c r="AE20" s="138">
        <f t="shared" si="1"/>
        <v>1.0014604631754631E-2</v>
      </c>
    </row>
    <row r="21" spans="1:31" x14ac:dyDescent="0.25">
      <c r="W21" s="133">
        <v>42590</v>
      </c>
      <c r="X21" s="10">
        <v>47.91</v>
      </c>
      <c r="Y21" s="10">
        <v>47.95</v>
      </c>
      <c r="Z21" s="10">
        <v>47.84</v>
      </c>
      <c r="AA21" s="10">
        <v>47.93</v>
      </c>
      <c r="AB21" s="95">
        <v>1743200</v>
      </c>
      <c r="AC21" s="10">
        <v>47.93</v>
      </c>
      <c r="AD21" s="2">
        <f t="shared" si="0"/>
        <v>0.10999999999999943</v>
      </c>
      <c r="AE21" s="138">
        <f t="shared" si="1"/>
        <v>8.3524744205476509E-4</v>
      </c>
    </row>
    <row r="22" spans="1:31" x14ac:dyDescent="0.25">
      <c r="W22" s="133">
        <v>42587</v>
      </c>
      <c r="X22" s="10">
        <v>47.65</v>
      </c>
      <c r="Y22" s="10">
        <v>47.92</v>
      </c>
      <c r="Z22" s="10">
        <v>47.64</v>
      </c>
      <c r="AA22" s="10">
        <v>47.89</v>
      </c>
      <c r="AB22" s="95">
        <v>2450200</v>
      </c>
      <c r="AC22" s="10">
        <v>47.89</v>
      </c>
      <c r="AD22" s="2">
        <f t="shared" si="0"/>
        <v>0.28000000000000114</v>
      </c>
      <c r="AE22" s="138">
        <f t="shared" si="1"/>
        <v>3.772793963529697E-3</v>
      </c>
    </row>
    <row r="23" spans="1:31" x14ac:dyDescent="0.25">
      <c r="W23" s="133">
        <v>42586</v>
      </c>
      <c r="X23" s="10">
        <v>47.53</v>
      </c>
      <c r="Y23" s="10">
        <v>47.71</v>
      </c>
      <c r="Z23" s="10">
        <v>47.48</v>
      </c>
      <c r="AA23" s="10">
        <v>47.71</v>
      </c>
      <c r="AB23" s="95">
        <v>8029900</v>
      </c>
      <c r="AC23" s="10">
        <v>47.71</v>
      </c>
      <c r="AD23" s="2">
        <f t="shared" si="0"/>
        <v>0.23000000000000398</v>
      </c>
      <c r="AE23" s="138">
        <f t="shared" si="1"/>
        <v>4.6325542219414206E-3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42585</v>
      </c>
      <c r="X24" s="10">
        <v>47.37</v>
      </c>
      <c r="Y24" s="10">
        <v>47.51</v>
      </c>
      <c r="Z24" s="10">
        <v>47.3</v>
      </c>
      <c r="AA24" s="10">
        <v>47.49</v>
      </c>
      <c r="AB24" s="95">
        <v>4263300</v>
      </c>
      <c r="AC24" s="10">
        <v>47.49</v>
      </c>
      <c r="AD24" s="2">
        <f t="shared" si="0"/>
        <v>0.21000000000000085</v>
      </c>
      <c r="AE24" s="138">
        <f t="shared" si="1"/>
        <v>-5.0282840980514498E-3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42584</v>
      </c>
      <c r="X25" s="10">
        <v>47.79</v>
      </c>
      <c r="Y25" s="10">
        <v>47.87</v>
      </c>
      <c r="Z25" s="10">
        <v>47.54</v>
      </c>
      <c r="AA25" s="10">
        <v>47.73</v>
      </c>
      <c r="AB25" s="95">
        <v>4587800</v>
      </c>
      <c r="AC25" s="10">
        <v>47.73</v>
      </c>
      <c r="AD25" s="2">
        <f t="shared" si="0"/>
        <v>0.32999999999999829</v>
      </c>
      <c r="AE25" s="138">
        <f t="shared" si="1"/>
        <v>-6.2814070351757678E-4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42583</v>
      </c>
      <c r="X26" s="10">
        <v>48.01</v>
      </c>
      <c r="Y26" s="10">
        <v>48.1</v>
      </c>
      <c r="Z26" s="10">
        <v>47.73</v>
      </c>
      <c r="AA26" s="10">
        <v>47.76</v>
      </c>
      <c r="AB26" s="95">
        <v>2955100</v>
      </c>
      <c r="AC26" s="10">
        <v>47.76</v>
      </c>
      <c r="AD26" s="2">
        <f t="shared" si="0"/>
        <v>0.37000000000000455</v>
      </c>
      <c r="AE26" s="138">
        <f t="shared" si="1"/>
        <v>-1.0770505385252704E-2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42580</v>
      </c>
      <c r="X27" s="10">
        <v>48.03</v>
      </c>
      <c r="Y27" s="10">
        <v>48.37</v>
      </c>
      <c r="Z27" s="10">
        <v>47.96</v>
      </c>
      <c r="AA27" s="10">
        <v>48.28</v>
      </c>
      <c r="AB27" s="95">
        <v>3588900</v>
      </c>
      <c r="AC27" s="10">
        <v>48.28</v>
      </c>
      <c r="AD27" s="2">
        <f t="shared" si="0"/>
        <v>0.40999999999999659</v>
      </c>
      <c r="AE27" s="138">
        <f t="shared" si="1"/>
        <v>9.1973244147156574E-3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42579</v>
      </c>
      <c r="X28" s="10">
        <v>47.84</v>
      </c>
      <c r="Y28" s="10">
        <v>47.91</v>
      </c>
      <c r="Z28" s="10">
        <v>47.57</v>
      </c>
      <c r="AA28" s="10">
        <v>47.84</v>
      </c>
      <c r="AB28" s="95">
        <v>3409900</v>
      </c>
      <c r="AC28" s="10">
        <v>47.84</v>
      </c>
      <c r="AD28" s="2">
        <f t="shared" si="0"/>
        <v>0.33999999999999631</v>
      </c>
      <c r="AE28" s="138">
        <f t="shared" si="1"/>
        <v>2.0907380305268397E-4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42578</v>
      </c>
      <c r="X29" s="10">
        <v>47.79</v>
      </c>
      <c r="Y29" s="10">
        <v>47.96</v>
      </c>
      <c r="Z29" s="10">
        <v>47.4</v>
      </c>
      <c r="AA29" s="10">
        <v>47.83</v>
      </c>
      <c r="AB29" s="95">
        <v>4174300</v>
      </c>
      <c r="AC29" s="10">
        <v>47.83</v>
      </c>
      <c r="AD29" s="2">
        <f t="shared" si="0"/>
        <v>0.56000000000000227</v>
      </c>
      <c r="AE29" s="138">
        <f t="shared" si="1"/>
        <v>6.947368421052591E-3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42577</v>
      </c>
      <c r="X30" s="10">
        <v>47.45</v>
      </c>
      <c r="Y30" s="10">
        <v>47.62</v>
      </c>
      <c r="Z30" s="10">
        <v>47.29</v>
      </c>
      <c r="AA30" s="10">
        <v>47.5</v>
      </c>
      <c r="AB30" s="95">
        <v>3324400</v>
      </c>
      <c r="AC30" s="10">
        <v>47.5</v>
      </c>
      <c r="AD30" s="2">
        <f t="shared" si="0"/>
        <v>0.32999999999999829</v>
      </c>
      <c r="AE30" s="138">
        <f t="shared" si="1"/>
        <v>3.379805661174462E-3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42576</v>
      </c>
      <c r="X31" s="10">
        <v>47.36</v>
      </c>
      <c r="Y31" s="10">
        <v>47.44</v>
      </c>
      <c r="Z31" s="10">
        <v>47.17</v>
      </c>
      <c r="AA31" s="10">
        <v>47.34</v>
      </c>
      <c r="AB31" s="95">
        <v>3372200</v>
      </c>
      <c r="AC31" s="10">
        <v>47.34</v>
      </c>
      <c r="AD31" s="2">
        <f t="shared" si="0"/>
        <v>0.26999999999999602</v>
      </c>
      <c r="AE31" s="138">
        <f t="shared" si="1"/>
        <v>1.0573059843519417E-3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42573</v>
      </c>
      <c r="X32" s="10">
        <v>47.35</v>
      </c>
      <c r="Y32" s="10">
        <v>47.38</v>
      </c>
      <c r="Z32" s="10">
        <v>47.17</v>
      </c>
      <c r="AA32" s="10">
        <v>47.29</v>
      </c>
      <c r="AB32" s="95">
        <v>3515800</v>
      </c>
      <c r="AC32" s="10">
        <v>47.29</v>
      </c>
      <c r="AD32" s="2">
        <f t="shared" si="0"/>
        <v>0.21000000000000085</v>
      </c>
      <c r="AE32" s="138">
        <f t="shared" si="1"/>
        <v>6.3478628861624031E-4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42572</v>
      </c>
      <c r="X33" s="10">
        <v>47.27</v>
      </c>
      <c r="Y33" s="10">
        <v>47.52</v>
      </c>
      <c r="Z33" s="10">
        <v>47.18</v>
      </c>
      <c r="AA33" s="10">
        <v>47.26</v>
      </c>
      <c r="AB33" s="95">
        <v>3208100</v>
      </c>
      <c r="AC33" s="10">
        <v>47.26</v>
      </c>
      <c r="AD33" s="2">
        <f t="shared" si="0"/>
        <v>0.34000000000000341</v>
      </c>
      <c r="AE33" s="138">
        <f t="shared" si="1"/>
        <v>-2.9535864978903481E-3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42571</v>
      </c>
      <c r="X34" s="10">
        <v>47.25</v>
      </c>
      <c r="Y34" s="10">
        <v>47.46</v>
      </c>
      <c r="Z34" s="10">
        <v>47.16</v>
      </c>
      <c r="AA34" s="10">
        <v>47.4</v>
      </c>
      <c r="AB34" s="95">
        <v>2976600</v>
      </c>
      <c r="AC34" s="10">
        <v>47.4</v>
      </c>
      <c r="AD34" s="2">
        <f t="shared" si="0"/>
        <v>0.30000000000000426</v>
      </c>
      <c r="AE34" s="138">
        <f t="shared" si="1"/>
        <v>9.5846645367412275E-3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42570</v>
      </c>
      <c r="X35" s="10">
        <v>46.98</v>
      </c>
      <c r="Y35" s="10">
        <v>47.06</v>
      </c>
      <c r="Z35" s="10">
        <v>46.83</v>
      </c>
      <c r="AA35" s="10">
        <v>46.95</v>
      </c>
      <c r="AB35" s="95">
        <v>4647500</v>
      </c>
      <c r="AC35" s="10">
        <v>46.95</v>
      </c>
      <c r="AD35" s="2">
        <f t="shared" si="0"/>
        <v>0.23000000000000398</v>
      </c>
      <c r="AE35" s="138">
        <f t="shared" si="1"/>
        <v>-7.609384908053296E-3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42569</v>
      </c>
      <c r="X36" s="10">
        <v>47.22</v>
      </c>
      <c r="Y36" s="10">
        <v>47.56</v>
      </c>
      <c r="Z36" s="10">
        <v>47.11</v>
      </c>
      <c r="AA36" s="10">
        <v>47.31</v>
      </c>
      <c r="AB36" s="95">
        <v>7433800</v>
      </c>
      <c r="AC36" s="10">
        <v>47.31</v>
      </c>
      <c r="AD36" s="2">
        <f t="shared" si="0"/>
        <v>0.45000000000000284</v>
      </c>
      <c r="AE36" s="138">
        <f t="shared" si="1"/>
        <v>1.9059720457434981E-3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42566</v>
      </c>
      <c r="X37" s="10">
        <v>47.32</v>
      </c>
      <c r="Y37" s="10">
        <v>47.39</v>
      </c>
      <c r="Z37" s="10">
        <v>47.1</v>
      </c>
      <c r="AA37" s="10">
        <v>47.22</v>
      </c>
      <c r="AB37" s="95">
        <v>10403600</v>
      </c>
      <c r="AC37" s="10">
        <v>47.22</v>
      </c>
      <c r="AD37" s="2">
        <f t="shared" si="0"/>
        <v>0.28999999999999915</v>
      </c>
      <c r="AE37" s="138">
        <f t="shared" si="1"/>
        <v>-6.1039781098716217E-3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42565</v>
      </c>
      <c r="X38" s="10">
        <v>47.54</v>
      </c>
      <c r="Y38" s="10">
        <v>47.67</v>
      </c>
      <c r="Z38" s="10">
        <v>47.43</v>
      </c>
      <c r="AA38" s="10">
        <v>47.51</v>
      </c>
      <c r="AB38" s="95">
        <v>17420400</v>
      </c>
      <c r="AC38" s="10">
        <v>47.51</v>
      </c>
      <c r="AD38" s="2">
        <f t="shared" si="0"/>
        <v>0.24000000000000199</v>
      </c>
      <c r="AE38" s="138">
        <f t="shared" si="1"/>
        <v>1.0421097405359347E-2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42564</v>
      </c>
      <c r="X39" s="10">
        <v>47.24</v>
      </c>
      <c r="Y39" s="10">
        <v>47.41</v>
      </c>
      <c r="Z39" s="10">
        <v>46.99</v>
      </c>
      <c r="AA39" s="10">
        <v>47.02</v>
      </c>
      <c r="AB39" s="95">
        <v>7892100</v>
      </c>
      <c r="AC39" s="10">
        <v>47.02</v>
      </c>
      <c r="AD39" s="2">
        <f t="shared" si="0"/>
        <v>0.4199999999999946</v>
      </c>
      <c r="AE39" s="138">
        <f t="shared" si="1"/>
        <v>0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45" t="s">
        <v>78</v>
      </c>
      <c r="P40" s="545"/>
      <c r="W40" s="133">
        <v>42563</v>
      </c>
      <c r="X40" s="10">
        <v>47.07</v>
      </c>
      <c r="Y40" s="10">
        <v>47.31</v>
      </c>
      <c r="Z40" s="10">
        <v>46.99</v>
      </c>
      <c r="AA40" s="10">
        <v>47.02</v>
      </c>
      <c r="AB40" s="95">
        <v>6164700</v>
      </c>
      <c r="AC40" s="10">
        <v>47.02</v>
      </c>
      <c r="AD40" s="2">
        <f t="shared" si="0"/>
        <v>0.32000000000000028</v>
      </c>
      <c r="AE40" s="138">
        <f t="shared" si="1"/>
        <v>1.4674147604661236E-2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54.945000000000007</v>
      </c>
      <c r="Q41" s="2"/>
      <c r="W41" s="133">
        <v>42562</v>
      </c>
      <c r="X41" s="10">
        <v>46.3</v>
      </c>
      <c r="Y41" s="10">
        <v>46.53</v>
      </c>
      <c r="Z41" s="10">
        <v>46.28</v>
      </c>
      <c r="AA41" s="10">
        <v>46.34</v>
      </c>
      <c r="AB41" s="95">
        <v>6794500</v>
      </c>
      <c r="AC41" s="10">
        <v>46.34</v>
      </c>
      <c r="AD41" s="2">
        <f t="shared" si="0"/>
        <v>0.25</v>
      </c>
      <c r="AE41" s="138">
        <f t="shared" si="1"/>
        <v>1.4892685063513156E-2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54.44550000000001</v>
      </c>
      <c r="Q42" s="2"/>
      <c r="T42" s="91" t="s">
        <v>113</v>
      </c>
      <c r="W42" s="133">
        <v>42559</v>
      </c>
      <c r="X42" s="10">
        <v>45.66</v>
      </c>
      <c r="Y42" s="10">
        <v>45.73</v>
      </c>
      <c r="Z42" s="10">
        <v>45.48</v>
      </c>
      <c r="AA42" s="10">
        <v>45.66</v>
      </c>
      <c r="AB42" s="95">
        <v>7459000</v>
      </c>
      <c r="AC42" s="10">
        <v>45.66</v>
      </c>
      <c r="AD42" s="2">
        <f t="shared" si="0"/>
        <v>0.25</v>
      </c>
      <c r="AE42" s="138">
        <f t="shared" si="1"/>
        <v>1.6473731077470966E-2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53.946000000000005</v>
      </c>
      <c r="Q43" s="2"/>
      <c r="T43" s="128" t="s">
        <v>98</v>
      </c>
      <c r="U43" s="98">
        <v>49</v>
      </c>
      <c r="W43" s="133">
        <v>42558</v>
      </c>
      <c r="X43" s="10">
        <v>45.25</v>
      </c>
      <c r="Y43" s="10">
        <v>45.43</v>
      </c>
      <c r="Z43" s="10">
        <v>44.74</v>
      </c>
      <c r="AA43" s="10">
        <v>44.92</v>
      </c>
      <c r="AB43" s="95">
        <v>6712900</v>
      </c>
      <c r="AC43" s="10">
        <v>44.92</v>
      </c>
      <c r="AD43" s="2">
        <f t="shared" si="0"/>
        <v>0.68999999999999773</v>
      </c>
      <c r="AE43" s="138">
        <f t="shared" si="1"/>
        <v>-4.2119264021280856E-3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53.446500000000007</v>
      </c>
      <c r="Q44" s="2"/>
      <c r="T44" s="93" t="s">
        <v>99</v>
      </c>
      <c r="U44" s="88">
        <v>49.5</v>
      </c>
      <c r="W44" s="133">
        <v>42557</v>
      </c>
      <c r="X44" s="10">
        <v>44.67</v>
      </c>
      <c r="Y44" s="10">
        <v>45.14</v>
      </c>
      <c r="Z44" s="10">
        <v>44.29</v>
      </c>
      <c r="AA44" s="10">
        <v>45.11</v>
      </c>
      <c r="AB44" s="95">
        <v>10473300</v>
      </c>
      <c r="AC44" s="10">
        <v>45.11</v>
      </c>
      <c r="AD44" s="2">
        <f t="shared" si="0"/>
        <v>0.85000000000000142</v>
      </c>
      <c r="AE44" s="138">
        <f t="shared" si="1"/>
        <v>-3.0939226519337559E-3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52.947000000000003</v>
      </c>
      <c r="Q45" s="2"/>
      <c r="T45" s="93" t="s">
        <v>100</v>
      </c>
      <c r="U45" s="88" t="s">
        <v>535</v>
      </c>
      <c r="W45" s="133">
        <v>42556</v>
      </c>
      <c r="X45" s="10">
        <v>45.78</v>
      </c>
      <c r="Y45" s="10">
        <v>45.81</v>
      </c>
      <c r="Z45" s="10">
        <v>45.13</v>
      </c>
      <c r="AA45" s="10">
        <v>45.25</v>
      </c>
      <c r="AB45" s="95">
        <v>8668300</v>
      </c>
      <c r="AC45" s="10">
        <v>45.25</v>
      </c>
      <c r="AD45" s="2">
        <f t="shared" si="0"/>
        <v>0.67999999999999972</v>
      </c>
      <c r="AE45" s="138">
        <f t="shared" si="1"/>
        <v>-3.1464041095890405E-2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52.447500000000005</v>
      </c>
      <c r="Q46" s="2"/>
      <c r="T46" s="93" t="s">
        <v>101</v>
      </c>
      <c r="U46" s="88" t="s">
        <v>536</v>
      </c>
      <c r="W46" s="133">
        <v>42552</v>
      </c>
      <c r="X46" s="10">
        <v>46.76</v>
      </c>
      <c r="Y46" s="10">
        <v>46.88</v>
      </c>
      <c r="Z46" s="10">
        <v>46.63</v>
      </c>
      <c r="AA46" s="10">
        <v>46.72</v>
      </c>
      <c r="AB46" s="95">
        <v>8123600</v>
      </c>
      <c r="AC46" s="10">
        <v>46.72</v>
      </c>
      <c r="AD46" s="2">
        <f t="shared" si="0"/>
        <v>0.25</v>
      </c>
      <c r="AE46" s="138">
        <f t="shared" si="1"/>
        <v>1.285897985426443E-3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51.948000000000008</v>
      </c>
      <c r="Q47" s="2"/>
      <c r="T47" s="93" t="s">
        <v>238</v>
      </c>
      <c r="U47" s="88">
        <v>49.67</v>
      </c>
      <c r="W47" s="133">
        <v>42551</v>
      </c>
      <c r="X47" s="10">
        <v>45.86</v>
      </c>
      <c r="Y47" s="10">
        <v>46.66</v>
      </c>
      <c r="Z47" s="10">
        <v>45.79</v>
      </c>
      <c r="AA47" s="10">
        <v>46.66</v>
      </c>
      <c r="AB47" s="95">
        <v>12204600</v>
      </c>
      <c r="AC47" s="10">
        <v>46.66</v>
      </c>
      <c r="AD47" s="2">
        <f t="shared" si="0"/>
        <v>0.86999999999999744</v>
      </c>
      <c r="AE47" s="138">
        <f t="shared" si="1"/>
        <v>2.2124863088718527E-2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51.448500000000003</v>
      </c>
      <c r="Q48" s="2"/>
      <c r="T48" s="93" t="s">
        <v>239</v>
      </c>
      <c r="U48" s="88" t="s">
        <v>336</v>
      </c>
      <c r="W48" s="133">
        <v>42550</v>
      </c>
      <c r="X48" s="10">
        <v>45.51</v>
      </c>
      <c r="Y48" s="10">
        <v>45.88</v>
      </c>
      <c r="Z48" s="10">
        <v>45.37</v>
      </c>
      <c r="AA48" s="10">
        <v>45.65</v>
      </c>
      <c r="AB48" s="95">
        <v>7148600</v>
      </c>
      <c r="AC48" s="10">
        <v>45.65</v>
      </c>
      <c r="AD48" s="2">
        <f t="shared" si="0"/>
        <v>0.51000000000000512</v>
      </c>
      <c r="AE48" s="138">
        <f t="shared" si="1"/>
        <v>2.0339740724184097E-2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50.949000000000005</v>
      </c>
      <c r="Q49" s="2"/>
      <c r="T49" s="93" t="s">
        <v>240</v>
      </c>
      <c r="U49" s="464">
        <v>-6.7999999999999996E-3</v>
      </c>
      <c r="W49" s="133">
        <v>42549</v>
      </c>
      <c r="X49" s="10">
        <v>44.53</v>
      </c>
      <c r="Y49" s="10">
        <v>44.74</v>
      </c>
      <c r="Z49" s="10">
        <v>44.12</v>
      </c>
      <c r="AA49" s="10">
        <v>44.74</v>
      </c>
      <c r="AB49" s="95">
        <v>9806000</v>
      </c>
      <c r="AC49" s="10">
        <v>44.74</v>
      </c>
      <c r="AD49" s="2">
        <f t="shared" si="0"/>
        <v>0.62000000000000455</v>
      </c>
      <c r="AE49" s="138">
        <f t="shared" si="1"/>
        <v>3.2779316712834738E-2</v>
      </c>
    </row>
    <row r="50" spans="1:31" x14ac:dyDescent="0.25">
      <c r="O50" s="83">
        <v>1.01</v>
      </c>
      <c r="P50" s="83">
        <f t="shared" si="42"/>
        <v>50.4495</v>
      </c>
      <c r="Q50" s="2"/>
      <c r="T50" s="93"/>
      <c r="U50" s="88"/>
      <c r="W50" s="133">
        <v>42548</v>
      </c>
      <c r="X50" s="10">
        <v>43.57</v>
      </c>
      <c r="Y50" s="10">
        <v>43.63</v>
      </c>
      <c r="Z50" s="10">
        <v>42.73</v>
      </c>
      <c r="AA50" s="10">
        <v>43.32</v>
      </c>
      <c r="AB50" s="95">
        <v>10904600</v>
      </c>
      <c r="AC50" s="10">
        <v>43.32</v>
      </c>
      <c r="AD50" s="2">
        <f t="shared" si="0"/>
        <v>0.90000000000000568</v>
      </c>
      <c r="AE50" s="138">
        <f t="shared" si="1"/>
        <v>-2.6079136690647431E-2</v>
      </c>
    </row>
    <row r="51" spans="1:31" x14ac:dyDescent="0.25">
      <c r="O51" s="83">
        <v>1</v>
      </c>
      <c r="P51" s="83">
        <f t="shared" si="42"/>
        <v>49.95</v>
      </c>
      <c r="Q51" s="2"/>
      <c r="T51" s="93" t="s">
        <v>105</v>
      </c>
      <c r="U51" s="88" t="s">
        <v>537</v>
      </c>
      <c r="W51" s="133">
        <v>42545</v>
      </c>
      <c r="X51" s="10">
        <v>44.93</v>
      </c>
      <c r="Y51" s="10">
        <v>46.02</v>
      </c>
      <c r="Z51" s="10">
        <v>44.48</v>
      </c>
      <c r="AA51" s="10">
        <v>44.48</v>
      </c>
      <c r="AB51" s="95">
        <v>29139700</v>
      </c>
      <c r="AC51" s="10">
        <v>44.48</v>
      </c>
      <c r="AD51" s="2">
        <f t="shared" si="0"/>
        <v>1.5400000000000063</v>
      </c>
      <c r="AE51" s="138">
        <f t="shared" si="1"/>
        <v>-0.11288392500997213</v>
      </c>
    </row>
    <row r="52" spans="1:31" x14ac:dyDescent="0.25">
      <c r="O52" s="83">
        <v>0.99</v>
      </c>
      <c r="P52" s="83">
        <f t="shared" si="42"/>
        <v>49.450500000000005</v>
      </c>
      <c r="Q52" s="2"/>
      <c r="T52" s="93" t="s">
        <v>106</v>
      </c>
      <c r="U52" s="88" t="s">
        <v>352</v>
      </c>
      <c r="W52" s="133">
        <v>42544</v>
      </c>
      <c r="X52" s="10">
        <v>49.74</v>
      </c>
      <c r="Y52" s="10">
        <v>50.23</v>
      </c>
      <c r="Z52" s="10">
        <v>49.27</v>
      </c>
      <c r="AA52" s="10">
        <v>50.14</v>
      </c>
      <c r="AB52" s="95">
        <v>7688300</v>
      </c>
      <c r="AC52" s="10">
        <v>50.14</v>
      </c>
      <c r="AD52" s="2">
        <f t="shared" si="0"/>
        <v>0.95999999999999375</v>
      </c>
      <c r="AE52" s="138">
        <f t="shared" si="1"/>
        <v>3.1262854792266648E-2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48.951000000000001</v>
      </c>
      <c r="Q53" s="2"/>
      <c r="T53" s="93" t="s">
        <v>107</v>
      </c>
      <c r="U53" s="90">
        <v>7499941</v>
      </c>
      <c r="W53" s="133">
        <v>42543</v>
      </c>
      <c r="X53" s="10">
        <v>48.81</v>
      </c>
      <c r="Y53" s="10">
        <v>49.09</v>
      </c>
      <c r="Z53" s="10">
        <v>48.59</v>
      </c>
      <c r="AA53" s="10">
        <v>48.62</v>
      </c>
      <c r="AB53" s="95">
        <v>9102500</v>
      </c>
      <c r="AC53" s="10">
        <v>48.62</v>
      </c>
      <c r="AD53" s="2">
        <f t="shared" si="0"/>
        <v>0.5</v>
      </c>
      <c r="AE53" s="138">
        <f t="shared" si="1"/>
        <v>4.1152263374466536E-4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48.451500000000003</v>
      </c>
      <c r="T54" s="93" t="s">
        <v>110</v>
      </c>
      <c r="U54" s="90">
        <v>5771510</v>
      </c>
      <c r="W54" s="133">
        <v>42542</v>
      </c>
      <c r="X54" s="10">
        <v>48.44</v>
      </c>
      <c r="Y54" s="10">
        <v>48.93</v>
      </c>
      <c r="Z54" s="10">
        <v>48.24</v>
      </c>
      <c r="AA54" s="10">
        <v>48.6</v>
      </c>
      <c r="AB54" s="95">
        <v>5259200</v>
      </c>
      <c r="AC54" s="10">
        <v>48.6</v>
      </c>
      <c r="AD54" s="2">
        <f t="shared" si="0"/>
        <v>0.68999999999999773</v>
      </c>
      <c r="AE54" s="138">
        <f t="shared" si="1"/>
        <v>9.5554632322392141E-3</v>
      </c>
    </row>
    <row r="55" spans="1:31" x14ac:dyDescent="0.25">
      <c r="A55" s="265" t="s">
        <v>255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286</v>
      </c>
      <c r="M55" s="261"/>
      <c r="O55" s="83">
        <v>0.96</v>
      </c>
      <c r="P55" s="83">
        <f t="shared" si="42"/>
        <v>47.951999999999998</v>
      </c>
      <c r="T55" s="93" t="s">
        <v>241</v>
      </c>
      <c r="U55" s="88">
        <v>17</v>
      </c>
      <c r="W55" s="133">
        <v>42541</v>
      </c>
      <c r="X55" s="10">
        <v>48.49</v>
      </c>
      <c r="Y55" s="10">
        <v>48.52</v>
      </c>
      <c r="Z55" s="10">
        <v>48.12</v>
      </c>
      <c r="AA55" s="10">
        <v>48.14</v>
      </c>
      <c r="AB55" s="95">
        <v>7925800</v>
      </c>
      <c r="AC55" s="10">
        <v>48.14</v>
      </c>
      <c r="AD55" s="2">
        <f t="shared" si="0"/>
        <v>0.40000000000000568</v>
      </c>
      <c r="AE55" s="138">
        <f t="shared" si="1"/>
        <v>2.7096223597183666E-2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47.452500000000001</v>
      </c>
      <c r="T56" s="93" t="s">
        <v>242</v>
      </c>
      <c r="U56" s="88">
        <v>3.36</v>
      </c>
      <c r="W56" s="133">
        <v>42538</v>
      </c>
      <c r="X56" s="10">
        <v>46.41</v>
      </c>
      <c r="Y56" s="10">
        <v>46.92</v>
      </c>
      <c r="Z56" s="10">
        <v>46.21</v>
      </c>
      <c r="AA56" s="10">
        <v>46.87</v>
      </c>
      <c r="AB56" s="95">
        <v>9032800</v>
      </c>
      <c r="AC56" s="10">
        <v>46.87</v>
      </c>
      <c r="AD56" s="2">
        <f t="shared" si="0"/>
        <v>0.71000000000000085</v>
      </c>
      <c r="AE56" s="138">
        <f t="shared" si="1"/>
        <v>1.7144097222222099E-2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46.953000000000003</v>
      </c>
      <c r="T57" s="93"/>
      <c r="U57" s="88"/>
      <c r="W57" s="133">
        <v>42537</v>
      </c>
      <c r="X57" s="10">
        <v>45.17</v>
      </c>
      <c r="Y57" s="10">
        <v>46.1</v>
      </c>
      <c r="Z57" s="10">
        <v>44.83</v>
      </c>
      <c r="AA57" s="10">
        <v>46.08</v>
      </c>
      <c r="AB57" s="95">
        <v>7857600</v>
      </c>
      <c r="AC57" s="10">
        <v>46.08</v>
      </c>
      <c r="AD57" s="2">
        <f t="shared" si="0"/>
        <v>1.2700000000000031</v>
      </c>
      <c r="AE57" s="138">
        <f t="shared" si="1"/>
        <v>4.7972088966419246E-3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46.453500000000005</v>
      </c>
      <c r="T58" s="93"/>
      <c r="U58" s="88"/>
      <c r="W58" s="133">
        <v>42536</v>
      </c>
      <c r="X58" s="10">
        <v>45.97</v>
      </c>
      <c r="Y58" s="10">
        <v>46.21</v>
      </c>
      <c r="Z58" s="10">
        <v>45.78</v>
      </c>
      <c r="AA58" s="10">
        <v>45.86</v>
      </c>
      <c r="AB58" s="95">
        <v>6372700</v>
      </c>
      <c r="AC58" s="10">
        <v>45.86</v>
      </c>
      <c r="AD58" s="2">
        <f t="shared" si="0"/>
        <v>0.42999999999999972</v>
      </c>
      <c r="AE58" s="138">
        <f t="shared" si="1"/>
        <v>6.36383585692335E-3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45.954000000000008</v>
      </c>
      <c r="W59" s="133">
        <v>42535</v>
      </c>
      <c r="X59" s="10">
        <v>45.88</v>
      </c>
      <c r="Y59" s="10">
        <v>45.99</v>
      </c>
      <c r="Z59" s="10">
        <v>45.33</v>
      </c>
      <c r="AA59" s="10">
        <v>45.57</v>
      </c>
      <c r="AB59" s="95">
        <v>8372300</v>
      </c>
      <c r="AC59" s="10">
        <v>45.57</v>
      </c>
      <c r="AD59" s="2">
        <f t="shared" si="0"/>
        <v>0.66000000000000369</v>
      </c>
      <c r="AE59" s="138" t="e">
        <f t="shared" si="1"/>
        <v>#DIV/0!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45.454500000000003</v>
      </c>
      <c r="W60" s="133">
        <v>42535</v>
      </c>
      <c r="X60" s="10" t="s">
        <v>266</v>
      </c>
      <c r="Y60" s="10"/>
      <c r="Z60" s="10"/>
      <c r="AA60" s="10"/>
      <c r="AB60" s="95"/>
      <c r="AC60" s="10"/>
      <c r="AD60" s="2">
        <f t="shared" si="0"/>
        <v>0</v>
      </c>
      <c r="AE60" s="138">
        <f t="shared" si="1"/>
        <v>-1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44.955000000000005</v>
      </c>
      <c r="W61" s="133">
        <v>42534</v>
      </c>
      <c r="X61" s="10">
        <v>47.51</v>
      </c>
      <c r="Y61" s="10">
        <v>47.92</v>
      </c>
      <c r="Z61" s="10">
        <v>47.27</v>
      </c>
      <c r="AA61" s="10">
        <v>47.36</v>
      </c>
      <c r="AB61" s="95">
        <v>5610400</v>
      </c>
      <c r="AC61" s="10">
        <v>46.44</v>
      </c>
      <c r="AD61" s="2">
        <f t="shared" si="0"/>
        <v>0.64999999999999858</v>
      </c>
      <c r="AE61" s="138">
        <f t="shared" si="1"/>
        <v>-1.6101694915254372E-2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42531</v>
      </c>
      <c r="X62" s="10">
        <v>48.7</v>
      </c>
      <c r="Y62" s="10">
        <v>48.73</v>
      </c>
      <c r="Z62" s="10">
        <v>48.02</v>
      </c>
      <c r="AA62" s="10">
        <v>48.14</v>
      </c>
      <c r="AB62" s="95">
        <v>4333200</v>
      </c>
      <c r="AC62" s="10">
        <v>47.2</v>
      </c>
      <c r="AD62" s="2">
        <f t="shared" si="0"/>
        <v>0.70999999999999375</v>
      </c>
      <c r="AE62" s="138">
        <f t="shared" si="1"/>
        <v>-3.3974621367171443E-2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42530</v>
      </c>
      <c r="X63" s="10">
        <v>49.85</v>
      </c>
      <c r="Y63" s="10">
        <v>50.03</v>
      </c>
      <c r="Z63" s="10">
        <v>49.71</v>
      </c>
      <c r="AA63" s="10">
        <v>49.83</v>
      </c>
      <c r="AB63" s="95">
        <v>2563700</v>
      </c>
      <c r="AC63" s="10">
        <v>48.86</v>
      </c>
      <c r="AD63" s="2">
        <f t="shared" si="0"/>
        <v>0.32000000000000028</v>
      </c>
      <c r="AE63" s="138">
        <f t="shared" si="1"/>
        <v>-1.4323179342344172E-2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42529</v>
      </c>
      <c r="X64" s="10">
        <v>50.61</v>
      </c>
      <c r="Y64" s="10">
        <v>50.7</v>
      </c>
      <c r="Z64" s="10">
        <v>50.5</v>
      </c>
      <c r="AA64" s="10">
        <v>50.56</v>
      </c>
      <c r="AB64" s="95">
        <v>4458800</v>
      </c>
      <c r="AC64" s="10">
        <v>49.57</v>
      </c>
      <c r="AD64" s="2">
        <f t="shared" si="0"/>
        <v>0.20000000000000284</v>
      </c>
      <c r="AE64" s="138">
        <f t="shared" si="1"/>
        <v>1.4141414141413122E-3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42528</v>
      </c>
      <c r="X65" s="10">
        <v>50.52</v>
      </c>
      <c r="Y65" s="10">
        <v>50.68</v>
      </c>
      <c r="Z65" s="10">
        <v>50.45</v>
      </c>
      <c r="AA65" s="10">
        <v>50.49</v>
      </c>
      <c r="AB65" s="95">
        <v>6441300</v>
      </c>
      <c r="AC65" s="10">
        <v>49.5</v>
      </c>
      <c r="AD65" s="2">
        <f t="shared" si="0"/>
        <v>0.22999999999999687</v>
      </c>
      <c r="AE65" s="138">
        <f t="shared" si="1"/>
        <v>6.9161920260374377E-3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42527</v>
      </c>
      <c r="X66" s="10">
        <v>49.97</v>
      </c>
      <c r="Y66" s="10">
        <v>50.26</v>
      </c>
      <c r="Z66" s="10">
        <v>49.94</v>
      </c>
      <c r="AA66" s="10">
        <v>50.14</v>
      </c>
      <c r="AB66" s="95">
        <v>3202100</v>
      </c>
      <c r="AC66" s="10">
        <v>49.16</v>
      </c>
      <c r="AD66" s="2">
        <f t="shared" si="0"/>
        <v>0.32000000000000028</v>
      </c>
      <c r="AE66" s="138">
        <f t="shared" si="1"/>
        <v>2.6514378951660866E-3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42524</v>
      </c>
      <c r="X67" s="10">
        <v>49.78</v>
      </c>
      <c r="Y67" s="10">
        <v>50.02</v>
      </c>
      <c r="Z67" s="10">
        <v>49.55</v>
      </c>
      <c r="AA67" s="10">
        <v>50.01</v>
      </c>
      <c r="AB67" s="95">
        <v>5386600</v>
      </c>
      <c r="AC67" s="10">
        <v>49.03</v>
      </c>
      <c r="AD67" s="2">
        <f>Y67-Z67</f>
        <v>0.47000000000000597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42523</v>
      </c>
      <c r="X68" s="10">
        <v>49.37</v>
      </c>
      <c r="Y68" s="10">
        <v>49.68</v>
      </c>
      <c r="Z68" s="10">
        <v>49.33</v>
      </c>
      <c r="AA68" s="10">
        <v>49.68</v>
      </c>
      <c r="AB68" s="95">
        <v>11306100</v>
      </c>
      <c r="AC68" s="10">
        <v>48.71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88" t="s">
        <v>204</v>
      </c>
      <c r="B72" s="489"/>
      <c r="C72" s="490">
        <f>SumByColor($A$19,C55:C70)</f>
        <v>0</v>
      </c>
      <c r="D72" s="490"/>
      <c r="E72" s="490"/>
      <c r="F72" s="491">
        <f>SumByColor($A$19,F55:F70)</f>
        <v>0</v>
      </c>
      <c r="G72" s="490"/>
      <c r="H72" s="490">
        <f>SumByColor($A$19,H55:H70)</f>
        <v>0</v>
      </c>
      <c r="I72" s="490"/>
      <c r="J72" s="490"/>
      <c r="K72" s="491">
        <f>SumByColor($A$19,K55:K70)</f>
        <v>0</v>
      </c>
      <c r="L72" s="490"/>
      <c r="M72" s="491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04" priority="9">
      <formula>F39&gt;0</formula>
    </cfRule>
    <cfRule type="expression" dxfId="503" priority="10">
      <formula>F39&lt;0</formula>
    </cfRule>
  </conditionalFormatting>
  <conditionalFormatting sqref="F25:F38">
    <cfRule type="expression" dxfId="502" priority="7">
      <formula>F25&gt;0</formula>
    </cfRule>
    <cfRule type="expression" dxfId="501" priority="8">
      <formula>F25&lt;0</formula>
    </cfRule>
  </conditionalFormatting>
  <conditionalFormatting sqref="H25:H38">
    <cfRule type="expression" dxfId="500" priority="5">
      <formula>H25&gt;0</formula>
    </cfRule>
    <cfRule type="expression" dxfId="499" priority="6">
      <formula>H25&lt;0</formula>
    </cfRule>
  </conditionalFormatting>
  <conditionalFormatting sqref="Q7">
    <cfRule type="expression" dxfId="498" priority="3">
      <formula>Q7&gt;0</formula>
    </cfRule>
    <cfRule type="expression" dxfId="497" priority="4">
      <formula>Q7&lt;0</formula>
    </cfRule>
  </conditionalFormatting>
  <conditionalFormatting sqref="Q8">
    <cfRule type="expression" dxfId="496" priority="1">
      <formula>Q8&gt;0</formula>
    </cfRule>
    <cfRule type="expression" dxfId="495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50"/>
  <sheetViews>
    <sheetView zoomScaleNormal="100" workbookViewId="0">
      <pane ySplit="1" topLeftCell="A154" activePane="bottomLeft" state="frozen"/>
      <selection activeCell="A2" sqref="A2"/>
      <selection pane="bottomLeft" activeCell="M178" sqref="M178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17.2851562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3.7109375" customWidth="1"/>
    <col min="21" max="21" width="18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34</v>
      </c>
      <c r="B2" s="475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475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C134-H134</f>
        <v>2000</v>
      </c>
      <c r="T2" s="481">
        <v>42568</v>
      </c>
      <c r="U2" s="127" t="s">
        <v>297</v>
      </c>
      <c r="V2" s="16"/>
      <c r="W2" s="141">
        <v>42615</v>
      </c>
      <c r="X2" s="142">
        <v>16.96</v>
      </c>
      <c r="Y2" s="142">
        <v>16.97</v>
      </c>
      <c r="Z2" s="10">
        <v>16.57</v>
      </c>
      <c r="AA2" s="10">
        <v>16.7</v>
      </c>
      <c r="AB2" s="95">
        <v>16091500</v>
      </c>
      <c r="AC2" s="10">
        <v>16.7</v>
      </c>
      <c r="AD2">
        <f>Y2-Z2</f>
        <v>0.39999999999999858</v>
      </c>
      <c r="AE2" s="138">
        <f>AC2/AC3-1</f>
        <v>3.6057692307691624E-3</v>
      </c>
    </row>
    <row r="3" spans="1:42" x14ac:dyDescent="0.25">
      <c r="A3" s="23" t="s">
        <v>71</v>
      </c>
      <c r="B3" s="475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475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230">
        <f>(F134-K134)/Q2</f>
        <v>17.273911500000278</v>
      </c>
      <c r="T3" s="1">
        <v>42621</v>
      </c>
      <c r="U3" s="34" t="s">
        <v>372</v>
      </c>
      <c r="W3" s="133">
        <v>42614</v>
      </c>
      <c r="X3" s="10">
        <v>16.61</v>
      </c>
      <c r="Y3" s="10">
        <v>16.8</v>
      </c>
      <c r="Z3" s="10">
        <v>16.3</v>
      </c>
      <c r="AA3" s="10">
        <v>16.64</v>
      </c>
      <c r="AB3" s="95">
        <v>15692900</v>
      </c>
      <c r="AC3" s="10">
        <v>16.64</v>
      </c>
      <c r="AD3">
        <f t="shared" ref="AD3:AD66" si="2">Y3-Z3</f>
        <v>0.5</v>
      </c>
      <c r="AE3" s="138">
        <f t="shared" ref="AE3:AE66" si="3">AC3/AC4-1</f>
        <v>9.0964220739844226E-3</v>
      </c>
      <c r="AL3" s="234"/>
      <c r="AO3" s="234"/>
    </row>
    <row r="4" spans="1:42" x14ac:dyDescent="0.25">
      <c r="B4" s="475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475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1">
        <v>17.010000000000002</v>
      </c>
      <c r="T4" s="1">
        <v>42627</v>
      </c>
      <c r="U4" s="34" t="s">
        <v>372</v>
      </c>
      <c r="W4" s="133">
        <v>42613</v>
      </c>
      <c r="X4" s="10">
        <v>16.7</v>
      </c>
      <c r="Y4" s="10">
        <v>16.739999999999998</v>
      </c>
      <c r="Z4" s="10">
        <v>16.14</v>
      </c>
      <c r="AA4" s="10">
        <v>16.489999999999998</v>
      </c>
      <c r="AB4" s="95">
        <v>21948500</v>
      </c>
      <c r="AC4" s="10">
        <v>16.489999999999998</v>
      </c>
      <c r="AD4">
        <f t="shared" si="2"/>
        <v>0.59999999999999787</v>
      </c>
      <c r="AE4" s="138">
        <f t="shared" si="3"/>
        <v>-1.4934289127837563E-2</v>
      </c>
      <c r="AL4" s="234"/>
      <c r="AO4" s="234"/>
    </row>
    <row r="5" spans="1:42" x14ac:dyDescent="0.25">
      <c r="B5" s="475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475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34020</v>
      </c>
      <c r="W5" s="133">
        <v>42612</v>
      </c>
      <c r="X5" s="10">
        <v>17</v>
      </c>
      <c r="Y5" s="10">
        <v>17.010000000000002</v>
      </c>
      <c r="Z5" s="10">
        <v>16.510000000000002</v>
      </c>
      <c r="AA5" s="10">
        <v>16.739999999999998</v>
      </c>
      <c r="AB5" s="95">
        <v>23604400</v>
      </c>
      <c r="AC5" s="10">
        <v>16.739999999999998</v>
      </c>
      <c r="AD5">
        <f t="shared" si="2"/>
        <v>0.5</v>
      </c>
      <c r="AE5" s="138">
        <f t="shared" si="3"/>
        <v>-1.0053222945003104E-2</v>
      </c>
      <c r="AL5" s="234"/>
      <c r="AO5" s="234"/>
    </row>
    <row r="6" spans="1:42" x14ac:dyDescent="0.25">
      <c r="B6" s="475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475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34547.823000000557</v>
      </c>
      <c r="W6" s="133">
        <v>42611</v>
      </c>
      <c r="X6" s="10">
        <v>16.920000000000002</v>
      </c>
      <c r="Y6" s="10">
        <v>17.25</v>
      </c>
      <c r="Z6" s="10">
        <v>16.61</v>
      </c>
      <c r="AA6" s="10">
        <v>16.91</v>
      </c>
      <c r="AB6" s="95">
        <v>34423300</v>
      </c>
      <c r="AC6" s="10">
        <v>16.91</v>
      </c>
      <c r="AD6">
        <f t="shared" si="2"/>
        <v>0.64000000000000057</v>
      </c>
      <c r="AE6" s="138">
        <f t="shared" si="3"/>
        <v>2.4227740763173689E-2</v>
      </c>
      <c r="AL6" s="234"/>
      <c r="AO6" s="234"/>
    </row>
    <row r="7" spans="1:42" x14ac:dyDescent="0.25">
      <c r="B7" s="475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475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187</v>
      </c>
      <c r="Q7" s="2">
        <f>Q10+Q8</f>
        <v>-527.82300000055693</v>
      </c>
      <c r="R7">
        <v>1000</v>
      </c>
      <c r="W7" s="133">
        <v>42608</v>
      </c>
      <c r="X7" s="10">
        <v>16.34</v>
      </c>
      <c r="Y7" s="10">
        <v>16.809999999999999</v>
      </c>
      <c r="Z7" s="10">
        <v>16.29</v>
      </c>
      <c r="AA7" s="10">
        <v>16.510000000000002</v>
      </c>
      <c r="AB7" s="95">
        <v>24228600</v>
      </c>
      <c r="AC7" s="10">
        <v>16.510000000000002</v>
      </c>
      <c r="AD7">
        <f t="shared" si="2"/>
        <v>0.51999999999999957</v>
      </c>
      <c r="AE7" s="138">
        <f t="shared" si="3"/>
        <v>1.9135802469135932E-2</v>
      </c>
    </row>
    <row r="8" spans="1:42" x14ac:dyDescent="0.25">
      <c r="B8" s="475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475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190</v>
      </c>
      <c r="P8" s="34"/>
      <c r="Q8" s="2">
        <f>K134+M134-F134+Q2*Q4</f>
        <v>-527.82300000055693</v>
      </c>
      <c r="W8" s="133">
        <v>42607</v>
      </c>
      <c r="X8" s="10">
        <v>15.9</v>
      </c>
      <c r="Y8" s="10">
        <v>16.55</v>
      </c>
      <c r="Z8" s="10">
        <v>15.88</v>
      </c>
      <c r="AA8" s="10">
        <v>16.2</v>
      </c>
      <c r="AB8" s="95">
        <v>34819000</v>
      </c>
      <c r="AC8" s="10">
        <v>16.2</v>
      </c>
      <c r="AD8">
        <f t="shared" si="2"/>
        <v>0.66999999999999993</v>
      </c>
      <c r="AE8" s="138">
        <f t="shared" si="3"/>
        <v>4.4487427466150864E-2</v>
      </c>
      <c r="AL8" s="234"/>
      <c r="AO8" s="234"/>
      <c r="AP8" s="234"/>
    </row>
    <row r="9" spans="1:42" x14ac:dyDescent="0.25">
      <c r="B9" s="475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526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224</v>
      </c>
      <c r="Q9" s="138">
        <f>IF(Q2=0, 0, Q8/Q6)</f>
        <v>-1.5278039371700742E-2</v>
      </c>
      <c r="W9" s="133">
        <v>42606</v>
      </c>
      <c r="X9" s="10">
        <v>16.2</v>
      </c>
      <c r="Y9" s="10">
        <v>16.239999999999998</v>
      </c>
      <c r="Z9" s="10">
        <v>15.38</v>
      </c>
      <c r="AA9" s="10">
        <v>15.51</v>
      </c>
      <c r="AB9" s="95">
        <v>26664300</v>
      </c>
      <c r="AC9" s="10">
        <v>15.51</v>
      </c>
      <c r="AD9">
        <f t="shared" si="2"/>
        <v>0.85999999999999766</v>
      </c>
      <c r="AE9" s="138">
        <f t="shared" si="3"/>
        <v>-4.1409147095179177E-2</v>
      </c>
    </row>
    <row r="10" spans="1:42" x14ac:dyDescent="0.25">
      <c r="B10" s="475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526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223</v>
      </c>
      <c r="P10" s="34"/>
      <c r="Q10" s="2">
        <f>M35</f>
        <v>0</v>
      </c>
      <c r="T10" s="11"/>
      <c r="W10" s="133">
        <v>42605</v>
      </c>
      <c r="X10" s="10">
        <v>16.27</v>
      </c>
      <c r="Y10" s="10">
        <v>16.54</v>
      </c>
      <c r="Z10" s="10">
        <v>16.14</v>
      </c>
      <c r="AA10" s="10">
        <v>16.18</v>
      </c>
      <c r="AB10" s="95">
        <v>23655900</v>
      </c>
      <c r="AC10" s="10">
        <v>16.18</v>
      </c>
      <c r="AD10">
        <f t="shared" si="2"/>
        <v>0.39999999999999858</v>
      </c>
      <c r="AE10" s="138">
        <f t="shared" si="3"/>
        <v>-6.1766522544792757E-4</v>
      </c>
      <c r="AL10" s="234"/>
      <c r="AO10" s="234"/>
    </row>
    <row r="11" spans="1:42" x14ac:dyDescent="0.25">
      <c r="B11" s="475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475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184</v>
      </c>
      <c r="P11" s="34"/>
      <c r="Q11" s="138">
        <f>IF(U58="N/A (N/A)", 0, VALUE(TRIM(CLEAN(MID(U58, FIND("(", U58)+1, 5)))))</f>
        <v>0</v>
      </c>
      <c r="T11" s="1"/>
      <c r="W11" s="133">
        <v>42604</v>
      </c>
      <c r="X11" s="10">
        <v>16.149999999999999</v>
      </c>
      <c r="Y11" s="10">
        <v>16.43</v>
      </c>
      <c r="Z11" s="10">
        <v>15.91</v>
      </c>
      <c r="AA11" s="10">
        <v>16.190000000000001</v>
      </c>
      <c r="AB11" s="95">
        <v>22135300</v>
      </c>
      <c r="AC11" s="10">
        <v>16.190000000000001</v>
      </c>
      <c r="AD11">
        <f t="shared" si="2"/>
        <v>0.51999999999999957</v>
      </c>
      <c r="AE11" s="138">
        <f t="shared" si="3"/>
        <v>-3.6923076923076614E-3</v>
      </c>
    </row>
    <row r="12" spans="1:42" x14ac:dyDescent="0.25">
      <c r="A12" s="2"/>
      <c r="B12" s="475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475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42601</v>
      </c>
      <c r="X12" s="10">
        <v>16.16</v>
      </c>
      <c r="Y12" s="10">
        <v>16.45</v>
      </c>
      <c r="Z12" s="10">
        <v>16.03</v>
      </c>
      <c r="AA12" s="10">
        <v>16.25</v>
      </c>
      <c r="AB12" s="95">
        <v>35007500</v>
      </c>
      <c r="AC12" s="10">
        <v>16.25</v>
      </c>
      <c r="AD12">
        <f t="shared" si="2"/>
        <v>0.41999999999999815</v>
      </c>
      <c r="AE12" s="138">
        <f t="shared" si="3"/>
        <v>3.0437539632213184E-2</v>
      </c>
      <c r="AL12" s="234"/>
      <c r="AO12" s="234"/>
    </row>
    <row r="13" spans="1:42" x14ac:dyDescent="0.25">
      <c r="B13" s="475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549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42600</v>
      </c>
      <c r="X13" s="10">
        <v>15.55</v>
      </c>
      <c r="Y13" s="10">
        <v>15.8</v>
      </c>
      <c r="Z13" s="10">
        <v>15.51</v>
      </c>
      <c r="AA13" s="10">
        <v>15.77</v>
      </c>
      <c r="AB13" s="95">
        <v>16590700</v>
      </c>
      <c r="AC13" s="10">
        <v>15.77</v>
      </c>
      <c r="AD13">
        <f t="shared" si="2"/>
        <v>0.29000000000000092</v>
      </c>
      <c r="AE13" s="138">
        <f t="shared" si="3"/>
        <v>1.6108247422680355E-2</v>
      </c>
    </row>
    <row r="14" spans="1:42" x14ac:dyDescent="0.25">
      <c r="B14" s="475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549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42599</v>
      </c>
      <c r="X14" s="10">
        <v>15.53</v>
      </c>
      <c r="Y14" s="10">
        <v>15.76</v>
      </c>
      <c r="Z14" s="10">
        <v>15.46</v>
      </c>
      <c r="AA14" s="10">
        <v>15.52</v>
      </c>
      <c r="AB14" s="95">
        <v>22552100</v>
      </c>
      <c r="AC14" s="10">
        <v>15.52</v>
      </c>
      <c r="AD14">
        <f t="shared" si="2"/>
        <v>0.29999999999999893</v>
      </c>
      <c r="AE14" s="138">
        <f t="shared" si="3"/>
        <v>1.9367333763717909E-3</v>
      </c>
      <c r="AL14" s="234"/>
      <c r="AO14" s="234"/>
      <c r="AP14" s="234"/>
    </row>
    <row r="15" spans="1:42" x14ac:dyDescent="0.25">
      <c r="B15" s="475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475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42598</v>
      </c>
      <c r="X15" s="10">
        <v>15.58</v>
      </c>
      <c r="Y15" s="10">
        <v>15.59</v>
      </c>
      <c r="Z15" s="10">
        <v>15.23</v>
      </c>
      <c r="AA15" s="10">
        <v>15.49</v>
      </c>
      <c r="AB15" s="95">
        <v>21872700</v>
      </c>
      <c r="AC15" s="10">
        <v>15.49</v>
      </c>
      <c r="AD15">
        <f t="shared" si="2"/>
        <v>0.35999999999999943</v>
      </c>
      <c r="AE15" s="138">
        <f t="shared" si="3"/>
        <v>-2.5756600128782337E-3</v>
      </c>
    </row>
    <row r="16" spans="1:42" x14ac:dyDescent="0.25">
      <c r="B16" s="475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475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42597</v>
      </c>
      <c r="X16" s="10">
        <v>15.09</v>
      </c>
      <c r="Y16" s="10">
        <v>15.7</v>
      </c>
      <c r="Z16" s="10">
        <v>15.08</v>
      </c>
      <c r="AA16" s="10">
        <v>15.53</v>
      </c>
      <c r="AB16" s="95">
        <v>29105200</v>
      </c>
      <c r="AC16" s="10">
        <v>15.53</v>
      </c>
      <c r="AD16">
        <f t="shared" si="2"/>
        <v>0.61999999999999922</v>
      </c>
      <c r="AE16" s="138">
        <f t="shared" si="3"/>
        <v>4.018754186202278E-2</v>
      </c>
    </row>
    <row r="17" spans="2:41" x14ac:dyDescent="0.25">
      <c r="B17" s="475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475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42594</v>
      </c>
      <c r="X17" s="10">
        <v>14.46</v>
      </c>
      <c r="Y17" s="10">
        <v>14.99</v>
      </c>
      <c r="Z17" s="10">
        <v>14.43</v>
      </c>
      <c r="AA17" s="10">
        <v>14.93</v>
      </c>
      <c r="AB17" s="95">
        <v>24909900</v>
      </c>
      <c r="AC17" s="10">
        <v>14.93</v>
      </c>
      <c r="AD17">
        <f t="shared" si="2"/>
        <v>0.5600000000000005</v>
      </c>
      <c r="AE17" s="138">
        <f t="shared" si="3"/>
        <v>3.4650034650034689E-2</v>
      </c>
    </row>
    <row r="18" spans="2:41" x14ac:dyDescent="0.25">
      <c r="B18" s="475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475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42593</v>
      </c>
      <c r="X18" s="10">
        <v>14.25</v>
      </c>
      <c r="Y18" s="10">
        <v>14.49</v>
      </c>
      <c r="Z18" s="10">
        <v>14.21</v>
      </c>
      <c r="AA18" s="10">
        <v>14.43</v>
      </c>
      <c r="AB18" s="95">
        <v>14451300</v>
      </c>
      <c r="AC18" s="10">
        <v>14.43</v>
      </c>
      <c r="AD18">
        <f t="shared" si="2"/>
        <v>0.27999999999999936</v>
      </c>
      <c r="AE18" s="138">
        <f t="shared" si="3"/>
        <v>1.6197183098591639E-2</v>
      </c>
      <c r="AL18" s="234"/>
      <c r="AO18" s="234"/>
    </row>
    <row r="19" spans="2:41" x14ac:dyDescent="0.25">
      <c r="B19" s="475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475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42592</v>
      </c>
      <c r="X19" s="10">
        <v>14.48</v>
      </c>
      <c r="Y19" s="10">
        <v>14.5</v>
      </c>
      <c r="Z19" s="10">
        <v>14.03</v>
      </c>
      <c r="AA19" s="10">
        <v>14.2</v>
      </c>
      <c r="AB19" s="95">
        <v>15003200</v>
      </c>
      <c r="AC19" s="10">
        <v>14.2</v>
      </c>
      <c r="AD19">
        <f t="shared" si="2"/>
        <v>0.47000000000000064</v>
      </c>
      <c r="AE19" s="138">
        <f t="shared" si="3"/>
        <v>-1.9337016574585753E-2</v>
      </c>
    </row>
    <row r="20" spans="2:41" x14ac:dyDescent="0.25">
      <c r="B20" s="475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475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42591</v>
      </c>
      <c r="X20" s="10">
        <v>14.56</v>
      </c>
      <c r="Y20" s="10">
        <v>14.7</v>
      </c>
      <c r="Z20" s="10">
        <v>14.4</v>
      </c>
      <c r="AA20" s="10">
        <v>14.48</v>
      </c>
      <c r="AB20" s="95">
        <v>12573700</v>
      </c>
      <c r="AC20" s="10">
        <v>14.48</v>
      </c>
      <c r="AD20">
        <f t="shared" si="2"/>
        <v>0.29999999999999893</v>
      </c>
      <c r="AE20" s="138">
        <f t="shared" si="3"/>
        <v>4.1608876560332853E-3</v>
      </c>
    </row>
    <row r="21" spans="2:41" x14ac:dyDescent="0.25">
      <c r="B21" s="475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475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42590</v>
      </c>
      <c r="X21" s="10">
        <v>14.53</v>
      </c>
      <c r="Y21" s="10">
        <v>14.72</v>
      </c>
      <c r="Z21" s="10">
        <v>14.38</v>
      </c>
      <c r="AA21" s="10">
        <v>14.42</v>
      </c>
      <c r="AB21" s="95">
        <v>16163500</v>
      </c>
      <c r="AC21" s="10">
        <v>14.42</v>
      </c>
      <c r="AD21">
        <f t="shared" si="2"/>
        <v>0.33999999999999986</v>
      </c>
      <c r="AE21" s="138">
        <f t="shared" si="3"/>
        <v>-6.8870523415978102E-3</v>
      </c>
    </row>
    <row r="22" spans="2:41" x14ac:dyDescent="0.25">
      <c r="B22" s="475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475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42587</v>
      </c>
      <c r="X22" s="10">
        <v>14.22</v>
      </c>
      <c r="Y22" s="10">
        <v>14.78</v>
      </c>
      <c r="Z22" s="10">
        <v>14.2</v>
      </c>
      <c r="AA22" s="10">
        <v>14.52</v>
      </c>
      <c r="AB22" s="95">
        <v>29098400</v>
      </c>
      <c r="AC22" s="10">
        <v>14.52</v>
      </c>
      <c r="AD22">
        <f t="shared" si="2"/>
        <v>0.58000000000000007</v>
      </c>
      <c r="AE22" s="138">
        <f t="shared" si="3"/>
        <v>3.4925160370634423E-2</v>
      </c>
    </row>
    <row r="23" spans="2:41" x14ac:dyDescent="0.25">
      <c r="B23" s="475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475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42586</v>
      </c>
      <c r="X23" s="10">
        <v>13.61</v>
      </c>
      <c r="Y23" s="10">
        <v>14.2</v>
      </c>
      <c r="Z23" s="10">
        <v>13.6</v>
      </c>
      <c r="AA23" s="10">
        <v>14.03</v>
      </c>
      <c r="AB23" s="95">
        <v>23400100</v>
      </c>
      <c r="AC23" s="10">
        <v>14.03</v>
      </c>
      <c r="AD23">
        <f t="shared" si="2"/>
        <v>0.59999999999999964</v>
      </c>
      <c r="AE23" s="138">
        <f t="shared" si="3"/>
        <v>3.8490007401924542E-2</v>
      </c>
    </row>
    <row r="24" spans="2:41" x14ac:dyDescent="0.25">
      <c r="B24" s="475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475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42585</v>
      </c>
      <c r="X24" s="10">
        <v>13.27</v>
      </c>
      <c r="Y24" s="10">
        <v>13.58</v>
      </c>
      <c r="Z24" s="10">
        <v>13.27</v>
      </c>
      <c r="AA24" s="10">
        <v>13.51</v>
      </c>
      <c r="AB24" s="95">
        <v>17316600</v>
      </c>
      <c r="AC24" s="10">
        <v>13.51</v>
      </c>
      <c r="AD24">
        <f t="shared" si="2"/>
        <v>0.3100000000000005</v>
      </c>
      <c r="AE24" s="138">
        <f t="shared" si="3"/>
        <v>8.208955223880654E-3</v>
      </c>
    </row>
    <row r="25" spans="2:41" x14ac:dyDescent="0.25">
      <c r="B25" s="475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475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42584</v>
      </c>
      <c r="X25" s="10">
        <v>13.55</v>
      </c>
      <c r="Y25" s="10">
        <v>13.58</v>
      </c>
      <c r="Z25" s="10">
        <v>13.02</v>
      </c>
      <c r="AA25" s="10">
        <v>13.4</v>
      </c>
      <c r="AB25" s="95">
        <v>23707600</v>
      </c>
      <c r="AC25" s="10">
        <v>13.4</v>
      </c>
      <c r="AD25">
        <f t="shared" si="2"/>
        <v>0.5600000000000005</v>
      </c>
      <c r="AE25" s="138">
        <f t="shared" si="3"/>
        <v>-1.179941002949858E-2</v>
      </c>
    </row>
    <row r="26" spans="2:41" x14ac:dyDescent="0.25">
      <c r="B26" s="475">
        <v>42235</v>
      </c>
      <c r="C26" s="4">
        <v>100</v>
      </c>
      <c r="D26" s="3">
        <v>17.350000000000001</v>
      </c>
      <c r="E26" s="3">
        <v>0</v>
      </c>
      <c r="F26" s="3">
        <f t="shared" si="1"/>
        <v>1735.0000000000002</v>
      </c>
      <c r="G26" s="475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42583</v>
      </c>
      <c r="X26" s="10">
        <v>13.81</v>
      </c>
      <c r="Y26" s="10">
        <v>13.92</v>
      </c>
      <c r="Z26" s="10">
        <v>13.55</v>
      </c>
      <c r="AA26" s="10">
        <v>13.56</v>
      </c>
      <c r="AB26" s="95">
        <v>16363900</v>
      </c>
      <c r="AC26" s="10">
        <v>13.56</v>
      </c>
      <c r="AD26">
        <f t="shared" si="2"/>
        <v>0.36999999999999922</v>
      </c>
      <c r="AE26" s="138">
        <f t="shared" si="3"/>
        <v>-1.3100436681222738E-2</v>
      </c>
    </row>
    <row r="27" spans="2:41" x14ac:dyDescent="0.25">
      <c r="B27" s="475">
        <v>42235</v>
      </c>
      <c r="C27" s="4">
        <v>100</v>
      </c>
      <c r="D27" s="3">
        <v>17.55</v>
      </c>
      <c r="E27" s="3">
        <v>0</v>
      </c>
      <c r="F27" s="3">
        <f t="shared" si="1"/>
        <v>1755</v>
      </c>
      <c r="G27" s="475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42580</v>
      </c>
      <c r="X27" s="10">
        <v>13.91</v>
      </c>
      <c r="Y27" s="10">
        <v>13.94</v>
      </c>
      <c r="Z27" s="10">
        <v>13.62</v>
      </c>
      <c r="AA27" s="10">
        <v>13.74</v>
      </c>
      <c r="AB27" s="95">
        <v>21792900</v>
      </c>
      <c r="AC27" s="10">
        <v>13.74</v>
      </c>
      <c r="AD27">
        <f t="shared" si="2"/>
        <v>0.32000000000000028</v>
      </c>
      <c r="AE27" s="138">
        <f t="shared" si="3"/>
        <v>-5.0687907313541336E-3</v>
      </c>
    </row>
    <row r="28" spans="2:41" x14ac:dyDescent="0.25">
      <c r="B28" s="475">
        <v>42235</v>
      </c>
      <c r="C28" s="4">
        <v>100</v>
      </c>
      <c r="D28" s="3">
        <v>17.170000000000002</v>
      </c>
      <c r="E28" s="3">
        <v>0</v>
      </c>
      <c r="F28" s="3">
        <f t="shared" si="1"/>
        <v>1717.0000000000002</v>
      </c>
      <c r="G28" s="475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42579</v>
      </c>
      <c r="X28" s="10">
        <v>14.13</v>
      </c>
      <c r="Y28" s="10">
        <v>14.19</v>
      </c>
      <c r="Z28" s="10">
        <v>13.7</v>
      </c>
      <c r="AA28" s="10">
        <v>13.81</v>
      </c>
      <c r="AB28" s="95">
        <v>25504200</v>
      </c>
      <c r="AC28" s="10">
        <v>13.81</v>
      </c>
      <c r="AD28">
        <f t="shared" si="2"/>
        <v>0.49000000000000021</v>
      </c>
      <c r="AE28" s="138">
        <f t="shared" si="3"/>
        <v>-2.6779422128259234E-2</v>
      </c>
    </row>
    <row r="29" spans="2:41" x14ac:dyDescent="0.25">
      <c r="B29" s="475">
        <v>42235</v>
      </c>
      <c r="C29" s="4">
        <v>100</v>
      </c>
      <c r="D29" s="3">
        <v>17</v>
      </c>
      <c r="E29" s="3">
        <v>0</v>
      </c>
      <c r="F29" s="3">
        <f t="shared" si="1"/>
        <v>1700</v>
      </c>
      <c r="G29" s="475">
        <v>42418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42578</v>
      </c>
      <c r="X29" s="10">
        <v>14.85</v>
      </c>
      <c r="Y29" s="10">
        <v>14.89</v>
      </c>
      <c r="Z29" s="10">
        <v>14.06</v>
      </c>
      <c r="AA29" s="10">
        <v>14.19</v>
      </c>
      <c r="AB29" s="95">
        <v>35035800</v>
      </c>
      <c r="AC29" s="10">
        <v>14.19</v>
      </c>
      <c r="AD29">
        <f t="shared" si="2"/>
        <v>0.83000000000000007</v>
      </c>
      <c r="AE29" s="138">
        <f t="shared" si="3"/>
        <v>-3.2719836400817992E-2</v>
      </c>
    </row>
    <row r="30" spans="2:41" x14ac:dyDescent="0.25">
      <c r="B30" s="475">
        <v>42236</v>
      </c>
      <c r="C30" s="4">
        <v>100</v>
      </c>
      <c r="D30" s="3">
        <v>16.559999999999999</v>
      </c>
      <c r="E30" s="3">
        <v>0</v>
      </c>
      <c r="F30" s="3">
        <f t="shared" si="1"/>
        <v>1655.9999999999998</v>
      </c>
      <c r="G30" s="475">
        <v>42418</v>
      </c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42577</v>
      </c>
      <c r="X30" s="10">
        <v>14</v>
      </c>
      <c r="Y30" s="10">
        <v>14.69</v>
      </c>
      <c r="Z30" s="10">
        <v>13.93</v>
      </c>
      <c r="AA30" s="10">
        <v>14.67</v>
      </c>
      <c r="AB30" s="95">
        <v>38959800</v>
      </c>
      <c r="AC30" s="10">
        <v>14.67</v>
      </c>
      <c r="AD30">
        <f t="shared" si="2"/>
        <v>0.75999999999999979</v>
      </c>
      <c r="AE30" s="138">
        <f t="shared" si="3"/>
        <v>5.3879310344827624E-2</v>
      </c>
    </row>
    <row r="31" spans="2:41" x14ac:dyDescent="0.25">
      <c r="B31" s="475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475">
        <v>42418</v>
      </c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42576</v>
      </c>
      <c r="X31" s="10">
        <v>14</v>
      </c>
      <c r="Y31" s="10">
        <v>14.33</v>
      </c>
      <c r="Z31" s="10">
        <v>13.88</v>
      </c>
      <c r="AA31" s="10">
        <v>13.92</v>
      </c>
      <c r="AB31" s="95">
        <v>51357000</v>
      </c>
      <c r="AC31" s="10">
        <v>13.92</v>
      </c>
      <c r="AD31">
        <f t="shared" si="2"/>
        <v>0.44999999999999929</v>
      </c>
      <c r="AE31" s="138">
        <f t="shared" si="3"/>
        <v>6.0167555217060187E-2</v>
      </c>
    </row>
    <row r="32" spans="2:41" x14ac:dyDescent="0.25">
      <c r="B32" s="475">
        <v>42236</v>
      </c>
      <c r="C32" s="4">
        <v>100</v>
      </c>
      <c r="D32" s="3">
        <v>16.399999999999999</v>
      </c>
      <c r="E32" s="3">
        <v>0</v>
      </c>
      <c r="F32" s="3">
        <f t="shared" si="1"/>
        <v>1639.9999999999998</v>
      </c>
      <c r="G32" s="475">
        <v>42418</v>
      </c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42573</v>
      </c>
      <c r="X32" s="10">
        <v>13.21</v>
      </c>
      <c r="Y32" s="10">
        <v>13.23</v>
      </c>
      <c r="Z32" s="10">
        <v>13.02</v>
      </c>
      <c r="AA32" s="10">
        <v>13.13</v>
      </c>
      <c r="AB32" s="95">
        <v>18755900</v>
      </c>
      <c r="AC32" s="10">
        <v>13.13</v>
      </c>
      <c r="AD32">
        <f t="shared" si="2"/>
        <v>0.21000000000000085</v>
      </c>
      <c r="AE32" s="138">
        <f t="shared" si="3"/>
        <v>-3.793626707131903E-3</v>
      </c>
    </row>
    <row r="33" spans="2:41" x14ac:dyDescent="0.25">
      <c r="B33" s="475">
        <v>42237</v>
      </c>
      <c r="C33" s="4">
        <v>200</v>
      </c>
      <c r="D33" s="3">
        <v>16.32</v>
      </c>
      <c r="E33" s="3">
        <v>0</v>
      </c>
      <c r="F33" s="3">
        <f t="shared" si="1"/>
        <v>3264</v>
      </c>
      <c r="G33" s="475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42572</v>
      </c>
      <c r="X33" s="10">
        <v>13.48</v>
      </c>
      <c r="Y33" s="10">
        <v>13.5</v>
      </c>
      <c r="Z33" s="10">
        <v>13.08</v>
      </c>
      <c r="AA33" s="10">
        <v>13.18</v>
      </c>
      <c r="AB33" s="95">
        <v>16734700</v>
      </c>
      <c r="AC33" s="10">
        <v>13.18</v>
      </c>
      <c r="AD33">
        <f t="shared" si="2"/>
        <v>0.41999999999999993</v>
      </c>
      <c r="AE33" s="138">
        <f t="shared" si="3"/>
        <v>-3.0169242089771897E-2</v>
      </c>
    </row>
    <row r="34" spans="2:41" x14ac:dyDescent="0.25">
      <c r="B34" s="475">
        <v>42237</v>
      </c>
      <c r="C34" s="4">
        <v>100</v>
      </c>
      <c r="D34" s="3">
        <v>16.420000000000002</v>
      </c>
      <c r="E34" s="3">
        <v>0</v>
      </c>
      <c r="F34" s="3">
        <f t="shared" si="1"/>
        <v>1642.0000000000002</v>
      </c>
      <c r="G34" s="475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42571</v>
      </c>
      <c r="X34" s="10">
        <v>13.33</v>
      </c>
      <c r="Y34" s="10">
        <v>13.62</v>
      </c>
      <c r="Z34" s="10">
        <v>13.24</v>
      </c>
      <c r="AA34" s="10">
        <v>13.59</v>
      </c>
      <c r="AB34" s="95">
        <v>35666000</v>
      </c>
      <c r="AC34" s="10">
        <v>13.59</v>
      </c>
      <c r="AD34">
        <f t="shared" si="2"/>
        <v>0.37999999999999901</v>
      </c>
      <c r="AE34" s="138">
        <f t="shared" si="3"/>
        <v>2.7987897125567152E-2</v>
      </c>
    </row>
    <row r="35" spans="2:41" x14ac:dyDescent="0.25">
      <c r="B35" s="475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475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42570</v>
      </c>
      <c r="X35" s="10">
        <v>13.22</v>
      </c>
      <c r="Y35" s="10">
        <v>13.26</v>
      </c>
      <c r="Z35" s="10">
        <v>13.05</v>
      </c>
      <c r="AA35" s="10">
        <v>13.22</v>
      </c>
      <c r="AB35" s="95">
        <v>30569900</v>
      </c>
      <c r="AC35" s="10">
        <v>13.22</v>
      </c>
      <c r="AD35">
        <f t="shared" si="2"/>
        <v>0.20999999999999908</v>
      </c>
      <c r="AE35" s="138">
        <f t="shared" si="3"/>
        <v>-8.9955022488754643E-3</v>
      </c>
    </row>
    <row r="36" spans="2:41" x14ac:dyDescent="0.25">
      <c r="B36" s="475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475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42569</v>
      </c>
      <c r="X36" s="10">
        <v>13.25</v>
      </c>
      <c r="Y36" s="10">
        <v>13.36</v>
      </c>
      <c r="Z36" s="10">
        <v>13.09</v>
      </c>
      <c r="AA36" s="10">
        <v>13.34</v>
      </c>
      <c r="AB36" s="95">
        <v>17180500</v>
      </c>
      <c r="AC36" s="10">
        <v>13.34</v>
      </c>
      <c r="AD36">
        <f t="shared" si="2"/>
        <v>0.26999999999999957</v>
      </c>
      <c r="AE36" s="138">
        <f t="shared" si="3"/>
        <v>1.5993907083015957E-2</v>
      </c>
      <c r="AL36" s="234"/>
    </row>
    <row r="37" spans="2:41" x14ac:dyDescent="0.25">
      <c r="B37" s="475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549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42566</v>
      </c>
      <c r="X37" s="10">
        <v>13.31</v>
      </c>
      <c r="Y37" s="10">
        <v>13.5</v>
      </c>
      <c r="Z37" s="10">
        <v>13.04</v>
      </c>
      <c r="AA37" s="10">
        <v>13.13</v>
      </c>
      <c r="AB37" s="95">
        <v>18046200</v>
      </c>
      <c r="AC37" s="10">
        <v>13.13</v>
      </c>
      <c r="AD37">
        <f t="shared" si="2"/>
        <v>0.46000000000000085</v>
      </c>
      <c r="AE37" s="138">
        <f t="shared" si="3"/>
        <v>-1.2039127163280594E-2</v>
      </c>
    </row>
    <row r="38" spans="2:41" x14ac:dyDescent="0.25">
      <c r="B38" s="475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549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42565</v>
      </c>
      <c r="X38" s="10">
        <v>13.5</v>
      </c>
      <c r="Y38" s="10">
        <v>13.55</v>
      </c>
      <c r="Z38" s="10">
        <v>13.27</v>
      </c>
      <c r="AA38" s="10">
        <v>13.29</v>
      </c>
      <c r="AB38" s="95">
        <v>18698900</v>
      </c>
      <c r="AC38" s="10">
        <v>13.29</v>
      </c>
      <c r="AD38">
        <f t="shared" si="2"/>
        <v>0.28000000000000114</v>
      </c>
      <c r="AE38" s="138">
        <f t="shared" si="3"/>
        <v>0</v>
      </c>
    </row>
    <row r="39" spans="2:41" x14ac:dyDescent="0.25">
      <c r="B39" s="475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549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42564</v>
      </c>
      <c r="X39" s="10">
        <v>13.24</v>
      </c>
      <c r="Y39" s="10">
        <v>13.39</v>
      </c>
      <c r="Z39" s="10">
        <v>13.07</v>
      </c>
      <c r="AA39" s="10">
        <v>13.29</v>
      </c>
      <c r="AB39" s="95">
        <v>23067400</v>
      </c>
      <c r="AC39" s="10">
        <v>13.29</v>
      </c>
      <c r="AD39">
        <f t="shared" si="2"/>
        <v>0.32000000000000028</v>
      </c>
      <c r="AE39" s="138">
        <f t="shared" si="3"/>
        <v>4.5351473922901064E-3</v>
      </c>
    </row>
    <row r="40" spans="2:41" x14ac:dyDescent="0.25">
      <c r="B40" s="475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475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42563</v>
      </c>
      <c r="X40" s="10">
        <v>13</v>
      </c>
      <c r="Y40" s="10">
        <v>13.46</v>
      </c>
      <c r="Z40" s="10">
        <v>12.98</v>
      </c>
      <c r="AA40" s="10">
        <v>13.23</v>
      </c>
      <c r="AB40" s="95">
        <v>35226800</v>
      </c>
      <c r="AC40" s="10">
        <v>13.23</v>
      </c>
      <c r="AD40">
        <f t="shared" si="2"/>
        <v>0.48000000000000043</v>
      </c>
      <c r="AE40" s="138">
        <f t="shared" si="3"/>
        <v>4.6677215189873333E-2</v>
      </c>
    </row>
    <row r="41" spans="2:41" x14ac:dyDescent="0.25">
      <c r="B41" s="475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475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42562</v>
      </c>
      <c r="X41" s="10">
        <v>12.79</v>
      </c>
      <c r="Y41" s="10">
        <v>12.98</v>
      </c>
      <c r="Z41" s="10">
        <v>12.61</v>
      </c>
      <c r="AA41" s="10">
        <v>12.64</v>
      </c>
      <c r="AB41" s="95">
        <v>22797100</v>
      </c>
      <c r="AC41" s="10">
        <v>12.64</v>
      </c>
      <c r="AD41">
        <f t="shared" si="2"/>
        <v>0.37000000000000099</v>
      </c>
      <c r="AE41" s="138">
        <f t="shared" si="3"/>
        <v>1.5847860538829028E-3</v>
      </c>
    </row>
    <row r="42" spans="2:41" ht="20.25" thickBot="1" x14ac:dyDescent="0.35">
      <c r="B42" s="475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475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42559</v>
      </c>
      <c r="X42" s="10">
        <v>12.39</v>
      </c>
      <c r="Y42" s="10">
        <v>12.72</v>
      </c>
      <c r="Z42" s="10">
        <v>12.38</v>
      </c>
      <c r="AA42" s="10">
        <v>12.62</v>
      </c>
      <c r="AB42" s="95">
        <v>27955700</v>
      </c>
      <c r="AC42" s="10">
        <v>12.62</v>
      </c>
      <c r="AD42">
        <f t="shared" si="2"/>
        <v>0.33999999999999986</v>
      </c>
      <c r="AE42" s="138">
        <f t="shared" si="3"/>
        <v>3.4426229508196737E-2</v>
      </c>
      <c r="AL42" s="234"/>
      <c r="AO42" s="234"/>
    </row>
    <row r="43" spans="2:41" ht="15.75" thickTop="1" x14ac:dyDescent="0.25">
      <c r="B43" s="475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475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16.64</v>
      </c>
      <c r="W43" s="133">
        <v>42558</v>
      </c>
      <c r="X43" s="10">
        <v>11.9</v>
      </c>
      <c r="Y43" s="10">
        <v>12.55</v>
      </c>
      <c r="Z43" s="10">
        <v>11.89</v>
      </c>
      <c r="AA43" s="10">
        <v>12.2</v>
      </c>
      <c r="AB43" s="95">
        <v>33457100</v>
      </c>
      <c r="AC43" s="10">
        <v>12.2</v>
      </c>
      <c r="AD43">
        <f t="shared" si="2"/>
        <v>0.66000000000000014</v>
      </c>
      <c r="AE43" s="138">
        <f t="shared" si="3"/>
        <v>4.0068201193520725E-2</v>
      </c>
    </row>
    <row r="44" spans="2:41" ht="20.25" thickBot="1" x14ac:dyDescent="0.35">
      <c r="B44" s="475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475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545" t="s">
        <v>78</v>
      </c>
      <c r="P44" s="545"/>
      <c r="T44" s="93" t="s">
        <v>99</v>
      </c>
      <c r="U44" s="130">
        <v>16.96</v>
      </c>
      <c r="W44" s="133">
        <v>42557</v>
      </c>
      <c r="X44" s="10">
        <v>11.76</v>
      </c>
      <c r="Y44" s="10">
        <v>11.85</v>
      </c>
      <c r="Z44" s="10">
        <v>11.5</v>
      </c>
      <c r="AA44" s="10">
        <v>11.73</v>
      </c>
      <c r="AB44" s="95">
        <v>35747800</v>
      </c>
      <c r="AC44" s="10">
        <v>11.73</v>
      </c>
      <c r="AD44">
        <f t="shared" si="2"/>
        <v>0.34999999999999964</v>
      </c>
      <c r="AE44" s="138">
        <f t="shared" si="3"/>
        <v>-1.5113350125944613E-2</v>
      </c>
    </row>
    <row r="45" spans="2:41" ht="15.75" thickTop="1" x14ac:dyDescent="0.25">
      <c r="B45" s="475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475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18.711000000000002</v>
      </c>
      <c r="T45" s="93" t="s">
        <v>100</v>
      </c>
      <c r="U45" s="130" t="s">
        <v>538</v>
      </c>
      <c r="W45" s="133">
        <v>42556</v>
      </c>
      <c r="X45" s="10">
        <v>12.38</v>
      </c>
      <c r="Y45" s="10">
        <v>12.45</v>
      </c>
      <c r="Z45" s="10">
        <v>11.8</v>
      </c>
      <c r="AA45" s="10">
        <v>11.91</v>
      </c>
      <c r="AB45" s="95">
        <v>37298900</v>
      </c>
      <c r="AC45" s="10">
        <v>11.91</v>
      </c>
      <c r="AD45">
        <f t="shared" si="2"/>
        <v>0.64999999999999858</v>
      </c>
      <c r="AE45" s="138">
        <f t="shared" si="3"/>
        <v>-4.720000000000002E-2</v>
      </c>
    </row>
    <row r="46" spans="2:41" x14ac:dyDescent="0.25">
      <c r="B46" s="475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475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18.540900000000004</v>
      </c>
      <c r="T46" s="93" t="s">
        <v>101</v>
      </c>
      <c r="U46" s="130" t="s">
        <v>539</v>
      </c>
      <c r="W46" s="133">
        <v>42552</v>
      </c>
      <c r="X46" s="10">
        <v>12.58</v>
      </c>
      <c r="Y46" s="10">
        <v>12.9</v>
      </c>
      <c r="Z46" s="10">
        <v>12.31</v>
      </c>
      <c r="AA46" s="10">
        <v>12.5</v>
      </c>
      <c r="AB46" s="95">
        <v>68847100</v>
      </c>
      <c r="AC46" s="10">
        <v>12.5</v>
      </c>
      <c r="AD46">
        <f t="shared" si="2"/>
        <v>0.58999999999999986</v>
      </c>
      <c r="AE46" s="138">
        <f t="shared" si="3"/>
        <v>-9.1569767441860406E-2</v>
      </c>
    </row>
    <row r="47" spans="2:41" x14ac:dyDescent="0.25">
      <c r="B47" s="475">
        <v>42300</v>
      </c>
      <c r="C47" s="4">
        <v>700</v>
      </c>
      <c r="D47" s="3">
        <v>17.22</v>
      </c>
      <c r="E47" s="3">
        <v>0</v>
      </c>
      <c r="F47" s="3">
        <f t="shared" si="1"/>
        <v>12054</v>
      </c>
      <c r="G47" s="475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18.370800000000003</v>
      </c>
      <c r="T47" s="93" t="s">
        <v>102</v>
      </c>
      <c r="U47" s="130">
        <v>17.05</v>
      </c>
      <c r="W47" s="133">
        <v>42551</v>
      </c>
      <c r="X47" s="10">
        <v>13.34</v>
      </c>
      <c r="Y47" s="10">
        <v>13.78</v>
      </c>
      <c r="Z47" s="10">
        <v>13.22</v>
      </c>
      <c r="AA47" s="10">
        <v>13.76</v>
      </c>
      <c r="AB47" s="95">
        <v>48486100</v>
      </c>
      <c r="AC47" s="10">
        <v>13.76</v>
      </c>
      <c r="AD47">
        <f t="shared" si="2"/>
        <v>0.55999999999999872</v>
      </c>
      <c r="AE47" s="138">
        <f t="shared" si="3"/>
        <v>4.321455648218353E-2</v>
      </c>
    </row>
    <row r="48" spans="2:41" x14ac:dyDescent="0.25">
      <c r="B48" s="475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475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18.200700000000001</v>
      </c>
      <c r="T48" s="93" t="s">
        <v>103</v>
      </c>
      <c r="U48" s="130">
        <v>2.0598900000000002</v>
      </c>
      <c r="W48" s="133">
        <v>42550</v>
      </c>
      <c r="X48" s="10">
        <v>13.3</v>
      </c>
      <c r="Y48" s="10">
        <v>13.42</v>
      </c>
      <c r="Z48" s="10">
        <v>12.94</v>
      </c>
      <c r="AA48" s="10">
        <v>13.19</v>
      </c>
      <c r="AB48" s="95">
        <v>36879800</v>
      </c>
      <c r="AC48" s="10">
        <v>13.19</v>
      </c>
      <c r="AD48">
        <f t="shared" si="2"/>
        <v>0.48000000000000043</v>
      </c>
      <c r="AE48" s="138">
        <f t="shared" si="3"/>
        <v>1.5396458814472602E-2</v>
      </c>
    </row>
    <row r="49" spans="2:41" x14ac:dyDescent="0.25">
      <c r="B49" s="475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475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18.030600000000003</v>
      </c>
      <c r="T49" s="93" t="s">
        <v>123</v>
      </c>
      <c r="U49" s="130" t="s">
        <v>269</v>
      </c>
      <c r="W49" s="133">
        <v>42549</v>
      </c>
      <c r="X49" s="10">
        <v>12.64</v>
      </c>
      <c r="Y49" s="10">
        <v>13.05</v>
      </c>
      <c r="Z49" s="10">
        <v>12.62</v>
      </c>
      <c r="AA49" s="10">
        <v>12.99</v>
      </c>
      <c r="AB49" s="95">
        <v>34838100</v>
      </c>
      <c r="AC49" s="10">
        <v>12.99</v>
      </c>
      <c r="AD49">
        <f t="shared" si="2"/>
        <v>0.43000000000000149</v>
      </c>
      <c r="AE49" s="138">
        <f t="shared" si="3"/>
        <v>6.214227309893694E-2</v>
      </c>
    </row>
    <row r="50" spans="2:41" x14ac:dyDescent="0.25">
      <c r="B50" s="475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G50" s="475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17.860500000000002</v>
      </c>
      <c r="T50" s="93"/>
      <c r="U50" s="130"/>
      <c r="W50" s="133">
        <v>42548</v>
      </c>
      <c r="X50" s="10">
        <v>13.13</v>
      </c>
      <c r="Y50" s="10">
        <v>13.24</v>
      </c>
      <c r="Z50" s="10">
        <v>12.1</v>
      </c>
      <c r="AA50" s="10">
        <v>12.23</v>
      </c>
      <c r="AB50" s="95">
        <v>45700500</v>
      </c>
      <c r="AC50" s="10">
        <v>12.23</v>
      </c>
      <c r="AD50">
        <f t="shared" si="2"/>
        <v>1.1400000000000006</v>
      </c>
      <c r="AE50" s="138">
        <f t="shared" si="3"/>
        <v>-7.4186222558667692E-2</v>
      </c>
      <c r="AL50" s="234"/>
      <c r="AO50" s="234"/>
    </row>
    <row r="51" spans="2:41" x14ac:dyDescent="0.25">
      <c r="B51" s="549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549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17.690400000000004</v>
      </c>
      <c r="T51" s="93" t="s">
        <v>105</v>
      </c>
      <c r="U51" s="130" t="s">
        <v>540</v>
      </c>
      <c r="W51" s="133">
        <v>42545</v>
      </c>
      <c r="X51" s="10">
        <v>13.5</v>
      </c>
      <c r="Y51" s="10">
        <v>13.85</v>
      </c>
      <c r="Z51" s="10">
        <v>13.13</v>
      </c>
      <c r="AA51" s="10">
        <v>13.21</v>
      </c>
      <c r="AB51" s="95">
        <v>77486100</v>
      </c>
      <c r="AC51" s="10">
        <v>13.21</v>
      </c>
      <c r="AD51">
        <f t="shared" si="2"/>
        <v>0.71999999999999886</v>
      </c>
      <c r="AE51" s="138">
        <f t="shared" si="3"/>
        <v>-5.9786476868327387E-2</v>
      </c>
    </row>
    <row r="52" spans="2:41" x14ac:dyDescent="0.25">
      <c r="B52" s="549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549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17.520300000000002</v>
      </c>
      <c r="T52" s="93" t="s">
        <v>106</v>
      </c>
      <c r="U52" s="130" t="s">
        <v>337</v>
      </c>
      <c r="W52" s="133">
        <v>42544</v>
      </c>
      <c r="X52" s="10">
        <v>13.41</v>
      </c>
      <c r="Y52" s="10">
        <v>14.16</v>
      </c>
      <c r="Z52" s="10">
        <v>13.41</v>
      </c>
      <c r="AA52" s="10">
        <v>14.05</v>
      </c>
      <c r="AB52" s="95">
        <v>71203000</v>
      </c>
      <c r="AC52" s="10">
        <v>14.05</v>
      </c>
      <c r="AD52">
        <f t="shared" si="2"/>
        <v>0.75</v>
      </c>
      <c r="AE52" s="138">
        <f t="shared" si="3"/>
        <v>0.10455974842767302</v>
      </c>
    </row>
    <row r="53" spans="2:41" x14ac:dyDescent="0.25">
      <c r="B53" s="549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475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17.350200000000001</v>
      </c>
      <c r="T53" s="93" t="s">
        <v>107</v>
      </c>
      <c r="U53" s="131">
        <v>16099536</v>
      </c>
      <c r="W53" s="133">
        <v>42543</v>
      </c>
      <c r="X53" s="10">
        <v>12.78</v>
      </c>
      <c r="Y53" s="10">
        <v>13.04</v>
      </c>
      <c r="Z53" s="10">
        <v>12.67</v>
      </c>
      <c r="AA53" s="10">
        <v>12.72</v>
      </c>
      <c r="AB53" s="95">
        <v>26968200</v>
      </c>
      <c r="AC53" s="10">
        <v>12.72</v>
      </c>
      <c r="AD53">
        <f t="shared" si="2"/>
        <v>0.36999999999999922</v>
      </c>
      <c r="AE53" s="138">
        <f t="shared" si="3"/>
        <v>-2.3529411764705577E-3</v>
      </c>
    </row>
    <row r="54" spans="2:41" x14ac:dyDescent="0.25">
      <c r="B54" s="549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475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17.180100000000003</v>
      </c>
      <c r="T54" s="93" t="s">
        <v>110</v>
      </c>
      <c r="U54" s="131">
        <v>27758600</v>
      </c>
      <c r="W54" s="133">
        <v>42542</v>
      </c>
      <c r="X54" s="10">
        <v>12.54</v>
      </c>
      <c r="Y54" s="10">
        <v>12.83</v>
      </c>
      <c r="Z54" s="10">
        <v>12.42</v>
      </c>
      <c r="AA54" s="10">
        <v>12.75</v>
      </c>
      <c r="AB54" s="95">
        <v>25060500</v>
      </c>
      <c r="AC54" s="10">
        <v>12.75</v>
      </c>
      <c r="AD54">
        <f t="shared" si="2"/>
        <v>0.41000000000000014</v>
      </c>
      <c r="AE54" s="138">
        <f t="shared" si="3"/>
        <v>3.490259740259738E-2</v>
      </c>
      <c r="AL54" s="234"/>
      <c r="AO54" s="234"/>
    </row>
    <row r="55" spans="2:41" x14ac:dyDescent="0.25">
      <c r="B55" s="549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475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17.010000000000002</v>
      </c>
      <c r="T55" s="93" t="s">
        <v>108</v>
      </c>
      <c r="U55" s="130" t="s">
        <v>541</v>
      </c>
      <c r="W55" s="133">
        <v>42541</v>
      </c>
      <c r="X55" s="10">
        <v>12.51</v>
      </c>
      <c r="Y55" s="10">
        <v>12.66</v>
      </c>
      <c r="Z55" s="10">
        <v>12.29</v>
      </c>
      <c r="AA55" s="10">
        <v>12.32</v>
      </c>
      <c r="AB55" s="95">
        <v>21481700</v>
      </c>
      <c r="AC55" s="10">
        <v>12.32</v>
      </c>
      <c r="AD55">
        <f t="shared" si="2"/>
        <v>0.37000000000000099</v>
      </c>
      <c r="AE55" s="138">
        <f t="shared" si="3"/>
        <v>9.8360655737705915E-3</v>
      </c>
    </row>
    <row r="56" spans="2:41" x14ac:dyDescent="0.25">
      <c r="B56" s="549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475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16.8399</v>
      </c>
      <c r="T56" s="93" t="s">
        <v>111</v>
      </c>
      <c r="U56" s="130">
        <v>47.99</v>
      </c>
      <c r="W56" s="133">
        <v>42538</v>
      </c>
      <c r="X56" s="10">
        <v>11.97</v>
      </c>
      <c r="Y56" s="10">
        <v>12.35</v>
      </c>
      <c r="Z56" s="10">
        <v>11.95</v>
      </c>
      <c r="AA56" s="10">
        <v>12.2</v>
      </c>
      <c r="AB56" s="95">
        <v>20604200</v>
      </c>
      <c r="AC56" s="10">
        <v>12.2</v>
      </c>
      <c r="AD56">
        <f t="shared" si="2"/>
        <v>0.40000000000000036</v>
      </c>
      <c r="AE56" s="138">
        <f t="shared" si="3"/>
        <v>2.0920502092050208E-2</v>
      </c>
    </row>
    <row r="57" spans="2:41" x14ac:dyDescent="0.25">
      <c r="B57" s="475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475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16.669800000000002</v>
      </c>
      <c r="T57" s="93" t="s">
        <v>112</v>
      </c>
      <c r="U57" s="130">
        <v>0.35</v>
      </c>
      <c r="W57" s="133">
        <v>42537</v>
      </c>
      <c r="X57" s="10">
        <v>11.87</v>
      </c>
      <c r="Y57" s="10">
        <v>11.99</v>
      </c>
      <c r="Z57" s="10">
        <v>11.58</v>
      </c>
      <c r="AA57" s="10">
        <v>11.95</v>
      </c>
      <c r="AB57" s="95">
        <v>22453100</v>
      </c>
      <c r="AC57" s="10">
        <v>11.95</v>
      </c>
      <c r="AD57">
        <f t="shared" si="2"/>
        <v>0.41000000000000014</v>
      </c>
      <c r="AE57" s="138">
        <f t="shared" si="3"/>
        <v>-5.8236272878535722E-3</v>
      </c>
    </row>
    <row r="58" spans="2:41" x14ac:dyDescent="0.25">
      <c r="B58" s="475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475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16.499700000000001</v>
      </c>
      <c r="T58" s="93" t="s">
        <v>109</v>
      </c>
      <c r="U58" s="130" t="s">
        <v>124</v>
      </c>
      <c r="W58" s="133">
        <v>42536</v>
      </c>
      <c r="X58" s="10">
        <v>12.16</v>
      </c>
      <c r="Y58" s="10">
        <v>12.25</v>
      </c>
      <c r="Z58" s="10">
        <v>11.95</v>
      </c>
      <c r="AA58" s="10">
        <v>12.02</v>
      </c>
      <c r="AB58" s="95">
        <v>17491700</v>
      </c>
      <c r="AC58" s="10">
        <v>12.02</v>
      </c>
      <c r="AD58">
        <f t="shared" si="2"/>
        <v>0.30000000000000071</v>
      </c>
      <c r="AE58" s="138">
        <f t="shared" si="3"/>
        <v>8.3892617449663476E-3</v>
      </c>
      <c r="AL58" s="234"/>
      <c r="AO58" s="234"/>
    </row>
    <row r="59" spans="2:41" x14ac:dyDescent="0.25">
      <c r="B59" s="475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475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16.329599999999999</v>
      </c>
      <c r="W59" s="133">
        <v>42535</v>
      </c>
      <c r="X59" s="10">
        <v>12.07</v>
      </c>
      <c r="Y59" s="10">
        <v>12.32</v>
      </c>
      <c r="Z59" s="10">
        <v>11.74</v>
      </c>
      <c r="AA59" s="10">
        <v>11.92</v>
      </c>
      <c r="AB59" s="95">
        <v>21913200</v>
      </c>
      <c r="AC59" s="10">
        <v>11.92</v>
      </c>
      <c r="AD59">
        <f t="shared" si="2"/>
        <v>0.58000000000000007</v>
      </c>
      <c r="AE59" s="138">
        <f t="shared" si="3"/>
        <v>-1.0788381742738662E-2</v>
      </c>
    </row>
    <row r="60" spans="2:41" x14ac:dyDescent="0.25">
      <c r="B60" s="475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475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16.159500000000001</v>
      </c>
      <c r="W60" s="133">
        <v>42534</v>
      </c>
      <c r="X60" s="10">
        <v>12</v>
      </c>
      <c r="Y60" s="10">
        <v>12.36</v>
      </c>
      <c r="Z60" s="10">
        <v>11.94</v>
      </c>
      <c r="AA60" s="10">
        <v>12.05</v>
      </c>
      <c r="AB60" s="95">
        <v>15570200</v>
      </c>
      <c r="AC60" s="10">
        <v>12.05</v>
      </c>
      <c r="AD60">
        <f t="shared" si="2"/>
        <v>0.41999999999999993</v>
      </c>
      <c r="AE60" s="138">
        <f t="shared" si="3"/>
        <v>-7.4135090609555032E-3</v>
      </c>
    </row>
    <row r="61" spans="2:41" x14ac:dyDescent="0.25">
      <c r="B61" s="475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474"/>
      <c r="H61" s="7"/>
      <c r="I61" s="44"/>
      <c r="J61" s="44"/>
      <c r="K61" s="44"/>
      <c r="O61" s="83">
        <v>0.94</v>
      </c>
      <c r="P61" s="83">
        <f t="shared" si="5"/>
        <v>15.9894</v>
      </c>
      <c r="W61" s="133">
        <v>42531</v>
      </c>
      <c r="X61" s="10">
        <v>12.32</v>
      </c>
      <c r="Y61" s="10">
        <v>12.37</v>
      </c>
      <c r="Z61" s="10">
        <v>12.05</v>
      </c>
      <c r="AA61" s="10">
        <v>12.14</v>
      </c>
      <c r="AB61" s="95">
        <v>21439300</v>
      </c>
      <c r="AC61" s="10">
        <v>12.14</v>
      </c>
      <c r="AD61">
        <f t="shared" si="2"/>
        <v>0.31999999999999851</v>
      </c>
      <c r="AE61" s="138">
        <f t="shared" si="3"/>
        <v>-2.9576338928856805E-2</v>
      </c>
    </row>
    <row r="62" spans="2:41" x14ac:dyDescent="0.25">
      <c r="B62" s="475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474"/>
      <c r="H62" s="7"/>
      <c r="I62" s="44"/>
      <c r="J62" s="44"/>
      <c r="K62" s="44"/>
      <c r="O62" s="83">
        <v>0.93</v>
      </c>
      <c r="P62" s="83">
        <f t="shared" si="5"/>
        <v>15.819300000000002</v>
      </c>
      <c r="W62" s="133">
        <v>42530</v>
      </c>
      <c r="X62" s="10">
        <v>12.47</v>
      </c>
      <c r="Y62" s="10">
        <v>12.7</v>
      </c>
      <c r="Z62" s="10">
        <v>12.24</v>
      </c>
      <c r="AA62" s="10">
        <v>12.51</v>
      </c>
      <c r="AB62" s="95">
        <v>21881700</v>
      </c>
      <c r="AC62" s="10">
        <v>12.51</v>
      </c>
      <c r="AD62">
        <f t="shared" si="2"/>
        <v>0.45999999999999908</v>
      </c>
      <c r="AE62" s="138">
        <f t="shared" si="3"/>
        <v>-5.564387917329161E-3</v>
      </c>
    </row>
    <row r="63" spans="2:41" x14ac:dyDescent="0.25">
      <c r="B63" s="475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474"/>
      <c r="H63" s="7"/>
      <c r="I63" s="44"/>
      <c r="J63" s="44"/>
      <c r="K63" s="44"/>
      <c r="O63" s="83">
        <v>0.92</v>
      </c>
      <c r="P63" s="83">
        <f t="shared" si="5"/>
        <v>15.649200000000002</v>
      </c>
      <c r="W63" s="133">
        <v>42529</v>
      </c>
      <c r="X63" s="10">
        <v>13.08</v>
      </c>
      <c r="Y63" s="10">
        <v>13.09</v>
      </c>
      <c r="Z63" s="10">
        <v>12.51</v>
      </c>
      <c r="AA63" s="10">
        <v>12.58</v>
      </c>
      <c r="AB63" s="95">
        <v>25869800</v>
      </c>
      <c r="AC63" s="10">
        <v>12.58</v>
      </c>
      <c r="AD63">
        <f t="shared" si="2"/>
        <v>0.58000000000000007</v>
      </c>
      <c r="AE63" s="138">
        <f t="shared" si="3"/>
        <v>-3.230769230769226E-2</v>
      </c>
    </row>
    <row r="64" spans="2:41" x14ac:dyDescent="0.25">
      <c r="B64" s="475">
        <v>42346</v>
      </c>
      <c r="C64" s="4">
        <v>200</v>
      </c>
      <c r="D64" s="4">
        <v>15.55</v>
      </c>
      <c r="E64" s="3">
        <v>0</v>
      </c>
      <c r="F64" s="3">
        <f t="shared" si="7"/>
        <v>3110</v>
      </c>
      <c r="G64" s="474"/>
      <c r="H64" s="7"/>
      <c r="I64" s="44"/>
      <c r="J64" s="44"/>
      <c r="K64" s="44"/>
      <c r="O64" s="83">
        <v>0.91</v>
      </c>
      <c r="P64" s="83">
        <f t="shared" si="5"/>
        <v>15.479100000000003</v>
      </c>
      <c r="W64" s="133">
        <v>42528</v>
      </c>
      <c r="X64" s="10">
        <v>12.83</v>
      </c>
      <c r="Y64" s="10">
        <v>13.15</v>
      </c>
      <c r="Z64" s="10">
        <v>12.81</v>
      </c>
      <c r="AA64" s="10">
        <v>13</v>
      </c>
      <c r="AB64" s="95">
        <v>21409500</v>
      </c>
      <c r="AC64" s="10">
        <v>13</v>
      </c>
      <c r="AD64">
        <f t="shared" si="2"/>
        <v>0.33999999999999986</v>
      </c>
      <c r="AE64" s="138">
        <f t="shared" si="3"/>
        <v>1.8010963194988294E-2</v>
      </c>
    </row>
    <row r="65" spans="2:31" x14ac:dyDescent="0.25">
      <c r="B65" s="475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474"/>
      <c r="H65" s="7"/>
      <c r="I65" s="44"/>
      <c r="J65" s="44"/>
      <c r="K65" s="44"/>
      <c r="O65" s="83">
        <v>0.9</v>
      </c>
      <c r="P65" s="83">
        <f t="shared" si="5"/>
        <v>15.309000000000001</v>
      </c>
      <c r="W65" s="133">
        <v>42527</v>
      </c>
      <c r="X65" s="10">
        <v>12.89</v>
      </c>
      <c r="Y65" s="10">
        <v>13.04</v>
      </c>
      <c r="Z65" s="10">
        <v>12.76</v>
      </c>
      <c r="AA65" s="10">
        <v>12.77</v>
      </c>
      <c r="AB65" s="95">
        <v>24861200</v>
      </c>
      <c r="AC65" s="10">
        <v>12.77</v>
      </c>
      <c r="AD65">
        <f t="shared" si="2"/>
        <v>0.27999999999999936</v>
      </c>
      <c r="AE65" s="138">
        <f t="shared" si="3"/>
        <v>-6.9984447900466318E-3</v>
      </c>
    </row>
    <row r="66" spans="2:31" x14ac:dyDescent="0.25">
      <c r="B66" s="475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474"/>
      <c r="H66" s="7"/>
      <c r="I66" s="44"/>
      <c r="J66" s="44"/>
      <c r="K66" s="44"/>
      <c r="W66" s="133">
        <v>42524</v>
      </c>
      <c r="X66" s="10">
        <v>13.02</v>
      </c>
      <c r="Y66" s="10">
        <v>13.04</v>
      </c>
      <c r="Z66" s="10">
        <v>12.63</v>
      </c>
      <c r="AA66" s="10">
        <v>12.86</v>
      </c>
      <c r="AB66" s="95">
        <v>28326000</v>
      </c>
      <c r="AC66" s="10">
        <v>12.86</v>
      </c>
      <c r="AD66">
        <f t="shared" si="2"/>
        <v>0.40999999999999837</v>
      </c>
      <c r="AE66" s="138">
        <f t="shared" si="3"/>
        <v>-1.9069412662090057E-2</v>
      </c>
    </row>
    <row r="67" spans="2:31" x14ac:dyDescent="0.25">
      <c r="B67" s="475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474"/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42523</v>
      </c>
      <c r="X67" s="10">
        <v>12.95</v>
      </c>
      <c r="Y67" s="10">
        <v>13.21</v>
      </c>
      <c r="Z67" s="10">
        <v>12.75</v>
      </c>
      <c r="AA67" s="10">
        <v>13.11</v>
      </c>
      <c r="AB67" s="95">
        <v>31941900</v>
      </c>
      <c r="AC67" s="10">
        <v>13.11</v>
      </c>
      <c r="AD67">
        <f>Y67-Z67</f>
        <v>0.46000000000000085</v>
      </c>
      <c r="AE67" s="138" t="e">
        <f>AC67/AC68-1</f>
        <v>#DIV/0!</v>
      </c>
    </row>
    <row r="68" spans="2:31" x14ac:dyDescent="0.25">
      <c r="B68" s="475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474"/>
      <c r="H68" s="7"/>
      <c r="I68" s="44"/>
      <c r="J68" s="44"/>
      <c r="K68" s="44"/>
      <c r="N68" s="4"/>
      <c r="O68" s="434"/>
      <c r="P68" s="4"/>
      <c r="Q68" s="4"/>
      <c r="R68" s="4"/>
      <c r="S68" s="4"/>
      <c r="T68" s="4"/>
      <c r="U68" s="109"/>
      <c r="W68" s="10" t="s">
        <v>122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475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475"/>
      <c r="H69" s="82"/>
      <c r="I69" s="44"/>
      <c r="J69" s="44"/>
      <c r="K69" s="44"/>
      <c r="N69" s="4"/>
      <c r="O69" s="434"/>
      <c r="P69" s="434"/>
      <c r="Q69" s="434"/>
      <c r="R69" s="434"/>
      <c r="S69" s="434"/>
      <c r="T69" s="434"/>
      <c r="U69" s="435"/>
    </row>
    <row r="70" spans="2:31" x14ac:dyDescent="0.25">
      <c r="B70" s="525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475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525"/>
      <c r="C71" s="7">
        <v>500</v>
      </c>
      <c r="D71" s="44">
        <v>14.33</v>
      </c>
      <c r="E71" s="44">
        <v>0</v>
      </c>
      <c r="F71" s="44">
        <f t="shared" si="8"/>
        <v>7165</v>
      </c>
      <c r="G71" s="475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525"/>
      <c r="C72" s="7">
        <v>440</v>
      </c>
      <c r="D72" s="44">
        <v>14.33</v>
      </c>
      <c r="E72" s="44">
        <v>0</v>
      </c>
      <c r="F72" s="44">
        <f t="shared" si="8"/>
        <v>6305.2</v>
      </c>
      <c r="G72" s="474"/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475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G73" s="474"/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475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74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475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G75" s="474"/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36"/>
    </row>
    <row r="76" spans="2:31" x14ac:dyDescent="0.25">
      <c r="B76" s="475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G76" s="474"/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475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G77" s="474"/>
      <c r="H77" s="7"/>
      <c r="I77" s="44"/>
      <c r="J77" s="44"/>
      <c r="K77" s="44"/>
      <c r="M77" s="2"/>
      <c r="N77" s="4"/>
      <c r="O77" s="434"/>
      <c r="P77" s="4"/>
      <c r="Q77" s="4"/>
      <c r="R77" s="4"/>
      <c r="S77" s="4"/>
      <c r="T77" s="4"/>
      <c r="U77" s="109"/>
    </row>
    <row r="78" spans="2:31" x14ac:dyDescent="0.25">
      <c r="B78" s="525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G78" s="474"/>
      <c r="H78" s="7"/>
      <c r="I78" s="44"/>
      <c r="J78" s="44"/>
      <c r="K78" s="44"/>
      <c r="N78" s="4"/>
      <c r="O78" s="434"/>
      <c r="P78" s="434"/>
      <c r="Q78" s="434"/>
      <c r="R78" s="434"/>
      <c r="S78" s="434"/>
      <c r="T78" s="434"/>
      <c r="U78" s="435"/>
    </row>
    <row r="79" spans="2:31" x14ac:dyDescent="0.25">
      <c r="B79" s="525"/>
      <c r="C79" s="7">
        <v>30</v>
      </c>
      <c r="D79" s="7">
        <v>11.35</v>
      </c>
      <c r="E79" s="44">
        <v>0</v>
      </c>
      <c r="F79" s="44">
        <f t="shared" si="8"/>
        <v>340.5</v>
      </c>
      <c r="G79" s="474"/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525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G80" s="474"/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525"/>
      <c r="C81" s="7">
        <v>500</v>
      </c>
      <c r="D81" s="7">
        <v>10.75</v>
      </c>
      <c r="E81" s="44">
        <v>0</v>
      </c>
      <c r="F81" s="44">
        <f t="shared" si="8"/>
        <v>5375</v>
      </c>
      <c r="G81" s="474"/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36"/>
    </row>
    <row r="82" spans="1:21" x14ac:dyDescent="0.25">
      <c r="B82" s="525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G82" s="474"/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525"/>
      <c r="C83" s="7">
        <v>5</v>
      </c>
      <c r="D83" s="7">
        <v>11.07</v>
      </c>
      <c r="E83" s="44">
        <v>0</v>
      </c>
      <c r="F83" s="44">
        <f t="shared" si="8"/>
        <v>55.35</v>
      </c>
      <c r="G83" s="474"/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475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G84" s="474"/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475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G85" s="474"/>
      <c r="H85" s="7"/>
      <c r="I85" s="44"/>
      <c r="J85" s="44"/>
      <c r="K85" s="44"/>
    </row>
    <row r="86" spans="1:21" x14ac:dyDescent="0.25">
      <c r="B86" s="475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G86" s="474"/>
      <c r="H86" s="7"/>
      <c r="I86" s="44"/>
      <c r="J86" s="44"/>
      <c r="K86" s="44"/>
    </row>
    <row r="87" spans="1:21" x14ac:dyDescent="0.25">
      <c r="B87" s="475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G87" s="474"/>
      <c r="H87" s="7"/>
      <c r="I87" s="44"/>
      <c r="J87" s="44"/>
      <c r="K87" s="44"/>
      <c r="O87" s="1"/>
    </row>
    <row r="88" spans="1:21" x14ac:dyDescent="0.25">
      <c r="B88" s="475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G88" s="474"/>
      <c r="H88" s="7"/>
      <c r="I88" s="44"/>
      <c r="J88" s="44"/>
      <c r="K88" s="44"/>
    </row>
    <row r="89" spans="1:21" x14ac:dyDescent="0.25">
      <c r="B89" s="475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G89" s="474"/>
      <c r="H89" s="7"/>
      <c r="I89" s="44"/>
      <c r="J89" s="44"/>
      <c r="K89" s="44"/>
    </row>
    <row r="90" spans="1:21" x14ac:dyDescent="0.25">
      <c r="B90" s="475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G90" s="474"/>
      <c r="H90" s="7"/>
      <c r="I90" s="44"/>
      <c r="J90" s="44"/>
      <c r="K90" s="44"/>
    </row>
    <row r="91" spans="1:21" x14ac:dyDescent="0.25">
      <c r="B91" s="475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G91" s="474"/>
      <c r="H91" s="7"/>
      <c r="I91" s="44"/>
      <c r="J91" s="44"/>
      <c r="K91" s="44"/>
    </row>
    <row r="92" spans="1:21" x14ac:dyDescent="0.25">
      <c r="A92" s="559" t="s">
        <v>213</v>
      </c>
      <c r="B92" s="475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G92" s="474"/>
      <c r="H92" s="7"/>
      <c r="I92" s="44"/>
      <c r="J92" s="44"/>
      <c r="K92" s="44"/>
    </row>
    <row r="93" spans="1:21" x14ac:dyDescent="0.25">
      <c r="A93" s="559"/>
      <c r="B93" s="475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G93" s="474"/>
      <c r="H93" s="7"/>
      <c r="I93" s="44"/>
      <c r="J93" s="44"/>
      <c r="K93" s="44"/>
    </row>
    <row r="94" spans="1:21" x14ac:dyDescent="0.25">
      <c r="A94" s="559"/>
      <c r="B94" s="475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G94" s="474"/>
      <c r="H94" s="7"/>
      <c r="I94" s="44"/>
      <c r="J94" s="44"/>
      <c r="K94" s="44"/>
    </row>
    <row r="95" spans="1:21" x14ac:dyDescent="0.25">
      <c r="B95" s="475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G95" s="474"/>
      <c r="H95" s="7"/>
      <c r="I95" s="44"/>
      <c r="J95" s="44"/>
      <c r="K95" s="44"/>
    </row>
    <row r="96" spans="1:21" x14ac:dyDescent="0.25">
      <c r="B96" s="475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G96" s="474"/>
      <c r="H96" s="7"/>
      <c r="I96" s="44"/>
      <c r="J96" s="44"/>
      <c r="K96" s="44"/>
    </row>
    <row r="97" spans="2:11" x14ac:dyDescent="0.25">
      <c r="B97" s="475">
        <v>42502</v>
      </c>
      <c r="C97" s="7">
        <v>1000</v>
      </c>
      <c r="D97" s="44">
        <v>9.5</v>
      </c>
      <c r="E97" s="44">
        <v>0</v>
      </c>
      <c r="F97" s="44">
        <f t="shared" ref="F97:F126" si="9">C97*D97+E97</f>
        <v>9500</v>
      </c>
      <c r="G97" s="474"/>
      <c r="H97" s="7"/>
      <c r="I97" s="44"/>
      <c r="J97" s="44"/>
      <c r="K97" s="44"/>
    </row>
    <row r="98" spans="2:11" x14ac:dyDescent="0.25">
      <c r="B98" s="475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G98" s="474"/>
      <c r="H98" s="7"/>
      <c r="I98" s="44"/>
      <c r="J98" s="44"/>
      <c r="K98" s="44"/>
    </row>
    <row r="99" spans="2:11" x14ac:dyDescent="0.25">
      <c r="B99" s="475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G99" s="474"/>
      <c r="H99" s="7"/>
      <c r="I99" s="44"/>
      <c r="J99" s="44"/>
      <c r="K99" s="44"/>
    </row>
    <row r="100" spans="2:11" x14ac:dyDescent="0.25">
      <c r="B100" s="475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G100" s="474"/>
      <c r="H100" s="7"/>
      <c r="I100" s="44"/>
      <c r="J100" s="44"/>
      <c r="K100" s="44"/>
    </row>
    <row r="101" spans="2:11" x14ac:dyDescent="0.25">
      <c r="B101" s="475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G101" s="474"/>
      <c r="H101" s="7"/>
      <c r="I101" s="44"/>
      <c r="J101" s="44"/>
      <c r="K101" s="44"/>
    </row>
    <row r="102" spans="2:11" x14ac:dyDescent="0.25">
      <c r="B102" s="475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G102" s="474"/>
      <c r="H102" s="7"/>
      <c r="I102" s="44"/>
      <c r="J102" s="44"/>
      <c r="K102" s="44"/>
    </row>
    <row r="103" spans="2:11" x14ac:dyDescent="0.25">
      <c r="B103" s="475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G103" s="474"/>
      <c r="H103" s="7"/>
      <c r="I103" s="44"/>
      <c r="J103" s="44"/>
      <c r="K103" s="44"/>
    </row>
    <row r="104" spans="2:11" x14ac:dyDescent="0.25">
      <c r="B104" s="475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475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475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475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475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475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475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475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475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475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475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74"/>
      <c r="H109" s="7"/>
      <c r="I109" s="44"/>
      <c r="J109" s="44"/>
      <c r="K109" s="44"/>
    </row>
    <row r="110" spans="2:11" x14ac:dyDescent="0.25">
      <c r="B110" s="475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75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475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475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475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526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3" x14ac:dyDescent="0.25">
      <c r="B113" s="475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475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3" x14ac:dyDescent="0.25">
      <c r="B114" s="475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475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3" x14ac:dyDescent="0.25">
      <c r="B115" s="475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475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3" x14ac:dyDescent="0.25">
      <c r="B116" s="475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475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3" x14ac:dyDescent="0.25">
      <c r="B117" s="475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475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3" x14ac:dyDescent="0.25">
      <c r="B118" s="475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G118" s="474"/>
      <c r="H118" s="7"/>
      <c r="I118" s="44"/>
      <c r="J118" s="44"/>
      <c r="K118" s="44"/>
    </row>
    <row r="119" spans="1:13" x14ac:dyDescent="0.25">
      <c r="B119" s="475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G119" s="474"/>
      <c r="H119" s="7"/>
      <c r="I119" s="44"/>
      <c r="J119" s="44"/>
      <c r="K119" s="44"/>
    </row>
    <row r="120" spans="1:13" x14ac:dyDescent="0.25">
      <c r="B120" s="475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475">
        <v>42558</v>
      </c>
      <c r="H120" s="82">
        <v>1000</v>
      </c>
      <c r="I120" s="44">
        <v>12.48</v>
      </c>
      <c r="J120" s="44">
        <v>0.27</v>
      </c>
      <c r="K120" s="44">
        <f t="shared" ref="K120:K127" si="11">H120*I120-J120</f>
        <v>12479.73</v>
      </c>
    </row>
    <row r="121" spans="1:13" x14ac:dyDescent="0.25">
      <c r="B121" s="74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475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3" x14ac:dyDescent="0.25">
      <c r="A122" s="1"/>
      <c r="B122" s="74">
        <v>42579</v>
      </c>
      <c r="C122" s="7">
        <v>600</v>
      </c>
      <c r="D122" s="44">
        <v>13.82</v>
      </c>
      <c r="E122" s="44">
        <v>0</v>
      </c>
      <c r="F122" s="44">
        <f t="shared" si="9"/>
        <v>8292</v>
      </c>
      <c r="G122" s="475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3" x14ac:dyDescent="0.25">
      <c r="B123" s="475">
        <v>42580</v>
      </c>
      <c r="C123" s="7">
        <v>500</v>
      </c>
      <c r="D123" s="44">
        <v>13.62</v>
      </c>
      <c r="E123" s="44">
        <v>0</v>
      </c>
      <c r="F123" s="44">
        <f t="shared" si="9"/>
        <v>6810</v>
      </c>
      <c r="G123" s="475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3" x14ac:dyDescent="0.25">
      <c r="B124" s="74">
        <v>42584</v>
      </c>
      <c r="C124" s="7">
        <v>200</v>
      </c>
      <c r="D124" s="44">
        <v>13.08</v>
      </c>
      <c r="E124" s="44">
        <v>0</v>
      </c>
      <c r="F124" s="44">
        <f t="shared" si="9"/>
        <v>2616</v>
      </c>
      <c r="G124" s="475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3" x14ac:dyDescent="0.25">
      <c r="B125" s="529">
        <v>42599</v>
      </c>
      <c r="C125" s="7">
        <v>500</v>
      </c>
      <c r="D125" s="44">
        <v>15.6</v>
      </c>
      <c r="E125" s="44">
        <v>0</v>
      </c>
      <c r="F125" s="44">
        <f t="shared" si="9"/>
        <v>7800</v>
      </c>
      <c r="G125" s="475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26" spans="1:13" x14ac:dyDescent="0.25">
      <c r="B126" s="529">
        <v>42619</v>
      </c>
      <c r="C126" s="7">
        <v>500</v>
      </c>
      <c r="D126" s="44">
        <v>16.850000000000001</v>
      </c>
      <c r="E126" s="44">
        <v>0</v>
      </c>
      <c r="F126" s="44">
        <f t="shared" si="9"/>
        <v>8425</v>
      </c>
      <c r="G126" s="475">
        <v>42593</v>
      </c>
      <c r="H126" s="4">
        <v>500</v>
      </c>
      <c r="I126" s="2">
        <v>14.45</v>
      </c>
      <c r="J126" s="2">
        <v>0.16</v>
      </c>
      <c r="K126" s="2">
        <f t="shared" si="11"/>
        <v>7224.84</v>
      </c>
      <c r="M126" s="558" t="s">
        <v>349</v>
      </c>
    </row>
    <row r="127" spans="1:13" x14ac:dyDescent="0.25">
      <c r="G127" s="475">
        <v>42594</v>
      </c>
      <c r="H127" s="4">
        <v>500</v>
      </c>
      <c r="I127" s="2">
        <v>14.88</v>
      </c>
      <c r="J127" s="2">
        <v>0.16</v>
      </c>
      <c r="K127" s="2">
        <f t="shared" si="11"/>
        <v>7439.84</v>
      </c>
      <c r="M127" s="558"/>
    </row>
    <row r="128" spans="1:13" x14ac:dyDescent="0.25">
      <c r="G128" s="475">
        <v>42594</v>
      </c>
      <c r="H128" s="4">
        <v>500</v>
      </c>
      <c r="I128" s="2">
        <v>14.98</v>
      </c>
      <c r="J128" s="2">
        <v>0.16</v>
      </c>
      <c r="K128" s="2">
        <f t="shared" ref="K128:K131" si="12">H128*I128-J128</f>
        <v>7489.84</v>
      </c>
      <c r="M128" s="558"/>
    </row>
    <row r="129" spans="1:13" x14ac:dyDescent="0.25">
      <c r="G129" s="475">
        <v>42597</v>
      </c>
      <c r="H129" s="4">
        <v>500</v>
      </c>
      <c r="I129" s="2">
        <v>15.48</v>
      </c>
      <c r="J129" s="2">
        <v>0.17</v>
      </c>
      <c r="K129" s="2">
        <f t="shared" si="12"/>
        <v>7739.83</v>
      </c>
      <c r="M129" s="558"/>
    </row>
    <row r="130" spans="1:13" x14ac:dyDescent="0.25">
      <c r="G130" s="475">
        <v>42599</v>
      </c>
      <c r="H130" s="7">
        <v>500</v>
      </c>
      <c r="I130" s="44">
        <v>15.75</v>
      </c>
      <c r="J130" s="44">
        <v>0.17</v>
      </c>
      <c r="K130" s="44">
        <f t="shared" si="12"/>
        <v>7874.83</v>
      </c>
    </row>
    <row r="131" spans="1:13" x14ac:dyDescent="0.25">
      <c r="G131" s="475">
        <v>42619</v>
      </c>
      <c r="H131" s="7">
        <v>500</v>
      </c>
      <c r="I131" s="44">
        <v>17.079999999999998</v>
      </c>
      <c r="J131" s="44">
        <v>0.19</v>
      </c>
      <c r="K131" s="44">
        <f t="shared" si="12"/>
        <v>8539.81</v>
      </c>
    </row>
    <row r="134" spans="1:13" x14ac:dyDescent="0.25">
      <c r="A134" s="22" t="s">
        <v>81</v>
      </c>
      <c r="B134" s="12"/>
      <c r="C134" s="12">
        <f>SUM(C2:C133)</f>
        <v>57835</v>
      </c>
      <c r="D134" s="12"/>
      <c r="E134" s="12"/>
      <c r="F134" s="13">
        <f>SUM(F2:F133)</f>
        <v>803061.98300000012</v>
      </c>
      <c r="G134" s="12"/>
      <c r="H134" s="12">
        <f>SUM(H2:H133)</f>
        <v>55835</v>
      </c>
      <c r="I134" s="13"/>
      <c r="J134" s="13"/>
      <c r="K134" s="13">
        <f>SUM(K2:K133)</f>
        <v>768514.15999999957</v>
      </c>
      <c r="L134" s="13"/>
      <c r="M134" s="13">
        <f>SUM(M2:M133)</f>
        <v>0</v>
      </c>
    </row>
    <row r="135" spans="1:13" ht="15.75" thickBot="1" x14ac:dyDescent="0.3">
      <c r="A135" s="359" t="s">
        <v>204</v>
      </c>
      <c r="B135" s="360"/>
      <c r="C135" s="361">
        <f>SumByColor($A$135,C2:C133)</f>
        <v>53835</v>
      </c>
      <c r="D135" s="361"/>
      <c r="E135" s="361"/>
      <c r="F135" s="362">
        <f>SumByColor($A$135,F2:F133)</f>
        <v>737565</v>
      </c>
      <c r="G135" s="361"/>
      <c r="H135" s="361">
        <f>SumByColor($A$135,H2:H133)</f>
        <v>53835</v>
      </c>
      <c r="I135" s="361"/>
      <c r="J135" s="361"/>
      <c r="K135" s="362">
        <f>SumByColor($A$135,K2:K133)</f>
        <v>738632</v>
      </c>
      <c r="L135" s="361"/>
      <c r="M135" s="362">
        <f>SumByColor($A$135,M2:M133)</f>
        <v>0</v>
      </c>
    </row>
    <row r="138" spans="1:13" x14ac:dyDescent="0.25">
      <c r="B138" s="191" t="s">
        <v>114</v>
      </c>
      <c r="C138" s="191" t="s">
        <v>150</v>
      </c>
      <c r="D138" s="192" t="s">
        <v>149</v>
      </c>
      <c r="E138" s="194" t="s">
        <v>151</v>
      </c>
      <c r="F138" s="195" t="s">
        <v>65</v>
      </c>
      <c r="G138" s="229" t="s">
        <v>155</v>
      </c>
      <c r="H138" s="195" t="s">
        <v>88</v>
      </c>
      <c r="I138" s="229" t="s">
        <v>161</v>
      </c>
    </row>
    <row r="139" spans="1:13" x14ac:dyDescent="0.25">
      <c r="B139" s="193">
        <v>42304</v>
      </c>
      <c r="C139" s="10">
        <v>5100</v>
      </c>
      <c r="D139" s="200">
        <v>17.29</v>
      </c>
      <c r="E139" s="40">
        <v>16.68</v>
      </c>
      <c r="F139" s="40">
        <f t="shared" ref="F139:F176" si="13">-C139*(D139-E139)</f>
        <v>-3110.9999999999973</v>
      </c>
      <c r="G139" s="40">
        <f t="shared" ref="G139:G148" si="14">IF(C139=0, 0,D139*C139)</f>
        <v>88179</v>
      </c>
      <c r="H139" s="232">
        <f t="shared" ref="H139:H153" si="15">IF(C139=0, D139, (E139-D139)/D139)</f>
        <v>-3.5280508964719459E-2</v>
      </c>
      <c r="I139" s="40"/>
    </row>
    <row r="140" spans="1:13" x14ac:dyDescent="0.25">
      <c r="B140" s="193">
        <v>42305</v>
      </c>
      <c r="C140" s="10">
        <v>4900</v>
      </c>
      <c r="D140" s="200">
        <v>17.29</v>
      </c>
      <c r="E140" s="40">
        <v>16.920000000000002</v>
      </c>
      <c r="F140" s="40">
        <f t="shared" si="13"/>
        <v>-1812.9999999999875</v>
      </c>
      <c r="G140" s="40">
        <f t="shared" si="14"/>
        <v>84721</v>
      </c>
      <c r="H140" s="232">
        <f t="shared" si="15"/>
        <v>-2.1399652978600199E-2</v>
      </c>
      <c r="I140" s="40"/>
    </row>
    <row r="141" spans="1:13" x14ac:dyDescent="0.25">
      <c r="B141" s="193">
        <v>42306</v>
      </c>
      <c r="C141" s="10">
        <v>5100</v>
      </c>
      <c r="D141" s="200">
        <v>17.25</v>
      </c>
      <c r="E141" s="40">
        <v>16.21</v>
      </c>
      <c r="F141" s="40">
        <f t="shared" si="13"/>
        <v>-5303.9999999999955</v>
      </c>
      <c r="G141" s="40">
        <f t="shared" si="14"/>
        <v>87975</v>
      </c>
      <c r="H141" s="232">
        <f t="shared" si="15"/>
        <v>-6.0289855072463719E-2</v>
      </c>
      <c r="I141" s="40"/>
    </row>
    <row r="142" spans="1:13" x14ac:dyDescent="0.25">
      <c r="B142" s="193">
        <v>42311</v>
      </c>
      <c r="C142" s="10">
        <v>2710</v>
      </c>
      <c r="D142" s="200">
        <v>16.989999999999998</v>
      </c>
      <c r="E142" s="40">
        <v>17.84</v>
      </c>
      <c r="F142" s="40">
        <f t="shared" si="13"/>
        <v>2303.5000000000036</v>
      </c>
      <c r="G142" s="40">
        <f t="shared" si="14"/>
        <v>46042.899999999994</v>
      </c>
      <c r="H142" s="232">
        <f t="shared" si="15"/>
        <v>5.0029429075927105E-2</v>
      </c>
      <c r="I142" s="40"/>
    </row>
    <row r="143" spans="1:13" x14ac:dyDescent="0.25">
      <c r="B143" s="193">
        <v>42312</v>
      </c>
      <c r="C143" s="10">
        <v>2902</v>
      </c>
      <c r="D143" s="200">
        <v>16.989999999999998</v>
      </c>
      <c r="E143" s="40">
        <v>17.440000000000001</v>
      </c>
      <c r="F143" s="40">
        <f t="shared" si="13"/>
        <v>1305.9000000000083</v>
      </c>
      <c r="G143" s="40">
        <f t="shared" si="14"/>
        <v>49304.979999999996</v>
      </c>
      <c r="H143" s="232">
        <f t="shared" si="15"/>
        <v>2.6486168334314473E-2</v>
      </c>
      <c r="I143" s="40"/>
    </row>
    <row r="144" spans="1:13" x14ac:dyDescent="0.25">
      <c r="B144" s="193">
        <v>42313</v>
      </c>
      <c r="C144" s="10">
        <v>5710</v>
      </c>
      <c r="D144" s="200">
        <v>16.91</v>
      </c>
      <c r="E144" s="40">
        <v>16.510000000000002</v>
      </c>
      <c r="F144" s="40">
        <f t="shared" si="13"/>
        <v>-2283.9999999999918</v>
      </c>
      <c r="G144" s="40">
        <f t="shared" si="14"/>
        <v>96556.1</v>
      </c>
      <c r="H144" s="232">
        <f t="shared" si="15"/>
        <v>-2.3654642223536283E-2</v>
      </c>
      <c r="I144" s="40"/>
    </row>
    <row r="145" spans="2:9" x14ac:dyDescent="0.25">
      <c r="B145" s="193">
        <v>42314</v>
      </c>
      <c r="C145" s="10">
        <v>4710</v>
      </c>
      <c r="D145" s="200">
        <v>16.95</v>
      </c>
      <c r="E145" s="40">
        <v>16.45</v>
      </c>
      <c r="F145" s="40">
        <f t="shared" si="13"/>
        <v>-2355</v>
      </c>
      <c r="G145" s="40">
        <f t="shared" si="14"/>
        <v>79834.5</v>
      </c>
      <c r="H145" s="232">
        <f t="shared" si="15"/>
        <v>-2.9498525073746312E-2</v>
      </c>
      <c r="I145" s="40"/>
    </row>
    <row r="146" spans="2:9" x14ac:dyDescent="0.25">
      <c r="B146" s="193">
        <v>42317</v>
      </c>
      <c r="C146" s="10">
        <v>5060</v>
      </c>
      <c r="D146" s="200">
        <v>16.87</v>
      </c>
      <c r="E146" s="40">
        <v>15.84</v>
      </c>
      <c r="F146" s="40">
        <f t="shared" si="13"/>
        <v>-5211.8000000000056</v>
      </c>
      <c r="G146" s="40">
        <f t="shared" si="14"/>
        <v>85362.200000000012</v>
      </c>
      <c r="H146" s="232">
        <f t="shared" si="15"/>
        <v>-6.1055127445169E-2</v>
      </c>
      <c r="I146" s="40"/>
    </row>
    <row r="147" spans="2:9" x14ac:dyDescent="0.25">
      <c r="B147" s="193">
        <v>42324</v>
      </c>
      <c r="C147" s="10">
        <v>6000</v>
      </c>
      <c r="D147" s="200">
        <v>16.54</v>
      </c>
      <c r="E147" s="40">
        <v>14.89</v>
      </c>
      <c r="F147" s="40">
        <f t="shared" si="13"/>
        <v>-9899.9999999999909</v>
      </c>
      <c r="G147" s="40">
        <f t="shared" si="14"/>
        <v>99240</v>
      </c>
      <c r="H147" s="232">
        <f t="shared" si="15"/>
        <v>-9.9758162031438849E-2</v>
      </c>
      <c r="I147" s="40"/>
    </row>
    <row r="148" spans="2:9" x14ac:dyDescent="0.25">
      <c r="B148" s="193">
        <v>42325</v>
      </c>
      <c r="C148" s="10">
        <v>5060</v>
      </c>
      <c r="D148" s="200">
        <v>16.73</v>
      </c>
      <c r="E148" s="40">
        <v>15.28</v>
      </c>
      <c r="F148" s="40">
        <f t="shared" si="13"/>
        <v>-7337.0000000000055</v>
      </c>
      <c r="G148" s="40">
        <f t="shared" si="14"/>
        <v>84653.8</v>
      </c>
      <c r="H148" s="232">
        <f t="shared" si="15"/>
        <v>-8.6670651524208067E-2</v>
      </c>
      <c r="I148" s="40"/>
    </row>
    <row r="149" spans="2:9" x14ac:dyDescent="0.25">
      <c r="B149" s="193">
        <v>42328</v>
      </c>
      <c r="C149" s="10">
        <v>6000</v>
      </c>
      <c r="D149" s="200">
        <v>16.52</v>
      </c>
      <c r="E149" s="40">
        <v>15.39</v>
      </c>
      <c r="F149" s="40">
        <f t="shared" si="13"/>
        <v>-6779.9999999999936</v>
      </c>
      <c r="G149" s="40">
        <f t="shared" ref="G149:G176" si="16">IF(C149=0, 0,D149*C149)</f>
        <v>99120</v>
      </c>
      <c r="H149" s="232">
        <f t="shared" si="15"/>
        <v>-6.8401937046004779E-2</v>
      </c>
      <c r="I149" s="40"/>
    </row>
    <row r="150" spans="2:9" x14ac:dyDescent="0.25">
      <c r="B150" s="193">
        <v>42331</v>
      </c>
      <c r="C150" s="10">
        <v>5060</v>
      </c>
      <c r="D150" s="200">
        <v>16.68</v>
      </c>
      <c r="E150" s="40">
        <v>15.32</v>
      </c>
      <c r="F150" s="40">
        <f t="shared" si="13"/>
        <v>-6881.5999999999967</v>
      </c>
      <c r="G150" s="40">
        <f t="shared" si="16"/>
        <v>84400.8</v>
      </c>
      <c r="H150" s="232">
        <f t="shared" si="15"/>
        <v>-8.1534772182254162E-2</v>
      </c>
      <c r="I150" s="40"/>
    </row>
    <row r="151" spans="2:9" x14ac:dyDescent="0.25">
      <c r="B151" s="193">
        <v>42338</v>
      </c>
      <c r="C151" s="10">
        <v>4710</v>
      </c>
      <c r="D151" s="200">
        <v>16.73</v>
      </c>
      <c r="E151" s="40">
        <v>15.93</v>
      </c>
      <c r="F151" s="40">
        <f t="shared" si="13"/>
        <v>-3768.0000000000032</v>
      </c>
      <c r="G151" s="40">
        <f t="shared" si="16"/>
        <v>78798.3</v>
      </c>
      <c r="H151" s="232">
        <f t="shared" si="15"/>
        <v>-4.7818290496114808E-2</v>
      </c>
      <c r="I151" s="40"/>
    </row>
    <row r="152" spans="2:9" x14ac:dyDescent="0.25">
      <c r="B152" s="193">
        <v>42340</v>
      </c>
      <c r="C152" s="10">
        <v>5060</v>
      </c>
      <c r="D152" s="200">
        <v>16.670000000000002</v>
      </c>
      <c r="E152" s="40">
        <v>15.82</v>
      </c>
      <c r="F152" s="40">
        <f t="shared" si="13"/>
        <v>-4301.0000000000073</v>
      </c>
      <c r="G152" s="40">
        <f t="shared" si="16"/>
        <v>84350.200000000012</v>
      </c>
      <c r="H152" s="232">
        <f t="shared" si="15"/>
        <v>-5.0989802039592164E-2</v>
      </c>
      <c r="I152" s="40"/>
    </row>
    <row r="153" spans="2:9" x14ac:dyDescent="0.25">
      <c r="B153" s="193">
        <v>42341</v>
      </c>
      <c r="C153" s="10">
        <v>5060</v>
      </c>
      <c r="D153" s="200">
        <v>16.64</v>
      </c>
      <c r="E153" s="40">
        <v>15.61</v>
      </c>
      <c r="F153" s="40">
        <f t="shared" si="13"/>
        <v>-5211.8000000000056</v>
      </c>
      <c r="G153" s="40">
        <f t="shared" si="16"/>
        <v>84198.400000000009</v>
      </c>
      <c r="H153" s="232">
        <f t="shared" si="15"/>
        <v>-6.1899038461538526E-2</v>
      </c>
      <c r="I153" s="40"/>
    </row>
    <row r="154" spans="2:9" x14ac:dyDescent="0.25">
      <c r="B154" s="193">
        <v>42347</v>
      </c>
      <c r="C154" s="10">
        <v>5260</v>
      </c>
      <c r="D154" s="200">
        <v>16.559999999999999</v>
      </c>
      <c r="E154" s="40">
        <v>14.32</v>
      </c>
      <c r="F154" s="40">
        <f t="shared" si="13"/>
        <v>-11782.399999999992</v>
      </c>
      <c r="G154" s="40">
        <f t="shared" si="16"/>
        <v>87105.599999999991</v>
      </c>
      <c r="H154" s="232">
        <f t="shared" ref="H154:H176" si="17">IF(C154=0, D154, (E154-D154)/D154)</f>
        <v>-0.13526570048309169</v>
      </c>
      <c r="I154" s="40"/>
    </row>
    <row r="155" spans="2:9" x14ac:dyDescent="0.25">
      <c r="B155" s="193">
        <v>42348</v>
      </c>
      <c r="C155" s="10">
        <v>5060</v>
      </c>
      <c r="D155" s="200">
        <v>16.63</v>
      </c>
      <c r="E155" s="40">
        <v>14.66</v>
      </c>
      <c r="F155" s="40">
        <f t="shared" si="13"/>
        <v>-9968.1999999999935</v>
      </c>
      <c r="G155" s="40">
        <f t="shared" si="16"/>
        <v>84147.799999999988</v>
      </c>
      <c r="H155" s="232">
        <f t="shared" si="17"/>
        <v>-0.11846061334936855</v>
      </c>
      <c r="I155" s="40"/>
    </row>
    <row r="156" spans="2:9" x14ac:dyDescent="0.25">
      <c r="B156" s="193">
        <v>42349</v>
      </c>
      <c r="C156" s="10">
        <v>5060</v>
      </c>
      <c r="D156" s="200">
        <v>16.62</v>
      </c>
      <c r="E156" s="40">
        <v>14.04</v>
      </c>
      <c r="F156" s="40">
        <f t="shared" si="13"/>
        <v>-13054.80000000001</v>
      </c>
      <c r="G156" s="40">
        <f t="shared" si="16"/>
        <v>84097.200000000012</v>
      </c>
      <c r="H156" s="232">
        <f t="shared" si="17"/>
        <v>-0.15523465703971129</v>
      </c>
      <c r="I156" s="40"/>
    </row>
    <row r="157" spans="2:9" x14ac:dyDescent="0.25">
      <c r="B157" s="193">
        <v>42349</v>
      </c>
      <c r="C157" s="10">
        <v>6000</v>
      </c>
      <c r="D157" s="200">
        <v>16.22</v>
      </c>
      <c r="E157" s="40">
        <v>14.04</v>
      </c>
      <c r="F157" s="40">
        <f t="shared" si="13"/>
        <v>-13079.999999999998</v>
      </c>
      <c r="G157" s="40">
        <f t="shared" si="16"/>
        <v>97320</v>
      </c>
      <c r="H157" s="232">
        <f t="shared" si="17"/>
        <v>-0.13440197287299629</v>
      </c>
      <c r="I157" s="40"/>
    </row>
    <row r="158" spans="2:9" x14ac:dyDescent="0.25">
      <c r="B158" s="193">
        <v>42349</v>
      </c>
      <c r="C158" s="10">
        <v>6200</v>
      </c>
      <c r="D158" s="200">
        <v>16.14</v>
      </c>
      <c r="E158" s="40">
        <v>14.04</v>
      </c>
      <c r="F158" s="40">
        <f t="shared" si="13"/>
        <v>-13020.000000000009</v>
      </c>
      <c r="G158" s="40">
        <f t="shared" si="16"/>
        <v>100068</v>
      </c>
      <c r="H158" s="232">
        <f t="shared" si="17"/>
        <v>-0.13011152416356886</v>
      </c>
      <c r="I158" s="40"/>
    </row>
    <row r="159" spans="2:9" x14ac:dyDescent="0.25">
      <c r="B159" s="193">
        <v>42349</v>
      </c>
      <c r="C159" s="10">
        <v>5721</v>
      </c>
      <c r="D159" s="200">
        <v>16.32</v>
      </c>
      <c r="E159" s="40">
        <v>14.04</v>
      </c>
      <c r="F159" s="40">
        <f t="shared" si="13"/>
        <v>-13043.880000000006</v>
      </c>
      <c r="G159" s="40">
        <f t="shared" si="16"/>
        <v>93366.720000000001</v>
      </c>
      <c r="H159" s="232">
        <f t="shared" si="17"/>
        <v>-0.13970588235294124</v>
      </c>
      <c r="I159" s="40"/>
    </row>
    <row r="160" spans="2:9" x14ac:dyDescent="0.25">
      <c r="B160" s="193">
        <v>42349</v>
      </c>
      <c r="C160" s="10">
        <v>5060</v>
      </c>
      <c r="D160" s="200">
        <v>16.6143</v>
      </c>
      <c r="E160" s="40">
        <v>14.04</v>
      </c>
      <c r="F160" s="40">
        <f t="shared" si="13"/>
        <v>-13025.958000000004</v>
      </c>
      <c r="G160" s="40">
        <f t="shared" si="16"/>
        <v>84068.358000000007</v>
      </c>
      <c r="H160" s="232">
        <f t="shared" si="17"/>
        <v>-0.15494483667683867</v>
      </c>
      <c r="I160" s="40"/>
    </row>
    <row r="161" spans="2:9" x14ac:dyDescent="0.25">
      <c r="B161" s="193">
        <v>42356</v>
      </c>
      <c r="C161" s="10">
        <v>5060</v>
      </c>
      <c r="D161" s="200">
        <v>16.596900000000002</v>
      </c>
      <c r="E161" s="40">
        <v>14.32</v>
      </c>
      <c r="F161" s="40">
        <f t="shared" si="13"/>
        <v>-11521.114000000007</v>
      </c>
      <c r="G161" s="40">
        <f t="shared" si="16"/>
        <v>83980.314000000013</v>
      </c>
      <c r="H161" s="232">
        <f t="shared" si="17"/>
        <v>-0.13718827009863294</v>
      </c>
      <c r="I161" s="40"/>
    </row>
    <row r="162" spans="2:9" x14ac:dyDescent="0.25">
      <c r="B162" s="193">
        <v>42356</v>
      </c>
      <c r="C162" s="10">
        <v>7000</v>
      </c>
      <c r="D162" s="200">
        <v>15.97</v>
      </c>
      <c r="E162" s="40">
        <v>14.34</v>
      </c>
      <c r="F162" s="40">
        <f t="shared" si="13"/>
        <v>-11410.000000000005</v>
      </c>
      <c r="G162" s="40">
        <f t="shared" si="16"/>
        <v>111790</v>
      </c>
      <c r="H162" s="232">
        <f t="shared" si="17"/>
        <v>-0.10206637445209772</v>
      </c>
      <c r="I162" s="40"/>
    </row>
    <row r="163" spans="2:9" x14ac:dyDescent="0.25">
      <c r="B163" s="193">
        <v>42356</v>
      </c>
      <c r="C163" s="10">
        <v>6000</v>
      </c>
      <c r="D163" s="200">
        <v>16.23</v>
      </c>
      <c r="E163" s="40">
        <v>14.36</v>
      </c>
      <c r="F163" s="40">
        <f t="shared" si="13"/>
        <v>-11220.000000000005</v>
      </c>
      <c r="G163" s="40">
        <f t="shared" si="16"/>
        <v>97380</v>
      </c>
      <c r="H163" s="232">
        <f t="shared" si="17"/>
        <v>-0.11521873074553302</v>
      </c>
      <c r="I163" s="40"/>
    </row>
    <row r="164" spans="2:9" x14ac:dyDescent="0.25">
      <c r="B164" s="193">
        <v>42357</v>
      </c>
      <c r="C164" s="10">
        <v>5500</v>
      </c>
      <c r="D164" s="200">
        <v>16.398399999999999</v>
      </c>
      <c r="E164" s="40">
        <v>14.36</v>
      </c>
      <c r="F164" s="40">
        <f t="shared" si="13"/>
        <v>-11211.199999999997</v>
      </c>
      <c r="G164" s="40">
        <f t="shared" si="16"/>
        <v>90191.2</v>
      </c>
      <c r="H164" s="232">
        <f t="shared" si="17"/>
        <v>-0.12430481022538781</v>
      </c>
      <c r="I164" s="40"/>
    </row>
    <row r="165" spans="2:9" x14ac:dyDescent="0.25">
      <c r="B165" s="193">
        <v>42359</v>
      </c>
      <c r="C165" s="10">
        <v>5060</v>
      </c>
      <c r="D165" s="200">
        <v>16.55</v>
      </c>
      <c r="E165" s="40">
        <v>14.64</v>
      </c>
      <c r="F165" s="40">
        <f t="shared" si="13"/>
        <v>-9664.6</v>
      </c>
      <c r="G165" s="40">
        <f t="shared" si="16"/>
        <v>83743</v>
      </c>
      <c r="H165" s="232">
        <f t="shared" si="17"/>
        <v>-0.11540785498489427</v>
      </c>
      <c r="I165" s="40"/>
    </row>
    <row r="166" spans="2:9" x14ac:dyDescent="0.25">
      <c r="B166" s="193">
        <v>42361</v>
      </c>
      <c r="C166" s="10">
        <v>5060</v>
      </c>
      <c r="D166" s="200">
        <v>16.5456</v>
      </c>
      <c r="E166" s="40">
        <v>14.61</v>
      </c>
      <c r="F166" s="40">
        <f t="shared" si="13"/>
        <v>-9794.1360000000041</v>
      </c>
      <c r="G166" s="40">
        <f t="shared" si="16"/>
        <v>83720.736000000004</v>
      </c>
      <c r="H166" s="232">
        <f t="shared" si="17"/>
        <v>-0.11698578474035398</v>
      </c>
      <c r="I166" s="40"/>
    </row>
    <row r="167" spans="2:9" x14ac:dyDescent="0.25">
      <c r="B167" s="193">
        <v>42377</v>
      </c>
      <c r="C167" s="10">
        <v>5260</v>
      </c>
      <c r="D167" s="200">
        <v>16.424099999999999</v>
      </c>
      <c r="E167" s="40">
        <v>13.33</v>
      </c>
      <c r="F167" s="40">
        <f t="shared" si="13"/>
        <v>-16274.965999999995</v>
      </c>
      <c r="G167" s="40">
        <f t="shared" si="16"/>
        <v>86390.766000000003</v>
      </c>
      <c r="H167" s="232">
        <f t="shared" si="17"/>
        <v>-0.18838779598273264</v>
      </c>
      <c r="I167" s="40"/>
    </row>
    <row r="168" spans="2:9" x14ac:dyDescent="0.25">
      <c r="B168" s="193">
        <v>42398</v>
      </c>
      <c r="C168" s="10">
        <v>5000</v>
      </c>
      <c r="D168" s="200">
        <v>16.72</v>
      </c>
      <c r="E168" s="40">
        <v>10.74</v>
      </c>
      <c r="F168" s="40">
        <f t="shared" si="13"/>
        <v>-29899.999999999993</v>
      </c>
      <c r="G168" s="40">
        <f t="shared" si="16"/>
        <v>83600</v>
      </c>
      <c r="H168" s="232">
        <f t="shared" si="17"/>
        <v>-0.35765550239234445</v>
      </c>
      <c r="I168" s="40"/>
    </row>
    <row r="169" spans="2:9" x14ac:dyDescent="0.25">
      <c r="B169" s="193">
        <v>42401</v>
      </c>
      <c r="C169" s="10">
        <v>5260</v>
      </c>
      <c r="D169" s="200">
        <v>16.419699999999999</v>
      </c>
      <c r="E169" s="40">
        <v>10.96</v>
      </c>
      <c r="F169" s="40">
        <f t="shared" si="13"/>
        <v>-28718.02199999999</v>
      </c>
      <c r="G169" s="40">
        <f t="shared" si="16"/>
        <v>86367.621999999988</v>
      </c>
      <c r="H169" s="232">
        <f t="shared" si="17"/>
        <v>-0.33250912014226802</v>
      </c>
      <c r="I169" s="40"/>
    </row>
    <row r="170" spans="2:9" x14ac:dyDescent="0.25">
      <c r="B170" s="193">
        <v>42416</v>
      </c>
      <c r="C170" s="10">
        <v>4760</v>
      </c>
      <c r="D170" s="200">
        <v>17.02</v>
      </c>
      <c r="E170" s="40">
        <v>10.65</v>
      </c>
      <c r="F170" s="40">
        <f t="shared" si="13"/>
        <v>-30321.199999999997</v>
      </c>
      <c r="G170" s="40">
        <f t="shared" si="16"/>
        <v>81015.199999999997</v>
      </c>
      <c r="H170" s="232">
        <f t="shared" si="17"/>
        <v>-0.37426556991774379</v>
      </c>
      <c r="I170" s="40"/>
    </row>
    <row r="171" spans="2:9" x14ac:dyDescent="0.25">
      <c r="B171" s="193">
        <v>42416</v>
      </c>
      <c r="C171" s="10">
        <v>4000</v>
      </c>
      <c r="D171" s="200">
        <v>18.1967</v>
      </c>
      <c r="E171" s="40">
        <v>10.744999999999999</v>
      </c>
      <c r="F171" s="40">
        <f t="shared" si="13"/>
        <v>-29806.800000000003</v>
      </c>
      <c r="G171" s="40">
        <f t="shared" si="16"/>
        <v>72786.8</v>
      </c>
      <c r="H171" s="232">
        <f t="shared" si="17"/>
        <v>-0.40950831744217364</v>
      </c>
      <c r="I171" s="40"/>
    </row>
    <row r="172" spans="2:9" x14ac:dyDescent="0.25">
      <c r="B172" s="193">
        <v>42418</v>
      </c>
      <c r="C172" s="10">
        <v>3600</v>
      </c>
      <c r="D172" s="200">
        <v>18.931999999999999</v>
      </c>
      <c r="E172" s="40">
        <v>10.81</v>
      </c>
      <c r="F172" s="40">
        <f t="shared" si="13"/>
        <v>-29239.199999999993</v>
      </c>
      <c r="G172" s="40">
        <f t="shared" si="16"/>
        <v>68155.199999999997</v>
      </c>
      <c r="H172" s="232">
        <f t="shared" si="17"/>
        <v>-0.42900908514684127</v>
      </c>
      <c r="I172" s="40"/>
    </row>
    <row r="173" spans="2:9" x14ac:dyDescent="0.25">
      <c r="B173" s="193">
        <v>42423</v>
      </c>
      <c r="C173" s="10">
        <v>5260</v>
      </c>
      <c r="D173" s="200">
        <v>16.356200000000001</v>
      </c>
      <c r="E173" s="40">
        <v>10.49</v>
      </c>
      <c r="F173" s="40">
        <f t="shared" si="13"/>
        <v>-30856.212000000007</v>
      </c>
      <c r="G173" s="40">
        <f t="shared" si="16"/>
        <v>86033.612000000008</v>
      </c>
      <c r="H173" s="232">
        <f t="shared" si="17"/>
        <v>-0.35865298785781541</v>
      </c>
      <c r="I173" s="40"/>
    </row>
    <row r="174" spans="2:9" x14ac:dyDescent="0.25">
      <c r="B174" s="193">
        <v>42431</v>
      </c>
      <c r="C174" s="10">
        <v>4760</v>
      </c>
      <c r="D174" s="200">
        <v>16.858899999999998</v>
      </c>
      <c r="E174" s="40">
        <v>11.68</v>
      </c>
      <c r="F174" s="40">
        <f t="shared" si="13"/>
        <v>-24651.563999999995</v>
      </c>
      <c r="G174" s="40">
        <f t="shared" si="16"/>
        <v>80248.363999999987</v>
      </c>
      <c r="H174" s="232">
        <f t="shared" si="17"/>
        <v>-0.30719086061368173</v>
      </c>
      <c r="I174" s="40"/>
    </row>
    <row r="175" spans="2:9" x14ac:dyDescent="0.25">
      <c r="B175" s="193">
        <v>42436</v>
      </c>
      <c r="C175" s="10">
        <v>5290</v>
      </c>
      <c r="D175" s="200">
        <v>16.258900000000001</v>
      </c>
      <c r="E175" s="40">
        <v>11.58</v>
      </c>
      <c r="F175" s="40">
        <f t="shared" si="13"/>
        <v>-24751.381000000001</v>
      </c>
      <c r="G175" s="40">
        <f t="shared" si="16"/>
        <v>86009.581000000006</v>
      </c>
      <c r="H175" s="232">
        <f t="shared" si="17"/>
        <v>-0.28777469570512154</v>
      </c>
      <c r="I175" s="40"/>
    </row>
    <row r="176" spans="2:9" x14ac:dyDescent="0.25">
      <c r="B176" s="193">
        <v>42444</v>
      </c>
      <c r="C176" s="10">
        <v>5290</v>
      </c>
      <c r="D176" s="200">
        <v>16.259</v>
      </c>
      <c r="E176" s="40">
        <v>10.85</v>
      </c>
      <c r="F176" s="40">
        <f t="shared" si="13"/>
        <v>-28613.610000000004</v>
      </c>
      <c r="G176" s="40">
        <f t="shared" si="16"/>
        <v>86010.11</v>
      </c>
      <c r="H176" s="232">
        <f t="shared" si="17"/>
        <v>-0.33267728642597949</v>
      </c>
      <c r="I176" s="40"/>
    </row>
    <row r="177" spans="2:17" x14ac:dyDescent="0.25">
      <c r="B177" s="193">
        <v>42446</v>
      </c>
      <c r="C177" s="10">
        <v>5295</v>
      </c>
      <c r="D177" s="200">
        <v>16.2348</v>
      </c>
      <c r="E177" s="40">
        <v>10.87</v>
      </c>
      <c r="F177" s="40">
        <f t="shared" ref="F177:F215" si="18">-C177*(D177-E177)</f>
        <v>-28406.616000000002</v>
      </c>
      <c r="G177" s="40">
        <f t="shared" ref="G177:G215" si="19">IF(C177=0, 0,D177*C177)</f>
        <v>85963.266000000003</v>
      </c>
      <c r="H177" s="232">
        <f t="shared" ref="H177:H215" si="20">IF(C177=0, D177, (E177-D177)/D177)</f>
        <v>-0.33045063690344201</v>
      </c>
      <c r="I177" s="40"/>
    </row>
    <row r="178" spans="2:17" x14ac:dyDescent="0.25">
      <c r="B178" s="193">
        <v>42447</v>
      </c>
      <c r="C178" s="10">
        <v>5300</v>
      </c>
      <c r="D178" s="200">
        <v>16.211200000000002</v>
      </c>
      <c r="E178" s="40">
        <v>11.07</v>
      </c>
      <c r="F178" s="40">
        <f t="shared" si="18"/>
        <v>-27248.360000000008</v>
      </c>
      <c r="G178" s="40">
        <f t="shared" si="19"/>
        <v>85919.360000000015</v>
      </c>
      <c r="H178" s="232">
        <f t="shared" si="20"/>
        <v>-0.31713876825898152</v>
      </c>
      <c r="I178" s="40"/>
    </row>
    <row r="179" spans="2:17" x14ac:dyDescent="0.25">
      <c r="B179" s="193">
        <v>42447</v>
      </c>
      <c r="C179" s="10">
        <v>5155</v>
      </c>
      <c r="D179" s="200">
        <v>16.352699999999999</v>
      </c>
      <c r="E179" s="40">
        <v>11.14</v>
      </c>
      <c r="F179" s="40">
        <f t="shared" si="18"/>
        <v>-26871.468499999992</v>
      </c>
      <c r="G179" s="40">
        <f t="shared" si="19"/>
        <v>84298.1685</v>
      </c>
      <c r="H179" s="232">
        <f t="shared" si="20"/>
        <v>-0.31876693145474438</v>
      </c>
      <c r="I179" s="40"/>
    </row>
    <row r="180" spans="2:17" x14ac:dyDescent="0.25">
      <c r="B180" s="193">
        <v>42450</v>
      </c>
      <c r="C180" s="10">
        <v>3955</v>
      </c>
      <c r="D180" s="200">
        <v>17.7959</v>
      </c>
      <c r="E180" s="40">
        <v>11.54</v>
      </c>
      <c r="F180" s="40">
        <f t="shared" si="18"/>
        <v>-24742.084500000001</v>
      </c>
      <c r="G180" s="40">
        <f t="shared" si="19"/>
        <v>70382.784499999994</v>
      </c>
      <c r="H180" s="232">
        <f t="shared" si="20"/>
        <v>-0.3515360279614968</v>
      </c>
      <c r="I180" s="40"/>
    </row>
    <row r="181" spans="2:17" x14ac:dyDescent="0.25">
      <c r="B181" s="193">
        <v>42451</v>
      </c>
      <c r="C181" s="10">
        <v>5260</v>
      </c>
      <c r="D181" s="200">
        <v>16.2089</v>
      </c>
      <c r="E181" s="40">
        <v>11.44</v>
      </c>
      <c r="F181" s="40">
        <f t="shared" si="18"/>
        <v>-25084.414000000001</v>
      </c>
      <c r="G181" s="40">
        <f t="shared" si="19"/>
        <v>85258.813999999998</v>
      </c>
      <c r="H181" s="232">
        <f t="shared" si="20"/>
        <v>-0.29421490662537253</v>
      </c>
      <c r="I181" s="357"/>
    </row>
    <row r="182" spans="2:17" x14ac:dyDescent="0.25">
      <c r="B182" s="193">
        <v>42451</v>
      </c>
      <c r="C182" s="10">
        <v>5360</v>
      </c>
      <c r="D182" s="200">
        <v>16.1083</v>
      </c>
      <c r="E182" s="40">
        <v>10.65</v>
      </c>
      <c r="F182" s="40">
        <f t="shared" si="18"/>
        <v>-29256.487999999998</v>
      </c>
      <c r="G182" s="40">
        <f t="shared" si="19"/>
        <v>86340.487999999998</v>
      </c>
      <c r="H182" s="232">
        <f t="shared" si="20"/>
        <v>-0.33885015799308427</v>
      </c>
      <c r="I182" s="357"/>
    </row>
    <row r="183" spans="2:17" x14ac:dyDescent="0.25">
      <c r="B183" s="193">
        <v>42461</v>
      </c>
      <c r="C183" s="10">
        <v>5260</v>
      </c>
      <c r="D183" s="200">
        <v>16.207000000000001</v>
      </c>
      <c r="E183" s="40">
        <v>10.92</v>
      </c>
      <c r="F183" s="40">
        <f t="shared" si="18"/>
        <v>-27809.620000000003</v>
      </c>
      <c r="G183" s="40">
        <f t="shared" si="19"/>
        <v>85248.82</v>
      </c>
      <c r="H183" s="232">
        <f t="shared" si="20"/>
        <v>-0.32621706669957429</v>
      </c>
      <c r="I183" s="40"/>
    </row>
    <row r="184" spans="2:17" x14ac:dyDescent="0.25">
      <c r="B184" s="193">
        <v>42465</v>
      </c>
      <c r="C184" s="10">
        <v>5260</v>
      </c>
      <c r="D184" s="200">
        <v>16.207000000000001</v>
      </c>
      <c r="E184" s="40">
        <v>10.4</v>
      </c>
      <c r="F184" s="40">
        <f t="shared" si="18"/>
        <v>-30544.820000000003</v>
      </c>
      <c r="G184" s="40">
        <f t="shared" si="19"/>
        <v>85248.82</v>
      </c>
      <c r="H184" s="232">
        <f t="shared" si="20"/>
        <v>-0.3583019682853088</v>
      </c>
      <c r="I184" s="40"/>
    </row>
    <row r="185" spans="2:17" x14ac:dyDescent="0.25">
      <c r="B185" s="193">
        <v>42467</v>
      </c>
      <c r="C185" s="10">
        <v>5760</v>
      </c>
      <c r="D185" s="200">
        <v>15.703799999999999</v>
      </c>
      <c r="E185" s="40">
        <v>10.4</v>
      </c>
      <c r="F185" s="40">
        <f t="shared" si="18"/>
        <v>-30549.887999999995</v>
      </c>
      <c r="G185" s="40">
        <f t="shared" si="19"/>
        <v>90453.887999999992</v>
      </c>
      <c r="H185" s="232">
        <f t="shared" si="20"/>
        <v>-0.33773991008545695</v>
      </c>
      <c r="I185" s="40"/>
    </row>
    <row r="186" spans="2:17" x14ac:dyDescent="0.25">
      <c r="B186" s="193">
        <v>42468</v>
      </c>
      <c r="C186" s="10">
        <v>5260</v>
      </c>
      <c r="D186" s="200">
        <v>16.167100000000001</v>
      </c>
      <c r="E186" s="40">
        <v>10.76</v>
      </c>
      <c r="F186" s="40">
        <f t="shared" si="18"/>
        <v>-28441.346000000009</v>
      </c>
      <c r="G186" s="40">
        <f t="shared" si="19"/>
        <v>85038.946000000011</v>
      </c>
      <c r="H186" s="232">
        <f t="shared" si="20"/>
        <v>-0.33445082915303309</v>
      </c>
      <c r="I186" s="357" t="s">
        <v>202</v>
      </c>
    </row>
    <row r="187" spans="2:17" x14ac:dyDescent="0.25">
      <c r="B187" s="193">
        <v>42472</v>
      </c>
      <c r="C187" s="10">
        <v>5860</v>
      </c>
      <c r="D187" s="200">
        <v>15.567399999999999</v>
      </c>
      <c r="E187" s="40">
        <v>10.17</v>
      </c>
      <c r="F187" s="40">
        <f t="shared" si="18"/>
        <v>-31628.763999999996</v>
      </c>
      <c r="G187" s="40">
        <f t="shared" si="19"/>
        <v>91224.963999999993</v>
      </c>
      <c r="H187" s="232">
        <f t="shared" si="20"/>
        <v>-0.34671171807752094</v>
      </c>
      <c r="I187" s="40"/>
    </row>
    <row r="188" spans="2:17" x14ac:dyDescent="0.25">
      <c r="B188" s="193">
        <v>42473</v>
      </c>
      <c r="C188" s="10">
        <v>5260</v>
      </c>
      <c r="D188" s="200">
        <v>16.1158</v>
      </c>
      <c r="E188" s="40">
        <v>10.88</v>
      </c>
      <c r="F188" s="40">
        <f t="shared" si="18"/>
        <v>-27540.307999999997</v>
      </c>
      <c r="G188" s="40">
        <f t="shared" si="19"/>
        <v>84769.108000000007</v>
      </c>
      <c r="H188" s="232">
        <f t="shared" si="20"/>
        <v>-0.32488613658645549</v>
      </c>
      <c r="I188" s="40"/>
    </row>
    <row r="189" spans="2:17" x14ac:dyDescent="0.25">
      <c r="B189" s="193">
        <v>42484</v>
      </c>
      <c r="C189" s="10">
        <v>5260</v>
      </c>
      <c r="D189" s="200">
        <v>16.1158</v>
      </c>
      <c r="E189" s="40">
        <v>10.66</v>
      </c>
      <c r="F189" s="40">
        <f t="shared" si="18"/>
        <v>-28697.508000000002</v>
      </c>
      <c r="G189" s="40">
        <f t="shared" si="19"/>
        <v>84769.108000000007</v>
      </c>
      <c r="H189" s="232">
        <f t="shared" si="20"/>
        <v>-0.33853733603047942</v>
      </c>
      <c r="I189" s="40"/>
    </row>
    <row r="190" spans="2:17" x14ac:dyDescent="0.25">
      <c r="B190" s="193">
        <v>42486</v>
      </c>
      <c r="C190" s="10">
        <v>4260</v>
      </c>
      <c r="D190" s="200">
        <v>17.2287</v>
      </c>
      <c r="E190" s="40">
        <v>11.51</v>
      </c>
      <c r="F190" s="40">
        <f t="shared" si="18"/>
        <v>-24361.662</v>
      </c>
      <c r="G190" s="40">
        <f t="shared" si="19"/>
        <v>73394.262000000002</v>
      </c>
      <c r="H190" s="232">
        <f t="shared" si="20"/>
        <v>-0.33192870036624933</v>
      </c>
      <c r="I190" s="40"/>
    </row>
    <row r="191" spans="2:17" x14ac:dyDescent="0.25">
      <c r="B191" s="193">
        <v>42487</v>
      </c>
      <c r="C191" s="10">
        <v>5260</v>
      </c>
      <c r="D191" s="200">
        <v>16.099699999999999</v>
      </c>
      <c r="E191" s="40">
        <v>11.56</v>
      </c>
      <c r="F191" s="40">
        <f t="shared" si="18"/>
        <v>-23878.821999999989</v>
      </c>
      <c r="G191" s="40">
        <f t="shared" si="19"/>
        <v>84684.421999999991</v>
      </c>
      <c r="H191" s="232">
        <f t="shared" si="20"/>
        <v>-0.28197419827698644</v>
      </c>
      <c r="I191" s="40"/>
      <c r="O191" s="4"/>
      <c r="P191" s="240"/>
      <c r="Q191" s="4"/>
    </row>
    <row r="192" spans="2:17" x14ac:dyDescent="0.25">
      <c r="B192" s="193">
        <v>42488</v>
      </c>
      <c r="C192" s="10">
        <v>5260</v>
      </c>
      <c r="D192" s="200">
        <v>16.078399999999998</v>
      </c>
      <c r="E192" s="40">
        <v>11.62</v>
      </c>
      <c r="F192" s="40">
        <f t="shared" si="18"/>
        <v>-23451.183999999997</v>
      </c>
      <c r="G192" s="40">
        <f t="shared" si="19"/>
        <v>84572.383999999991</v>
      </c>
      <c r="H192" s="232">
        <f t="shared" si="20"/>
        <v>-0.27729127276345905</v>
      </c>
      <c r="I192" s="40"/>
      <c r="O192" s="4"/>
      <c r="P192" s="4"/>
      <c r="Q192" s="4"/>
    </row>
    <row r="193" spans="2:17" x14ac:dyDescent="0.25">
      <c r="B193" s="193">
        <v>42489</v>
      </c>
      <c r="C193" s="10">
        <v>5500</v>
      </c>
      <c r="D193" s="200">
        <v>15.848599999999999</v>
      </c>
      <c r="E193" s="40">
        <v>10.75</v>
      </c>
      <c r="F193" s="40">
        <f t="shared" si="18"/>
        <v>-28042.299999999996</v>
      </c>
      <c r="G193" s="40">
        <f t="shared" si="19"/>
        <v>87167.3</v>
      </c>
      <c r="H193" s="232">
        <f t="shared" si="20"/>
        <v>-0.32170664916774983</v>
      </c>
      <c r="I193" s="40"/>
      <c r="O193" s="4"/>
      <c r="P193" s="4"/>
      <c r="Q193" s="4"/>
    </row>
    <row r="194" spans="2:17" x14ac:dyDescent="0.25">
      <c r="B194" s="193">
        <v>42494</v>
      </c>
      <c r="C194" s="10">
        <v>6500</v>
      </c>
      <c r="D194" s="200">
        <v>14.9526</v>
      </c>
      <c r="E194" s="40">
        <v>10</v>
      </c>
      <c r="F194" s="40">
        <f t="shared" si="18"/>
        <v>-32191.9</v>
      </c>
      <c r="G194" s="40">
        <f t="shared" si="19"/>
        <v>97191.900000000009</v>
      </c>
      <c r="H194" s="232">
        <f t="shared" si="20"/>
        <v>-0.33121998849698381</v>
      </c>
      <c r="I194" s="40"/>
    </row>
    <row r="195" spans="2:17" x14ac:dyDescent="0.25">
      <c r="B195" s="193">
        <v>42495</v>
      </c>
      <c r="C195" s="10">
        <v>5500</v>
      </c>
      <c r="D195" s="200">
        <v>15.7966</v>
      </c>
      <c r="E195" s="40">
        <v>10.06</v>
      </c>
      <c r="F195" s="40">
        <f t="shared" si="18"/>
        <v>-31551.299999999996</v>
      </c>
      <c r="G195" s="40">
        <f t="shared" si="19"/>
        <v>86881.3</v>
      </c>
      <c r="H195" s="232">
        <f t="shared" si="20"/>
        <v>-0.363154096451135</v>
      </c>
      <c r="I195" s="40"/>
    </row>
    <row r="196" spans="2:17" x14ac:dyDescent="0.25">
      <c r="B196" s="193">
        <v>42502</v>
      </c>
      <c r="C196" s="10">
        <v>8500</v>
      </c>
      <c r="D196" s="200">
        <v>13.6378</v>
      </c>
      <c r="E196" s="40">
        <v>9.6199999999999992</v>
      </c>
      <c r="F196" s="40">
        <f t="shared" si="18"/>
        <v>-34151.30000000001</v>
      </c>
      <c r="G196" s="40">
        <f t="shared" si="19"/>
        <v>115921.3</v>
      </c>
      <c r="H196" s="232">
        <f t="shared" si="20"/>
        <v>-0.2946076346624823</v>
      </c>
      <c r="I196" s="40"/>
    </row>
    <row r="197" spans="2:17" x14ac:dyDescent="0.25">
      <c r="B197" s="193">
        <v>42503</v>
      </c>
      <c r="C197" s="10">
        <v>5500</v>
      </c>
      <c r="D197" s="200">
        <v>15.754899999999999</v>
      </c>
      <c r="E197" s="40">
        <v>9.58</v>
      </c>
      <c r="F197" s="40">
        <f t="shared" si="18"/>
        <v>-33961.949999999997</v>
      </c>
      <c r="G197" s="40">
        <f t="shared" si="19"/>
        <v>86651.95</v>
      </c>
      <c r="H197" s="232">
        <f t="shared" si="20"/>
        <v>-0.39193520745926663</v>
      </c>
      <c r="I197" s="40"/>
    </row>
    <row r="198" spans="2:17" x14ac:dyDescent="0.25">
      <c r="B198" s="193">
        <v>42510</v>
      </c>
      <c r="C198" s="469">
        <v>5000</v>
      </c>
      <c r="D198" s="470">
        <v>16.255400000000002</v>
      </c>
      <c r="E198" s="40">
        <v>10.8</v>
      </c>
      <c r="F198" s="40">
        <f t="shared" si="18"/>
        <v>-27277.000000000004</v>
      </c>
      <c r="G198" s="40">
        <f t="shared" si="19"/>
        <v>81277.000000000015</v>
      </c>
      <c r="H198" s="232">
        <f t="shared" si="20"/>
        <v>-0.33560539882131479</v>
      </c>
      <c r="I198" s="40"/>
    </row>
    <row r="199" spans="2:17" x14ac:dyDescent="0.25">
      <c r="B199" s="193">
        <v>42514</v>
      </c>
      <c r="C199" s="10">
        <v>4500</v>
      </c>
      <c r="D199" s="200">
        <v>16.752199999999998</v>
      </c>
      <c r="E199" s="40">
        <v>11.49</v>
      </c>
      <c r="F199" s="40">
        <f t="shared" si="18"/>
        <v>-23679.899999999991</v>
      </c>
      <c r="G199" s="40">
        <f t="shared" si="19"/>
        <v>75384.899999999994</v>
      </c>
      <c r="H199" s="232">
        <f t="shared" si="20"/>
        <v>-0.31411993648595399</v>
      </c>
      <c r="I199" s="40"/>
    </row>
    <row r="200" spans="2:17" x14ac:dyDescent="0.25">
      <c r="B200" s="193">
        <v>42515</v>
      </c>
      <c r="C200" s="10">
        <v>4500</v>
      </c>
      <c r="D200" s="200">
        <v>16.746700000000001</v>
      </c>
      <c r="E200" s="40">
        <v>11.6</v>
      </c>
      <c r="F200" s="40">
        <f t="shared" si="18"/>
        <v>-23160.150000000005</v>
      </c>
      <c r="G200" s="40">
        <f t="shared" si="19"/>
        <v>75360.150000000009</v>
      </c>
      <c r="H200" s="232">
        <f t="shared" si="20"/>
        <v>-0.30732621949398992</v>
      </c>
      <c r="I200" s="40"/>
    </row>
    <row r="201" spans="2:17" x14ac:dyDescent="0.25">
      <c r="B201" s="193">
        <v>42516</v>
      </c>
      <c r="C201" s="10">
        <v>4000</v>
      </c>
      <c r="D201" s="200">
        <v>17.344999999999999</v>
      </c>
      <c r="E201" s="40">
        <v>11.95</v>
      </c>
      <c r="F201" s="40">
        <f t="shared" si="18"/>
        <v>-21580</v>
      </c>
      <c r="G201" s="40">
        <f t="shared" si="19"/>
        <v>69380</v>
      </c>
      <c r="H201" s="232">
        <f t="shared" si="20"/>
        <v>-0.31104064571922746</v>
      </c>
      <c r="I201" s="40"/>
    </row>
    <row r="202" spans="2:17" x14ac:dyDescent="0.25">
      <c r="B202" s="193">
        <v>42517</v>
      </c>
      <c r="C202" s="7">
        <v>4000</v>
      </c>
      <c r="D202" s="79">
        <v>17.322700000000001</v>
      </c>
      <c r="E202" s="40">
        <v>12.31</v>
      </c>
      <c r="F202" s="40">
        <f t="shared" si="18"/>
        <v>-20050.800000000003</v>
      </c>
      <c r="G202" s="40">
        <f t="shared" si="19"/>
        <v>69290.8</v>
      </c>
      <c r="H202" s="232">
        <f t="shared" si="20"/>
        <v>-0.28937174920768705</v>
      </c>
      <c r="I202" s="40"/>
    </row>
    <row r="203" spans="2:17" x14ac:dyDescent="0.25">
      <c r="B203" s="193">
        <v>42522</v>
      </c>
      <c r="C203" s="10">
        <v>3375</v>
      </c>
      <c r="D203" s="200">
        <v>18.078900000000001</v>
      </c>
      <c r="E203" s="40">
        <v>13.09</v>
      </c>
      <c r="F203" s="40">
        <f t="shared" si="18"/>
        <v>-16837.537500000002</v>
      </c>
      <c r="G203" s="40">
        <f t="shared" si="19"/>
        <v>61016.287500000006</v>
      </c>
      <c r="H203" s="232">
        <f t="shared" si="20"/>
        <v>-0.27595152359933406</v>
      </c>
      <c r="I203" s="40"/>
    </row>
    <row r="204" spans="2:17" x14ac:dyDescent="0.25">
      <c r="B204" s="193">
        <v>42524</v>
      </c>
      <c r="C204" s="10">
        <v>4000</v>
      </c>
      <c r="D204" s="200">
        <v>17.229099999999999</v>
      </c>
      <c r="E204" s="40">
        <v>12.86</v>
      </c>
      <c r="F204" s="40">
        <f t="shared" si="18"/>
        <v>-17476.399999999998</v>
      </c>
      <c r="G204" s="40">
        <f t="shared" si="19"/>
        <v>68916.399999999994</v>
      </c>
      <c r="H204" s="232">
        <f t="shared" si="20"/>
        <v>-0.25358840566251284</v>
      </c>
      <c r="I204" s="40"/>
    </row>
    <row r="205" spans="2:17" x14ac:dyDescent="0.25">
      <c r="B205" s="193">
        <v>42530</v>
      </c>
      <c r="C205" s="7">
        <v>4000</v>
      </c>
      <c r="D205" s="79">
        <v>17.184100000000001</v>
      </c>
      <c r="E205" s="40">
        <v>12.51</v>
      </c>
      <c r="F205" s="40">
        <f t="shared" si="18"/>
        <v>-18696.400000000005</v>
      </c>
      <c r="G205" s="40">
        <f t="shared" si="19"/>
        <v>68736.400000000009</v>
      </c>
      <c r="H205" s="232">
        <f t="shared" si="20"/>
        <v>-0.27200144319458108</v>
      </c>
      <c r="I205" s="40"/>
    </row>
    <row r="206" spans="2:17" x14ac:dyDescent="0.25">
      <c r="B206" s="193">
        <v>42532</v>
      </c>
      <c r="C206" s="10">
        <v>4760</v>
      </c>
      <c r="D206" s="200">
        <v>16.386800000000001</v>
      </c>
      <c r="E206" s="40">
        <v>12.14</v>
      </c>
      <c r="F206" s="40">
        <f t="shared" si="18"/>
        <v>-20214.768</v>
      </c>
      <c r="G206" s="40">
        <f t="shared" si="19"/>
        <v>78001.168000000005</v>
      </c>
      <c r="H206" s="232">
        <f t="shared" si="20"/>
        <v>-0.25915981155564233</v>
      </c>
      <c r="I206" s="40"/>
    </row>
    <row r="207" spans="2:17" x14ac:dyDescent="0.25">
      <c r="B207" s="193">
        <v>42535</v>
      </c>
      <c r="C207" s="10">
        <v>4760</v>
      </c>
      <c r="D207" s="200">
        <v>16.387</v>
      </c>
      <c r="E207" s="40">
        <v>11.92</v>
      </c>
      <c r="F207" s="40">
        <f t="shared" si="18"/>
        <v>-21262.920000000002</v>
      </c>
      <c r="G207" s="40">
        <f t="shared" si="19"/>
        <v>78002.12</v>
      </c>
      <c r="H207" s="232">
        <f t="shared" si="20"/>
        <v>-0.27259412949289075</v>
      </c>
      <c r="I207" s="40"/>
    </row>
    <row r="208" spans="2:17" x14ac:dyDescent="0.25">
      <c r="B208" s="193">
        <v>42537</v>
      </c>
      <c r="C208" s="10">
        <v>4760</v>
      </c>
      <c r="D208" s="200">
        <v>16.361599999999999</v>
      </c>
      <c r="E208" s="40">
        <v>11.95</v>
      </c>
      <c r="F208" s="40">
        <f t="shared" si="18"/>
        <v>-20999.216</v>
      </c>
      <c r="G208" s="40">
        <f t="shared" si="19"/>
        <v>77881.216</v>
      </c>
      <c r="H208" s="232">
        <f t="shared" si="20"/>
        <v>-0.26963133189908078</v>
      </c>
      <c r="I208" s="40"/>
    </row>
    <row r="209" spans="2:9" x14ac:dyDescent="0.25">
      <c r="B209" s="193">
        <v>42541</v>
      </c>
      <c r="C209" s="10">
        <v>4600</v>
      </c>
      <c r="D209" s="200">
        <v>16.459700000000002</v>
      </c>
      <c r="E209" s="40">
        <v>12.32</v>
      </c>
      <c r="F209" s="40">
        <f t="shared" si="18"/>
        <v>-19042.620000000006</v>
      </c>
      <c r="G209" s="40">
        <f t="shared" si="19"/>
        <v>75714.62000000001</v>
      </c>
      <c r="H209" s="232">
        <f t="shared" si="20"/>
        <v>-0.25150519146764527</v>
      </c>
      <c r="I209" s="40"/>
    </row>
    <row r="210" spans="2:9" x14ac:dyDescent="0.25">
      <c r="B210" s="193">
        <v>42542</v>
      </c>
      <c r="C210" s="10">
        <v>4000</v>
      </c>
      <c r="D210" s="200">
        <v>17.010200000000001</v>
      </c>
      <c r="E210" s="40">
        <v>12.75</v>
      </c>
      <c r="F210" s="40">
        <f t="shared" si="18"/>
        <v>-17040.800000000003</v>
      </c>
      <c r="G210" s="40">
        <f t="shared" si="19"/>
        <v>68040.800000000003</v>
      </c>
      <c r="H210" s="232">
        <f t="shared" si="20"/>
        <v>-0.25044973016190292</v>
      </c>
      <c r="I210" s="40"/>
    </row>
    <row r="211" spans="2:9" x14ac:dyDescent="0.25">
      <c r="B211" s="193">
        <v>42544</v>
      </c>
      <c r="C211" s="10">
        <v>2500</v>
      </c>
      <c r="D211" s="200">
        <v>18.952100000000002</v>
      </c>
      <c r="E211" s="40">
        <v>14.05</v>
      </c>
      <c r="F211" s="40">
        <f t="shared" si="18"/>
        <v>-12255.250000000002</v>
      </c>
      <c r="G211" s="40">
        <f t="shared" si="19"/>
        <v>47380.250000000007</v>
      </c>
      <c r="H211" s="232">
        <f t="shared" si="20"/>
        <v>-0.25865735195571998</v>
      </c>
      <c r="I211" s="40"/>
    </row>
    <row r="212" spans="2:9" x14ac:dyDescent="0.25">
      <c r="B212" s="193">
        <v>42545</v>
      </c>
      <c r="C212" s="10">
        <v>3000</v>
      </c>
      <c r="D212" s="200">
        <v>18.046700000000001</v>
      </c>
      <c r="E212" s="40">
        <v>13.52</v>
      </c>
      <c r="F212" s="40">
        <f t="shared" si="18"/>
        <v>-13580.100000000006</v>
      </c>
      <c r="G212" s="40">
        <f t="shared" si="19"/>
        <v>54140.100000000006</v>
      </c>
      <c r="H212" s="232">
        <f t="shared" si="20"/>
        <v>-0.25083256218588446</v>
      </c>
      <c r="I212" s="40"/>
    </row>
    <row r="213" spans="2:9" x14ac:dyDescent="0.25">
      <c r="B213" s="193">
        <v>42545</v>
      </c>
      <c r="C213" s="10">
        <v>3500</v>
      </c>
      <c r="D213" s="200">
        <v>17.391500000000001</v>
      </c>
      <c r="E213" s="40">
        <v>13.46</v>
      </c>
      <c r="F213" s="40">
        <f t="shared" si="18"/>
        <v>-13760.25</v>
      </c>
      <c r="G213" s="40">
        <f t="shared" si="19"/>
        <v>60870.25</v>
      </c>
      <c r="H213" s="232">
        <f t="shared" si="20"/>
        <v>-0.22605870683954804</v>
      </c>
      <c r="I213" s="40"/>
    </row>
    <row r="214" spans="2:9" x14ac:dyDescent="0.25">
      <c r="B214" s="193">
        <v>42545</v>
      </c>
      <c r="C214" s="7">
        <v>4000</v>
      </c>
      <c r="D214" s="79">
        <v>16.8825</v>
      </c>
      <c r="E214" s="40">
        <v>13.32</v>
      </c>
      <c r="F214" s="40">
        <f t="shared" si="18"/>
        <v>-14250</v>
      </c>
      <c r="G214" s="40">
        <f t="shared" si="19"/>
        <v>67530</v>
      </c>
      <c r="H214" s="232">
        <f t="shared" si="20"/>
        <v>-0.21101732563305198</v>
      </c>
      <c r="I214" s="40"/>
    </row>
    <row r="215" spans="2:9" x14ac:dyDescent="0.25">
      <c r="B215" s="193">
        <v>42548</v>
      </c>
      <c r="C215" s="10">
        <v>4760</v>
      </c>
      <c r="D215" s="200">
        <v>16.2315</v>
      </c>
      <c r="E215" s="40">
        <v>12.23</v>
      </c>
      <c r="F215" s="40">
        <f t="shared" si="18"/>
        <v>-19047.14</v>
      </c>
      <c r="G215" s="40">
        <f t="shared" si="19"/>
        <v>77261.94</v>
      </c>
      <c r="H215" s="232">
        <f t="shared" si="20"/>
        <v>-0.246526815143394</v>
      </c>
      <c r="I215" s="40"/>
    </row>
    <row r="216" spans="2:9" x14ac:dyDescent="0.25">
      <c r="B216" s="193">
        <v>42548</v>
      </c>
      <c r="C216" s="10">
        <v>5260</v>
      </c>
      <c r="D216" s="200">
        <v>15.884399999999999</v>
      </c>
      <c r="E216" s="40">
        <v>12.23</v>
      </c>
      <c r="F216" s="40">
        <f t="shared" ref="F216:F217" si="21">-C216*(D216-E216)</f>
        <v>-19222.143999999993</v>
      </c>
      <c r="G216" s="40">
        <f t="shared" ref="G216:G217" si="22">IF(C216=0, 0,D216*C216)</f>
        <v>83551.944000000003</v>
      </c>
      <c r="H216" s="232">
        <f t="shared" ref="H216:H217" si="23">IF(C216=0, D216, (E216-D216)/D216)</f>
        <v>-0.23006219939059702</v>
      </c>
      <c r="I216" s="40"/>
    </row>
    <row r="217" spans="2:9" x14ac:dyDescent="0.25">
      <c r="B217" s="193">
        <v>42549</v>
      </c>
      <c r="C217" s="10">
        <v>4500</v>
      </c>
      <c r="D217" s="200">
        <v>16.3767</v>
      </c>
      <c r="E217" s="40">
        <v>12.99</v>
      </c>
      <c r="F217" s="40">
        <f t="shared" si="21"/>
        <v>-15240.149999999998</v>
      </c>
      <c r="G217" s="40">
        <f t="shared" si="22"/>
        <v>73695.149999999994</v>
      </c>
      <c r="H217" s="232">
        <f t="shared" si="23"/>
        <v>-0.2067999047427137</v>
      </c>
      <c r="I217" s="40"/>
    </row>
    <row r="218" spans="2:9" x14ac:dyDescent="0.25">
      <c r="B218" s="193">
        <v>42550</v>
      </c>
      <c r="C218" s="10">
        <v>4500</v>
      </c>
      <c r="D218" s="200">
        <v>16.3767</v>
      </c>
      <c r="E218" s="40">
        <v>13.19</v>
      </c>
      <c r="F218" s="40">
        <f t="shared" ref="F218:F220" si="24">-C218*(D218-E218)</f>
        <v>-14340.15</v>
      </c>
      <c r="G218" s="40">
        <f t="shared" ref="G218:G220" si="25">IF(C218=0, 0,D218*C218)</f>
        <v>73695.149999999994</v>
      </c>
      <c r="H218" s="232">
        <f t="shared" ref="H218:H220" si="26">IF(C218=0, D218, (E218-D218)/D218)</f>
        <v>-0.19458743214444912</v>
      </c>
      <c r="I218" s="40">
        <v>16</v>
      </c>
    </row>
    <row r="219" spans="2:9" x14ac:dyDescent="0.25">
      <c r="B219" s="193">
        <v>42551</v>
      </c>
      <c r="C219" s="10">
        <v>4000</v>
      </c>
      <c r="D219" s="200">
        <v>16.708500000000001</v>
      </c>
      <c r="E219" s="40">
        <v>13.76</v>
      </c>
      <c r="F219" s="40">
        <f t="shared" si="24"/>
        <v>-11794.000000000004</v>
      </c>
      <c r="G219" s="40">
        <f t="shared" si="25"/>
        <v>66834</v>
      </c>
      <c r="H219" s="232">
        <f t="shared" si="26"/>
        <v>-0.176467067660173</v>
      </c>
      <c r="I219" s="40"/>
    </row>
    <row r="220" spans="2:9" x14ac:dyDescent="0.25">
      <c r="B220" s="193">
        <v>42551</v>
      </c>
      <c r="C220" s="10">
        <v>4500</v>
      </c>
      <c r="D220" s="200">
        <v>16.23</v>
      </c>
      <c r="E220" s="40">
        <v>13.76</v>
      </c>
      <c r="F220" s="40">
        <f t="shared" si="24"/>
        <v>-11115.000000000004</v>
      </c>
      <c r="G220" s="40">
        <f t="shared" si="25"/>
        <v>73035</v>
      </c>
      <c r="H220" s="232">
        <f t="shared" si="26"/>
        <v>-0.15218730745532968</v>
      </c>
      <c r="I220" s="40" t="s">
        <v>271</v>
      </c>
    </row>
    <row r="221" spans="2:9" x14ac:dyDescent="0.25">
      <c r="B221" s="193">
        <v>42552</v>
      </c>
      <c r="C221" s="10">
        <v>4500</v>
      </c>
      <c r="D221" s="200">
        <v>16.23</v>
      </c>
      <c r="E221" s="40">
        <v>12.5</v>
      </c>
      <c r="F221" s="40">
        <f t="shared" ref="F221:F222" si="27">-C221*(D221-E221)</f>
        <v>-16785.000000000004</v>
      </c>
      <c r="G221" s="40">
        <f t="shared" ref="G221:G222" si="28">IF(C221=0, 0,D221*C221)</f>
        <v>73035</v>
      </c>
      <c r="H221" s="232">
        <f t="shared" ref="H221:H222" si="29">IF(C221=0, D221, (E221-D221)/D221)</f>
        <v>-0.22982131854590268</v>
      </c>
      <c r="I221" s="40"/>
    </row>
    <row r="222" spans="2:9" x14ac:dyDescent="0.25">
      <c r="B222" s="193">
        <v>42556</v>
      </c>
      <c r="C222" s="469">
        <v>5000</v>
      </c>
      <c r="D222" s="470">
        <v>15.7963</v>
      </c>
      <c r="E222" s="40">
        <v>11.91</v>
      </c>
      <c r="F222" s="40">
        <f t="shared" si="27"/>
        <v>-19431.5</v>
      </c>
      <c r="G222" s="40">
        <f t="shared" si="28"/>
        <v>78981.5</v>
      </c>
      <c r="H222" s="232">
        <f t="shared" si="29"/>
        <v>-0.24602596810645533</v>
      </c>
      <c r="I222" s="40">
        <v>15.6</v>
      </c>
    </row>
    <row r="223" spans="2:9" x14ac:dyDescent="0.25">
      <c r="B223" s="193">
        <v>42557</v>
      </c>
      <c r="C223" s="10">
        <v>4500</v>
      </c>
      <c r="D223" s="200">
        <v>16.142600000000002</v>
      </c>
      <c r="E223" s="40">
        <v>12.2</v>
      </c>
      <c r="F223" s="40">
        <f t="shared" ref="F223" si="30">-C223*(D223-E223)</f>
        <v>-17741.700000000012</v>
      </c>
      <c r="G223" s="40">
        <f t="shared" ref="G223" si="31">IF(C223=0, 0,D223*C223)</f>
        <v>72641.700000000012</v>
      </c>
      <c r="H223" s="232">
        <f t="shared" ref="H223" si="32">IF(C223=0, D223, (E223-D223)/D223)</f>
        <v>-0.24423574888803551</v>
      </c>
      <c r="I223" s="40"/>
    </row>
    <row r="224" spans="2:9" x14ac:dyDescent="0.25">
      <c r="B224" s="193">
        <v>42559</v>
      </c>
      <c r="C224" s="10">
        <v>4500</v>
      </c>
      <c r="D224" s="200">
        <v>16.142600000000002</v>
      </c>
      <c r="E224" s="40">
        <v>12.62</v>
      </c>
      <c r="F224" s="40">
        <f t="shared" ref="F224" si="33">-C224*(D224-E224)</f>
        <v>-15851.700000000012</v>
      </c>
      <c r="G224" s="40">
        <f t="shared" ref="G224" si="34">IF(C224=0, 0,D224*C224)</f>
        <v>72641.700000000012</v>
      </c>
      <c r="H224" s="232">
        <f t="shared" ref="H224" si="35">IF(C224=0, D224, (E224-D224)/D224)</f>
        <v>-0.21821763532516461</v>
      </c>
      <c r="I224" s="40"/>
    </row>
    <row r="225" spans="2:9" x14ac:dyDescent="0.25">
      <c r="B225" s="193">
        <v>42562</v>
      </c>
      <c r="C225" s="10">
        <v>4500</v>
      </c>
      <c r="D225" s="200">
        <v>16.143000000000001</v>
      </c>
      <c r="E225" s="40">
        <v>12.64</v>
      </c>
      <c r="F225" s="40">
        <f t="shared" ref="F225" si="36">-C225*(D225-E225)</f>
        <v>-15763.5</v>
      </c>
      <c r="G225" s="40">
        <f t="shared" ref="G225" si="37">IF(C225=0, 0,D225*C225)</f>
        <v>72643.5</v>
      </c>
      <c r="H225" s="232">
        <f t="shared" ref="H225" si="38">IF(C225=0, D225, (E225-D225)/D225)</f>
        <v>-0.21699807966301182</v>
      </c>
      <c r="I225" s="40"/>
    </row>
    <row r="226" spans="2:9" x14ac:dyDescent="0.25">
      <c r="B226" s="193">
        <v>42572</v>
      </c>
      <c r="C226" s="10">
        <v>4500</v>
      </c>
      <c r="D226" s="200">
        <v>16.143000000000001</v>
      </c>
      <c r="E226" s="40">
        <v>13.18</v>
      </c>
      <c r="F226" s="40">
        <f t="shared" ref="F226" si="39">-C226*(D226-E226)</f>
        <v>-13333.500000000004</v>
      </c>
      <c r="G226" s="40">
        <f t="shared" ref="G226" si="40">IF(C226=0, 0,D226*C226)</f>
        <v>72643.5</v>
      </c>
      <c r="H226" s="232">
        <f t="shared" ref="H226" si="41">IF(C226=0, D226, (E226-D226)/D226)</f>
        <v>-0.18354704825621018</v>
      </c>
      <c r="I226" s="40"/>
    </row>
    <row r="227" spans="2:9" x14ac:dyDescent="0.25">
      <c r="B227" s="193">
        <v>42576</v>
      </c>
      <c r="C227" s="7">
        <v>4000</v>
      </c>
      <c r="D227" s="79">
        <v>16.433</v>
      </c>
      <c r="E227" s="40">
        <v>13.92</v>
      </c>
      <c r="F227" s="40">
        <f t="shared" ref="F227" si="42">-C227*(D227-E227)</f>
        <v>-10052</v>
      </c>
      <c r="G227" s="40">
        <f t="shared" ref="G227" si="43">IF(C227=0, 0,D227*C227)</f>
        <v>65732</v>
      </c>
      <c r="H227" s="232">
        <f t="shared" ref="H227" si="44">IF(C227=0, D227, (E227-D227)/D227)</f>
        <v>-0.15292399440150917</v>
      </c>
      <c r="I227" s="40"/>
    </row>
    <row r="228" spans="2:9" x14ac:dyDescent="0.25">
      <c r="B228" s="193">
        <v>42577</v>
      </c>
      <c r="C228" s="10">
        <v>3200</v>
      </c>
      <c r="D228" s="200">
        <v>16.935400000000001</v>
      </c>
      <c r="E228" s="40">
        <v>14.67</v>
      </c>
      <c r="F228" s="40">
        <f t="shared" ref="F228" si="45">-C228*(D228-E228)</f>
        <v>-7249.2800000000043</v>
      </c>
      <c r="G228" s="40">
        <f t="shared" ref="G228" si="46">IF(C228=0, 0,D228*C228)</f>
        <v>54193.280000000006</v>
      </c>
      <c r="H228" s="232">
        <f t="shared" ref="H228" si="47">IF(C228=0, D228, (E228-D228)/D228)</f>
        <v>-0.1337671386563058</v>
      </c>
      <c r="I228" s="40"/>
    </row>
    <row r="229" spans="2:9" x14ac:dyDescent="0.25">
      <c r="B229" s="193">
        <v>42578</v>
      </c>
      <c r="C229" s="10">
        <v>3400</v>
      </c>
      <c r="D229" s="200">
        <v>16.7698</v>
      </c>
      <c r="E229" s="40">
        <v>14.19</v>
      </c>
      <c r="F229" s="40">
        <f t="shared" ref="F229:F230" si="48">-C229*(D229-E229)</f>
        <v>-8771.3200000000015</v>
      </c>
      <c r="G229" s="40">
        <f t="shared" ref="G229:G230" si="49">IF(C229=0, 0,D229*C229)</f>
        <v>57017.32</v>
      </c>
      <c r="H229" s="232">
        <f t="shared" ref="H229:H230" si="50">IF(C229=0, D229, (E229-D229)/D229)</f>
        <v>-0.15383606244558673</v>
      </c>
      <c r="I229" s="40"/>
    </row>
    <row r="230" spans="2:9" x14ac:dyDescent="0.25">
      <c r="B230" s="193">
        <v>42579</v>
      </c>
      <c r="C230" s="7">
        <v>4000</v>
      </c>
      <c r="D230" s="79">
        <v>16.327300000000001</v>
      </c>
      <c r="E230" s="40">
        <v>13.81</v>
      </c>
      <c r="F230" s="40">
        <f t="shared" si="48"/>
        <v>-10069.200000000003</v>
      </c>
      <c r="G230" s="40">
        <f t="shared" si="49"/>
        <v>65309.200000000004</v>
      </c>
      <c r="H230" s="232">
        <f t="shared" si="50"/>
        <v>-0.15417735939193869</v>
      </c>
      <c r="I230" s="40"/>
    </row>
    <row r="231" spans="2:9" x14ac:dyDescent="0.25">
      <c r="B231" s="193">
        <v>42580</v>
      </c>
      <c r="C231" s="10">
        <v>4500</v>
      </c>
      <c r="D231" s="200">
        <v>16.026499999999999</v>
      </c>
      <c r="E231" s="40">
        <v>13.74</v>
      </c>
      <c r="F231" s="40">
        <f t="shared" ref="F231:F235" si="51">-C231*(D231-E231)</f>
        <v>-10289.249999999993</v>
      </c>
      <c r="G231" s="40">
        <f t="shared" ref="G231:G235" si="52">IF(C231=0, 0,D231*C231)</f>
        <v>72119.25</v>
      </c>
      <c r="H231" s="232">
        <f t="shared" ref="H231:H235" si="53">IF(C231=0, D231, (E231-D231)/D231)</f>
        <v>-0.14266995289052498</v>
      </c>
      <c r="I231" s="40"/>
    </row>
    <row r="232" spans="2:9" x14ac:dyDescent="0.25">
      <c r="B232" s="193">
        <v>42585</v>
      </c>
      <c r="C232" s="10">
        <v>4700</v>
      </c>
      <c r="D232" s="200">
        <v>15.9011</v>
      </c>
      <c r="E232" s="40">
        <v>13.4</v>
      </c>
      <c r="F232" s="40">
        <f t="shared" si="51"/>
        <v>-11755.169999999996</v>
      </c>
      <c r="G232" s="40">
        <f t="shared" si="52"/>
        <v>74735.17</v>
      </c>
      <c r="H232" s="232">
        <f t="shared" si="53"/>
        <v>-0.15729100502480955</v>
      </c>
      <c r="I232" s="40"/>
    </row>
    <row r="233" spans="2:9" x14ac:dyDescent="0.25">
      <c r="B233" s="193">
        <v>42586</v>
      </c>
      <c r="C233" s="10">
        <v>4500</v>
      </c>
      <c r="D233" s="200">
        <v>15.990399999999999</v>
      </c>
      <c r="E233" s="40">
        <v>14.03</v>
      </c>
      <c r="F233" s="40">
        <f t="shared" si="51"/>
        <v>-8821.7999999999993</v>
      </c>
      <c r="G233" s="40">
        <f t="shared" si="52"/>
        <v>71956.800000000003</v>
      </c>
      <c r="H233" s="232">
        <f t="shared" si="53"/>
        <v>-0.12259855913548129</v>
      </c>
      <c r="I233" s="40" t="s">
        <v>563</v>
      </c>
    </row>
    <row r="234" spans="2:9" x14ac:dyDescent="0.25">
      <c r="B234" s="193">
        <v>42587</v>
      </c>
      <c r="C234" s="7">
        <v>4000</v>
      </c>
      <c r="D234" s="79">
        <v>16.158000000000001</v>
      </c>
      <c r="E234" s="40">
        <v>14.52</v>
      </c>
      <c r="F234" s="40">
        <f t="shared" si="51"/>
        <v>-6552.0000000000064</v>
      </c>
      <c r="G234" s="40">
        <f t="shared" si="52"/>
        <v>64632.000000000007</v>
      </c>
      <c r="H234" s="232">
        <f t="shared" si="53"/>
        <v>-0.10137393241737848</v>
      </c>
      <c r="I234" s="40">
        <v>16</v>
      </c>
    </row>
    <row r="235" spans="2:9" x14ac:dyDescent="0.25">
      <c r="B235" s="193">
        <v>42593</v>
      </c>
      <c r="C235" s="10">
        <v>4000</v>
      </c>
      <c r="D235" s="200">
        <v>16.158000000000001</v>
      </c>
      <c r="E235" s="40">
        <v>14.2</v>
      </c>
      <c r="F235" s="40">
        <f t="shared" si="51"/>
        <v>-7832.0000000000082</v>
      </c>
      <c r="G235" s="40">
        <f t="shared" si="52"/>
        <v>64632.000000000007</v>
      </c>
      <c r="H235" s="232">
        <f t="shared" si="53"/>
        <v>-0.12117836365886879</v>
      </c>
      <c r="I235" s="40"/>
    </row>
    <row r="236" spans="2:9" x14ac:dyDescent="0.25">
      <c r="B236" s="193">
        <v>42597</v>
      </c>
      <c r="C236" s="456">
        <v>2000</v>
      </c>
      <c r="D236" s="457">
        <v>17.3687</v>
      </c>
      <c r="E236" s="40">
        <v>15.53</v>
      </c>
      <c r="F236" s="40">
        <f t="shared" ref="F236:F237" si="54">-C236*(D236-E236)</f>
        <v>-3677.4000000000024</v>
      </c>
      <c r="G236" s="40">
        <f t="shared" ref="G236:G237" si="55">IF(C236=0, 0,D236*C236)</f>
        <v>34737.4</v>
      </c>
      <c r="H236" s="232">
        <f t="shared" ref="H236:H237" si="56">IF(C236=0, D236, (E236-D236)/D236)</f>
        <v>-0.10586284523309177</v>
      </c>
      <c r="I236" s="458">
        <v>17</v>
      </c>
    </row>
    <row r="237" spans="2:9" x14ac:dyDescent="0.25">
      <c r="B237" s="193">
        <v>42599</v>
      </c>
      <c r="C237" s="10">
        <v>2000</v>
      </c>
      <c r="D237" s="200">
        <v>17.331299999999999</v>
      </c>
      <c r="E237" s="40">
        <v>15.52</v>
      </c>
      <c r="F237" s="40">
        <f t="shared" si="54"/>
        <v>-3622.5999999999985</v>
      </c>
      <c r="G237" s="40">
        <f t="shared" si="55"/>
        <v>34662.6</v>
      </c>
      <c r="H237" s="232">
        <f t="shared" si="56"/>
        <v>-0.10451033678950797</v>
      </c>
      <c r="I237" s="40"/>
    </row>
    <row r="238" spans="2:9" x14ac:dyDescent="0.25">
      <c r="B238" s="193">
        <v>42600</v>
      </c>
      <c r="C238" s="10">
        <v>2000</v>
      </c>
      <c r="D238" s="200">
        <v>17.331299999999999</v>
      </c>
      <c r="E238" s="40">
        <v>15.77</v>
      </c>
      <c r="F238" s="40">
        <f t="shared" ref="F238" si="57">-C238*(D238-E238)</f>
        <v>-3122.5999999999985</v>
      </c>
      <c r="G238" s="40">
        <f t="shared" ref="G238" si="58">IF(C238=0, 0,D238*C238)</f>
        <v>34662.6</v>
      </c>
      <c r="H238" s="232">
        <f t="shared" ref="H238" si="59">IF(C238=0, D238, (E238-D238)/D238)</f>
        <v>-9.0085567730060601E-2</v>
      </c>
      <c r="I238" s="40"/>
    </row>
    <row r="239" spans="2:9" x14ac:dyDescent="0.25">
      <c r="B239" s="193">
        <v>42601</v>
      </c>
      <c r="C239" s="10">
        <v>2000</v>
      </c>
      <c r="D239" s="200">
        <v>17.331299999999999</v>
      </c>
      <c r="E239" s="40">
        <v>16.25</v>
      </c>
      <c r="F239" s="40">
        <f t="shared" ref="F239" si="60">-C239*(D239-E239)</f>
        <v>-2162.5999999999976</v>
      </c>
      <c r="G239" s="40">
        <f t="shared" ref="G239" si="61">IF(C239=0, 0,D239*C239)</f>
        <v>34662.6</v>
      </c>
      <c r="H239" s="232">
        <f t="shared" ref="H239" si="62">IF(C239=0, D239, (E239-D239)/D239)</f>
        <v>-6.2390011135921651E-2</v>
      </c>
      <c r="I239" s="40"/>
    </row>
    <row r="240" spans="2:9" x14ac:dyDescent="0.25">
      <c r="B240" s="193">
        <v>42604</v>
      </c>
      <c r="C240" s="10">
        <v>2000</v>
      </c>
      <c r="D240" s="200">
        <v>17.331299999999999</v>
      </c>
      <c r="E240" s="40">
        <v>16.190000000000001</v>
      </c>
      <c r="F240" s="40">
        <f t="shared" ref="F240" si="63">-C240*(D240-E240)</f>
        <v>-2282.5999999999949</v>
      </c>
      <c r="G240" s="40">
        <f t="shared" ref="G240" si="64">IF(C240=0, 0,D240*C240)</f>
        <v>34662.6</v>
      </c>
      <c r="H240" s="232">
        <f t="shared" ref="H240" si="65">IF(C240=0, D240, (E240-D240)/D240)</f>
        <v>-6.5851955710188939E-2</v>
      </c>
      <c r="I240" s="40"/>
    </row>
    <row r="241" spans="2:9" x14ac:dyDescent="0.25">
      <c r="B241" s="193">
        <v>42607</v>
      </c>
      <c r="C241" s="10">
        <v>2000</v>
      </c>
      <c r="D241" s="200">
        <v>17.331299999999999</v>
      </c>
      <c r="E241" s="40">
        <v>16.2</v>
      </c>
      <c r="F241" s="40">
        <f t="shared" ref="F241" si="66">-C241*(D241-E241)</f>
        <v>-2262.599999999999</v>
      </c>
      <c r="G241" s="40">
        <f t="shared" ref="G241" si="67">IF(C241=0, 0,D241*C241)</f>
        <v>34662.6</v>
      </c>
      <c r="H241" s="232">
        <f t="shared" ref="H241" si="68">IF(C241=0, D241, (E241-D241)/D241)</f>
        <v>-6.5274964947811168E-2</v>
      </c>
      <c r="I241" s="40"/>
    </row>
    <row r="242" spans="2:9" x14ac:dyDescent="0.25">
      <c r="B242" s="193">
        <v>42609</v>
      </c>
      <c r="C242" s="10">
        <v>2000</v>
      </c>
      <c r="D242" s="200">
        <v>17.331299999999999</v>
      </c>
      <c r="E242" s="40">
        <v>16.91</v>
      </c>
      <c r="F242" s="40">
        <f t="shared" ref="F242" si="69">-C242*(D242-E242)</f>
        <v>-842.59999999999741</v>
      </c>
      <c r="G242" s="40">
        <f t="shared" ref="G242" si="70">IF(C242=0, 0,D242*C242)</f>
        <v>34662.6</v>
      </c>
      <c r="H242" s="232">
        <f t="shared" ref="H242" si="71">IF(C242=0, D242, (E242-D242)/D242)</f>
        <v>-2.4308620818980612E-2</v>
      </c>
      <c r="I242" s="40"/>
    </row>
    <row r="243" spans="2:9" x14ac:dyDescent="0.25">
      <c r="B243" s="193">
        <v>42612</v>
      </c>
      <c r="C243" s="10">
        <v>2000</v>
      </c>
      <c r="D243" s="200">
        <v>17.331299999999999</v>
      </c>
      <c r="E243" s="40">
        <v>16.739999999999998</v>
      </c>
      <c r="F243" s="40">
        <f t="shared" ref="F243" si="72">-C243*(D243-E243)</f>
        <v>-1182.6000000000008</v>
      </c>
      <c r="G243" s="40">
        <f t="shared" ref="G243" si="73">IF(C243=0, 0,D243*C243)</f>
        <v>34662.6</v>
      </c>
      <c r="H243" s="232">
        <f t="shared" ref="H243" si="74">IF(C243=0, D243, (E243-D243)/D243)</f>
        <v>-3.4117463779404916E-2</v>
      </c>
      <c r="I243" s="40"/>
    </row>
    <row r="244" spans="2:9" x14ac:dyDescent="0.25">
      <c r="B244" s="193">
        <v>42615</v>
      </c>
      <c r="C244" s="10">
        <v>2000</v>
      </c>
      <c r="D244" s="200">
        <v>17.331299999999999</v>
      </c>
      <c r="E244" s="40">
        <v>16.7</v>
      </c>
      <c r="F244" s="40">
        <f t="shared" ref="F244:F245" si="75">-C244*(D244-E244)</f>
        <v>-1262.599999999999</v>
      </c>
      <c r="G244" s="40">
        <f t="shared" ref="G244:G245" si="76">IF(C244=0, 0,D244*C244)</f>
        <v>34662.6</v>
      </c>
      <c r="H244" s="232">
        <f t="shared" ref="H244:H245" si="77">IF(C244=0, D244, (E244-D244)/D244)</f>
        <v>-3.6425426828916446E-2</v>
      </c>
      <c r="I244" s="40"/>
    </row>
    <row r="245" spans="2:9" x14ac:dyDescent="0.25">
      <c r="B245" s="193">
        <v>42619</v>
      </c>
      <c r="C245" s="456">
        <v>2000</v>
      </c>
      <c r="D245" s="457">
        <v>17.273900000000001</v>
      </c>
      <c r="E245" s="40">
        <v>17.010000000000002</v>
      </c>
      <c r="F245" s="40">
        <f t="shared" si="75"/>
        <v>-527.79999999999916</v>
      </c>
      <c r="G245" s="40">
        <f t="shared" si="76"/>
        <v>34547.800000000003</v>
      </c>
      <c r="H245" s="232">
        <f t="shared" si="77"/>
        <v>-1.5277383798678906E-2</v>
      </c>
      <c r="I245" s="458">
        <v>17</v>
      </c>
    </row>
    <row r="246" spans="2:9" x14ac:dyDescent="0.25">
      <c r="B246" s="193"/>
      <c r="C246" s="10"/>
      <c r="D246" s="200"/>
      <c r="E246" s="40"/>
      <c r="F246" s="40"/>
      <c r="G246" s="40"/>
      <c r="H246" s="232"/>
      <c r="I246" s="40"/>
    </row>
    <row r="247" spans="2:9" x14ac:dyDescent="0.25">
      <c r="B247" s="193"/>
      <c r="C247" s="10"/>
      <c r="D247" s="200"/>
      <c r="E247" s="40"/>
      <c r="F247" s="40"/>
      <c r="G247" s="40"/>
      <c r="H247" s="232"/>
      <c r="I247" s="40"/>
    </row>
    <row r="248" spans="2:9" x14ac:dyDescent="0.25">
      <c r="B248" s="193"/>
      <c r="C248" s="10"/>
      <c r="D248" s="200"/>
      <c r="E248" s="40"/>
      <c r="F248" s="40"/>
      <c r="G248" s="40"/>
      <c r="H248" s="232"/>
      <c r="I248" s="40"/>
    </row>
    <row r="249" spans="2:9" x14ac:dyDescent="0.25">
      <c r="B249" s="193"/>
      <c r="C249" s="10"/>
      <c r="D249" s="200"/>
      <c r="E249" s="40"/>
      <c r="F249" s="40"/>
      <c r="G249" s="40"/>
      <c r="H249" s="232"/>
      <c r="I249" s="40"/>
    </row>
    <row r="250" spans="2:9" x14ac:dyDescent="0.25">
      <c r="B250" s="193"/>
      <c r="C250" s="10"/>
      <c r="D250" s="200"/>
      <c r="E250" s="40"/>
      <c r="F250" s="40"/>
      <c r="G250" s="40"/>
      <c r="H250" s="232"/>
      <c r="I250" s="40"/>
    </row>
  </sheetData>
  <mergeCells count="8">
    <mergeCell ref="O44:P44"/>
    <mergeCell ref="G13:G14"/>
    <mergeCell ref="B51:B52"/>
    <mergeCell ref="G51:G52"/>
    <mergeCell ref="M126:M129"/>
    <mergeCell ref="A92:A94"/>
    <mergeCell ref="B53:B56"/>
    <mergeCell ref="G37:G39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39:F250 H159:H250">
    <cfRule type="expression" dxfId="494" priority="43">
      <formula>F139&gt;0</formula>
    </cfRule>
    <cfRule type="expression" dxfId="493" priority="44">
      <formula>F139&lt;0</formula>
    </cfRule>
  </conditionalFormatting>
  <conditionalFormatting sqref="H139:H150">
    <cfRule type="expression" dxfId="492" priority="35">
      <formula>H139&gt;0</formula>
    </cfRule>
    <cfRule type="expression" dxfId="491" priority="36">
      <formula>H139&lt;0</formula>
    </cfRule>
  </conditionalFormatting>
  <conditionalFormatting sqref="H151">
    <cfRule type="expression" dxfId="490" priority="25">
      <formula>H151&gt;0</formula>
    </cfRule>
    <cfRule type="expression" dxfId="489" priority="26">
      <formula>H151&lt;0</formula>
    </cfRule>
  </conditionalFormatting>
  <conditionalFormatting sqref="H152">
    <cfRule type="expression" dxfId="488" priority="21">
      <formula>H152&gt;0</formula>
    </cfRule>
    <cfRule type="expression" dxfId="487" priority="22">
      <formula>H152&lt;0</formula>
    </cfRule>
  </conditionalFormatting>
  <conditionalFormatting sqref="H153:H158">
    <cfRule type="expression" dxfId="486" priority="17">
      <formula>H153&gt;0</formula>
    </cfRule>
    <cfRule type="expression" dxfId="485" priority="18">
      <formula>H153&lt;0</formula>
    </cfRule>
  </conditionalFormatting>
  <conditionalFormatting sqref="Q8">
    <cfRule type="expression" dxfId="484" priority="1">
      <formula>Q8&gt;0</formula>
    </cfRule>
    <cfRule type="expression" dxfId="483" priority="2">
      <formula>Q8&lt;0</formula>
    </cfRule>
  </conditionalFormatting>
  <conditionalFormatting sqref="Q7">
    <cfRule type="expression" dxfId="482" priority="3">
      <formula>Q7&gt;0</formula>
    </cfRule>
    <cfRule type="expression" dxfId="481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.5703125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180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42615</v>
      </c>
      <c r="X2" s="103">
        <v>49</v>
      </c>
      <c r="Y2" s="103">
        <v>49.23</v>
      </c>
      <c r="Z2" s="103">
        <v>48.77</v>
      </c>
      <c r="AA2" s="103">
        <v>49.12</v>
      </c>
      <c r="AB2" s="101">
        <v>1655200</v>
      </c>
      <c r="AC2" s="100">
        <v>49.12</v>
      </c>
      <c r="AD2" s="2">
        <f>Y2-Z2</f>
        <v>0.45999999999999375</v>
      </c>
      <c r="AE2" s="138">
        <f>AC2/AC3-1</f>
        <v>8.4171628002462917E-3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49.35</v>
      </c>
      <c r="S3" s="115"/>
      <c r="T3" s="17"/>
      <c r="U3" s="17"/>
      <c r="V3" s="17"/>
      <c r="W3" s="99">
        <v>42614</v>
      </c>
      <c r="X3" s="103">
        <v>48.59</v>
      </c>
      <c r="Y3" s="103">
        <v>48.99</v>
      </c>
      <c r="Z3" s="103">
        <v>48.3</v>
      </c>
      <c r="AA3" s="103">
        <v>48.71</v>
      </c>
      <c r="AB3" s="101">
        <v>2112700</v>
      </c>
      <c r="AC3" s="100">
        <v>48.71</v>
      </c>
      <c r="AD3" s="2">
        <f t="shared" ref="AD3:AD66" si="0">Y3-Z3</f>
        <v>0.69000000000000483</v>
      </c>
      <c r="AE3" s="138">
        <f t="shared" ref="AE3:AE66" si="1">AC3/AC4-1</f>
        <v>4.5370179418435796E-3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49.35</v>
      </c>
      <c r="W4" s="99">
        <v>42613</v>
      </c>
      <c r="X4" s="103">
        <v>48.8</v>
      </c>
      <c r="Y4" s="103">
        <v>48.89</v>
      </c>
      <c r="Z4" s="103">
        <v>48.17</v>
      </c>
      <c r="AA4" s="103">
        <v>48.49</v>
      </c>
      <c r="AB4" s="101">
        <v>2229200</v>
      </c>
      <c r="AC4" s="100">
        <v>48.49</v>
      </c>
      <c r="AD4" s="2">
        <f t="shared" si="0"/>
        <v>0.71999999999999886</v>
      </c>
      <c r="AE4" s="138">
        <f t="shared" si="1"/>
        <v>-1.0206164523372085E-2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42612</v>
      </c>
      <c r="X5" s="103">
        <v>48.9</v>
      </c>
      <c r="Y5" s="103">
        <v>49.33</v>
      </c>
      <c r="Z5" s="103">
        <v>48.8</v>
      </c>
      <c r="AA5" s="103">
        <v>48.99</v>
      </c>
      <c r="AB5" s="101">
        <v>2473500</v>
      </c>
      <c r="AC5" s="100">
        <v>48.99</v>
      </c>
      <c r="AD5" s="2">
        <f t="shared" si="0"/>
        <v>0.53000000000000114</v>
      </c>
      <c r="AE5" s="138">
        <f t="shared" si="1"/>
        <v>1.8404907975460016E-3</v>
      </c>
    </row>
    <row r="6" spans="1:31" x14ac:dyDescent="0.25">
      <c r="O6" s="11" t="s">
        <v>64</v>
      </c>
      <c r="Q6" s="2">
        <f>Q3*Q2</f>
        <v>0</v>
      </c>
      <c r="S6" s="85"/>
      <c r="W6" s="99">
        <v>42611</v>
      </c>
      <c r="X6" s="103">
        <v>48.8</v>
      </c>
      <c r="Y6" s="103">
        <v>49.43</v>
      </c>
      <c r="Z6" s="103">
        <v>48.77</v>
      </c>
      <c r="AA6" s="103">
        <v>48.9</v>
      </c>
      <c r="AB6" s="101">
        <v>2744000</v>
      </c>
      <c r="AC6" s="100">
        <v>48.9</v>
      </c>
      <c r="AD6" s="2">
        <f t="shared" si="0"/>
        <v>0.65999999999999659</v>
      </c>
      <c r="AE6" s="138">
        <f t="shared" si="1"/>
        <v>2.0454080589082935E-4</v>
      </c>
    </row>
    <row r="7" spans="1:31" x14ac:dyDescent="0.25">
      <c r="O7" s="11" t="s">
        <v>187</v>
      </c>
      <c r="Q7" s="2">
        <f>Q10+Q8</f>
        <v>119.92000000000053</v>
      </c>
      <c r="R7">
        <v>0</v>
      </c>
      <c r="W7" s="99">
        <v>42608</v>
      </c>
      <c r="X7" s="103">
        <v>48.64</v>
      </c>
      <c r="Y7" s="103">
        <v>49.7</v>
      </c>
      <c r="Z7" s="103">
        <v>48.55</v>
      </c>
      <c r="AA7" s="103">
        <v>48.89</v>
      </c>
      <c r="AB7" s="101">
        <v>5442800</v>
      </c>
      <c r="AC7" s="100">
        <v>48.89</v>
      </c>
      <c r="AD7" s="2">
        <f t="shared" si="0"/>
        <v>1.1500000000000057</v>
      </c>
      <c r="AE7" s="138">
        <f t="shared" si="1"/>
        <v>1.0332713370531099E-2</v>
      </c>
    </row>
    <row r="8" spans="1:31" x14ac:dyDescent="0.25">
      <c r="O8" s="11" t="s">
        <v>190</v>
      </c>
      <c r="P8" s="34"/>
      <c r="Q8" s="2">
        <f>K18+M18-F18+Q2*Q4</f>
        <v>0</v>
      </c>
      <c r="S8" s="121"/>
      <c r="W8" s="99">
        <v>42607</v>
      </c>
      <c r="X8" s="103">
        <v>46.54</v>
      </c>
      <c r="Y8" s="103">
        <v>48.71</v>
      </c>
      <c r="Z8" s="103">
        <v>46.35</v>
      </c>
      <c r="AA8" s="103">
        <v>48.39</v>
      </c>
      <c r="AB8" s="101">
        <v>6974500</v>
      </c>
      <c r="AC8" s="100">
        <v>48.39</v>
      </c>
      <c r="AD8" s="2">
        <f t="shared" si="0"/>
        <v>2.3599999999999994</v>
      </c>
      <c r="AE8" s="138">
        <f t="shared" si="1"/>
        <v>3.9304123711340067E-2</v>
      </c>
    </row>
    <row r="9" spans="1:31" x14ac:dyDescent="0.25">
      <c r="O9" s="11" t="s">
        <v>224</v>
      </c>
      <c r="Q9" s="138">
        <f>IF(Q2=0, 0, Q8/Q6)</f>
        <v>0</v>
      </c>
      <c r="W9" s="99">
        <v>42606</v>
      </c>
      <c r="X9" s="103">
        <v>47</v>
      </c>
      <c r="Y9" s="103">
        <v>47</v>
      </c>
      <c r="Z9" s="103">
        <v>46.48</v>
      </c>
      <c r="AA9" s="103">
        <v>46.56</v>
      </c>
      <c r="AB9" s="101">
        <v>1478500</v>
      </c>
      <c r="AC9" s="100">
        <v>46.56</v>
      </c>
      <c r="AD9" s="2">
        <f t="shared" si="0"/>
        <v>0.52000000000000313</v>
      </c>
      <c r="AE9" s="138">
        <f t="shared" si="1"/>
        <v>-8.5178875638841633E-3</v>
      </c>
    </row>
    <row r="10" spans="1:31" x14ac:dyDescent="0.25">
      <c r="O10" s="11" t="s">
        <v>223</v>
      </c>
      <c r="P10" s="34"/>
      <c r="Q10" s="2">
        <f>M30</f>
        <v>119.92000000000053</v>
      </c>
      <c r="W10" s="99">
        <v>42605</v>
      </c>
      <c r="X10" s="103">
        <v>46.98</v>
      </c>
      <c r="Y10" s="103">
        <v>47.23</v>
      </c>
      <c r="Z10" s="103">
        <v>46.7</v>
      </c>
      <c r="AA10" s="103">
        <v>46.96</v>
      </c>
      <c r="AB10" s="101">
        <v>1837900</v>
      </c>
      <c r="AC10" s="100">
        <v>46.96</v>
      </c>
      <c r="AD10" s="2">
        <f t="shared" si="0"/>
        <v>0.52999999999999403</v>
      </c>
      <c r="AE10" s="138">
        <f t="shared" si="1"/>
        <v>8.5910652920961894E-3</v>
      </c>
    </row>
    <row r="11" spans="1:31" x14ac:dyDescent="0.25">
      <c r="O11" s="11" t="s">
        <v>184</v>
      </c>
      <c r="P11" s="34"/>
      <c r="Q11" s="138">
        <f>VALUE(TRIM(CLEAN(MID(U58, FIND("(", U58)+1, 5))))</f>
        <v>3.5799999999999998E-2</v>
      </c>
      <c r="W11" s="99">
        <v>42604</v>
      </c>
      <c r="X11" s="103">
        <v>47.14</v>
      </c>
      <c r="Y11" s="103">
        <v>47.14</v>
      </c>
      <c r="Z11" s="103">
        <v>46.08</v>
      </c>
      <c r="AA11" s="103">
        <v>46.56</v>
      </c>
      <c r="AB11" s="101">
        <v>3461400</v>
      </c>
      <c r="AC11" s="100">
        <v>46.56</v>
      </c>
      <c r="AD11" s="2">
        <f t="shared" si="0"/>
        <v>1.0600000000000023</v>
      </c>
      <c r="AE11" s="138">
        <f t="shared" si="1"/>
        <v>-1.896333754740831E-2</v>
      </c>
    </row>
    <row r="12" spans="1:31" x14ac:dyDescent="0.25">
      <c r="W12" s="99">
        <v>42601</v>
      </c>
      <c r="X12" s="103">
        <v>47.33</v>
      </c>
      <c r="Y12" s="103">
        <v>47.58</v>
      </c>
      <c r="Z12" s="103">
        <v>46.86</v>
      </c>
      <c r="AA12" s="103">
        <v>47.46</v>
      </c>
      <c r="AB12" s="101">
        <v>1750100</v>
      </c>
      <c r="AC12" s="100">
        <v>47.46</v>
      </c>
      <c r="AD12" s="2">
        <f t="shared" si="0"/>
        <v>0.71999999999999886</v>
      </c>
      <c r="AE12" s="138">
        <f t="shared" si="1"/>
        <v>-3.150598613736566E-3</v>
      </c>
    </row>
    <row r="13" spans="1:31" x14ac:dyDescent="0.25">
      <c r="W13" s="99">
        <v>42600</v>
      </c>
      <c r="X13" s="103">
        <v>47.29</v>
      </c>
      <c r="Y13" s="103">
        <v>47.7</v>
      </c>
      <c r="Z13" s="103">
        <v>47.25</v>
      </c>
      <c r="AA13" s="103">
        <v>47.61</v>
      </c>
      <c r="AB13" s="101">
        <v>2252300</v>
      </c>
      <c r="AC13" s="100">
        <v>47.61</v>
      </c>
      <c r="AD13" s="2">
        <f t="shared" si="0"/>
        <v>0.45000000000000284</v>
      </c>
      <c r="AE13" s="138">
        <f t="shared" si="1"/>
        <v>6.3411540900444319E-3</v>
      </c>
    </row>
    <row r="14" spans="1:31" x14ac:dyDescent="0.25">
      <c r="W14" s="99">
        <v>42599</v>
      </c>
      <c r="X14" s="103">
        <v>46.76</v>
      </c>
      <c r="Y14" s="103">
        <v>47.33</v>
      </c>
      <c r="Z14" s="103">
        <v>46.72</v>
      </c>
      <c r="AA14" s="103">
        <v>47.31</v>
      </c>
      <c r="AB14" s="101">
        <v>2454400</v>
      </c>
      <c r="AC14" s="100">
        <v>47.31</v>
      </c>
      <c r="AD14" s="2">
        <f t="shared" si="0"/>
        <v>0.60999999999999943</v>
      </c>
      <c r="AE14" s="138">
        <f t="shared" si="1"/>
        <v>1.393056150878702E-2</v>
      </c>
    </row>
    <row r="15" spans="1:31" x14ac:dyDescent="0.25">
      <c r="W15" s="99">
        <v>42598</v>
      </c>
      <c r="X15" s="103">
        <v>46.45</v>
      </c>
      <c r="Y15" s="103">
        <v>47.48</v>
      </c>
      <c r="Z15" s="103">
        <v>46.43</v>
      </c>
      <c r="AA15" s="103">
        <v>46.66</v>
      </c>
      <c r="AB15" s="101">
        <v>2900600</v>
      </c>
      <c r="AC15" s="100">
        <v>46.66</v>
      </c>
      <c r="AD15" s="2">
        <f t="shared" si="0"/>
        <v>1.0499999999999972</v>
      </c>
      <c r="AE15" s="138">
        <f t="shared" si="1"/>
        <v>7.3402417962002975E-3</v>
      </c>
    </row>
    <row r="16" spans="1:31" x14ac:dyDescent="0.25">
      <c r="W16" s="99">
        <v>42597</v>
      </c>
      <c r="X16" s="103">
        <v>46.5</v>
      </c>
      <c r="Y16" s="103">
        <v>46.88</v>
      </c>
      <c r="Z16" s="103">
        <v>46.32</v>
      </c>
      <c r="AA16" s="103">
        <v>46.32</v>
      </c>
      <c r="AB16" s="101">
        <v>2086300</v>
      </c>
      <c r="AC16" s="100">
        <v>46.32</v>
      </c>
      <c r="AD16" s="2">
        <f t="shared" si="0"/>
        <v>0.56000000000000227</v>
      </c>
      <c r="AE16" s="138">
        <f t="shared" si="1"/>
        <v>-3.870967741935516E-3</v>
      </c>
    </row>
    <row r="17" spans="1:31" x14ac:dyDescent="0.25">
      <c r="W17" s="99">
        <v>42594</v>
      </c>
      <c r="X17" s="103">
        <v>46.84</v>
      </c>
      <c r="Y17" s="103">
        <v>47.02</v>
      </c>
      <c r="Z17" s="103">
        <v>46.3</v>
      </c>
      <c r="AA17" s="103">
        <v>46.5</v>
      </c>
      <c r="AB17" s="101">
        <v>2170100</v>
      </c>
      <c r="AC17" s="100">
        <v>46.5</v>
      </c>
      <c r="AD17" s="2">
        <f t="shared" si="0"/>
        <v>0.72000000000000597</v>
      </c>
      <c r="AE17" s="138">
        <f t="shared" si="1"/>
        <v>-9.1625825697847496E-3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42593</v>
      </c>
      <c r="X18" s="103">
        <v>46.46</v>
      </c>
      <c r="Y18" s="103">
        <v>47.02</v>
      </c>
      <c r="Z18" s="103">
        <v>46.46</v>
      </c>
      <c r="AA18" s="103">
        <v>46.93</v>
      </c>
      <c r="AB18" s="101">
        <v>2688100</v>
      </c>
      <c r="AC18" s="100">
        <v>46.93</v>
      </c>
      <c r="AD18" s="2">
        <f t="shared" si="0"/>
        <v>0.56000000000000227</v>
      </c>
      <c r="AE18" s="138" t="e">
        <f t="shared" si="1"/>
        <v>#DIV/0!</v>
      </c>
    </row>
    <row r="19" spans="1:31" x14ac:dyDescent="0.25">
      <c r="W19" s="99">
        <v>42593</v>
      </c>
      <c r="X19" s="103" t="s">
        <v>230</v>
      </c>
      <c r="Y19" s="103"/>
      <c r="Z19" s="103"/>
      <c r="AA19" s="103"/>
      <c r="AB19" s="101"/>
      <c r="AC19" s="100"/>
      <c r="AD19" s="2">
        <f t="shared" si="0"/>
        <v>0</v>
      </c>
      <c r="AE19" s="138">
        <f t="shared" si="1"/>
        <v>-1</v>
      </c>
    </row>
    <row r="20" spans="1:31" x14ac:dyDescent="0.25">
      <c r="W20" s="99">
        <v>42592</v>
      </c>
      <c r="X20" s="103">
        <v>46.07</v>
      </c>
      <c r="Y20" s="103">
        <v>47.39</v>
      </c>
      <c r="Z20" s="103">
        <v>46.07</v>
      </c>
      <c r="AA20" s="103">
        <v>46.79</v>
      </c>
      <c r="AB20" s="101">
        <v>4054400</v>
      </c>
      <c r="AC20" s="100">
        <v>46.35</v>
      </c>
      <c r="AD20" s="2">
        <f t="shared" si="0"/>
        <v>1.3200000000000003</v>
      </c>
      <c r="AE20" s="138">
        <f t="shared" si="1"/>
        <v>1.5779092702169706E-2</v>
      </c>
    </row>
    <row r="21" spans="1:31" x14ac:dyDescent="0.25">
      <c r="W21" s="99">
        <v>42591</v>
      </c>
      <c r="X21" s="103">
        <v>46.2</v>
      </c>
      <c r="Y21" s="103">
        <v>46.5</v>
      </c>
      <c r="Z21" s="103">
        <v>46.02</v>
      </c>
      <c r="AA21" s="103">
        <v>46.06</v>
      </c>
      <c r="AB21" s="101">
        <v>1175100</v>
      </c>
      <c r="AC21" s="100">
        <v>45.63</v>
      </c>
      <c r="AD21" s="2">
        <f t="shared" si="0"/>
        <v>0.47999999999999687</v>
      </c>
      <c r="AE21" s="138">
        <f t="shared" si="1"/>
        <v>-2.6229508196721207E-3</v>
      </c>
    </row>
    <row r="22" spans="1:31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4" t="s">
        <v>65</v>
      </c>
      <c r="G22" s="229" t="s">
        <v>155</v>
      </c>
      <c r="H22" s="229" t="s">
        <v>88</v>
      </c>
      <c r="I22" s="229" t="s">
        <v>161</v>
      </c>
      <c r="W22" s="99">
        <v>42590</v>
      </c>
      <c r="X22" s="103">
        <v>45.93</v>
      </c>
      <c r="Y22" s="103">
        <v>46.34</v>
      </c>
      <c r="Z22" s="103">
        <v>45.84</v>
      </c>
      <c r="AA22" s="103">
        <v>46.18</v>
      </c>
      <c r="AB22" s="101">
        <v>2112900</v>
      </c>
      <c r="AC22" s="100">
        <v>45.75</v>
      </c>
      <c r="AD22" s="2">
        <f t="shared" si="0"/>
        <v>0.5</v>
      </c>
      <c r="AE22" s="138">
        <f t="shared" si="1"/>
        <v>4.390779363337094E-3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42587</v>
      </c>
      <c r="X23" s="103">
        <v>46.11</v>
      </c>
      <c r="Y23" s="103">
        <v>46.47</v>
      </c>
      <c r="Z23" s="103">
        <v>45.89</v>
      </c>
      <c r="AA23" s="103">
        <v>45.98</v>
      </c>
      <c r="AB23" s="101">
        <v>1748900</v>
      </c>
      <c r="AC23" s="100">
        <v>45.55</v>
      </c>
      <c r="AD23" s="2">
        <f t="shared" si="0"/>
        <v>0.57999999999999829</v>
      </c>
      <c r="AE23" s="138">
        <f t="shared" si="1"/>
        <v>3.5250055078210885E-3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42586</v>
      </c>
      <c r="X24" s="103">
        <v>45.85</v>
      </c>
      <c r="Y24" s="103">
        <v>46.38</v>
      </c>
      <c r="Z24" s="103">
        <v>45.73</v>
      </c>
      <c r="AA24" s="103">
        <v>45.82</v>
      </c>
      <c r="AB24" s="101">
        <v>2061300</v>
      </c>
      <c r="AC24" s="100">
        <v>45.39</v>
      </c>
      <c r="AD24" s="2">
        <f t="shared" si="0"/>
        <v>0.65000000000000568</v>
      </c>
      <c r="AE24" s="138">
        <f t="shared" si="1"/>
        <v>1.7656146546016771E-3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42585</v>
      </c>
      <c r="X25" s="103">
        <v>45.38</v>
      </c>
      <c r="Y25" s="103">
        <v>45.82</v>
      </c>
      <c r="Z25" s="103">
        <v>45.17</v>
      </c>
      <c r="AA25" s="103">
        <v>45.74</v>
      </c>
      <c r="AB25" s="101">
        <v>1425800</v>
      </c>
      <c r="AC25" s="100">
        <v>45.31</v>
      </c>
      <c r="AD25" s="2">
        <f t="shared" si="0"/>
        <v>0.64999999999999858</v>
      </c>
      <c r="AE25" s="138">
        <f t="shared" si="1"/>
        <v>7.7846975088968762E-3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42584</v>
      </c>
      <c r="X26" s="103">
        <v>45.39</v>
      </c>
      <c r="Y26" s="103">
        <v>45.65</v>
      </c>
      <c r="Z26" s="103">
        <v>45.22</v>
      </c>
      <c r="AA26" s="103">
        <v>45.39</v>
      </c>
      <c r="AB26" s="101">
        <v>2004000</v>
      </c>
      <c r="AC26" s="100">
        <v>44.96</v>
      </c>
      <c r="AD26" s="2">
        <f t="shared" si="0"/>
        <v>0.42999999999999972</v>
      </c>
      <c r="AE26" s="138">
        <f t="shared" si="1"/>
        <v>-2.4406478810738985E-3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42583</v>
      </c>
      <c r="X27" s="103">
        <v>45.76</v>
      </c>
      <c r="Y27" s="103">
        <v>45.88</v>
      </c>
      <c r="Z27" s="103">
        <v>45.17</v>
      </c>
      <c r="AA27" s="103">
        <v>45.5</v>
      </c>
      <c r="AB27" s="101">
        <v>2063200</v>
      </c>
      <c r="AC27" s="100">
        <v>45.07</v>
      </c>
      <c r="AD27" s="2">
        <f t="shared" si="0"/>
        <v>0.71000000000000085</v>
      </c>
      <c r="AE27" s="138">
        <f t="shared" si="1"/>
        <v>-6.8312031732040701E-3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192</v>
      </c>
      <c r="W28" s="99">
        <v>42580</v>
      </c>
      <c r="X28" s="103">
        <v>45.57</v>
      </c>
      <c r="Y28" s="103">
        <v>45.89</v>
      </c>
      <c r="Z28" s="103">
        <v>45.28</v>
      </c>
      <c r="AA28" s="103">
        <v>45.81</v>
      </c>
      <c r="AB28" s="101">
        <v>2319700</v>
      </c>
      <c r="AC28" s="100">
        <v>45.38</v>
      </c>
      <c r="AD28" s="2">
        <f t="shared" si="0"/>
        <v>0.60999999999999943</v>
      </c>
      <c r="AE28" s="138">
        <f t="shared" si="1"/>
        <v>1.7660044150111798E-3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42579</v>
      </c>
      <c r="X29" s="103">
        <v>45.5</v>
      </c>
      <c r="Y29" s="103">
        <v>46.28</v>
      </c>
      <c r="Z29" s="103">
        <v>44.93</v>
      </c>
      <c r="AA29" s="103">
        <v>45.73</v>
      </c>
      <c r="AB29" s="101">
        <v>3215700</v>
      </c>
      <c r="AC29" s="100">
        <v>45.3</v>
      </c>
      <c r="AD29" s="2">
        <f t="shared" si="0"/>
        <v>1.3500000000000014</v>
      </c>
      <c r="AE29" s="138">
        <f t="shared" si="1"/>
        <v>3.1000885739591588E-3</v>
      </c>
    </row>
    <row r="30" spans="1:31" x14ac:dyDescent="0.25">
      <c r="L30" t="s">
        <v>223</v>
      </c>
      <c r="M30" s="2">
        <f>M37+K37-F37</f>
        <v>119.92000000000053</v>
      </c>
      <c r="W30" s="99">
        <v>42578</v>
      </c>
      <c r="X30" s="103">
        <v>45.68</v>
      </c>
      <c r="Y30" s="103">
        <v>45.86</v>
      </c>
      <c r="Z30" s="103">
        <v>45.1</v>
      </c>
      <c r="AA30" s="103">
        <v>45.59</v>
      </c>
      <c r="AB30" s="101">
        <v>2911000</v>
      </c>
      <c r="AC30" s="100">
        <v>45.16</v>
      </c>
      <c r="AD30" s="2">
        <f t="shared" si="0"/>
        <v>0.75999999999999801</v>
      </c>
      <c r="AE30" s="138">
        <f t="shared" si="1"/>
        <v>-1.9889502762431288E-3</v>
      </c>
    </row>
    <row r="31" spans="1:31" x14ac:dyDescent="0.25">
      <c r="A31" s="390" t="s">
        <v>1</v>
      </c>
      <c r="B31" s="390" t="s">
        <v>2</v>
      </c>
      <c r="C31" s="390" t="s">
        <v>4</v>
      </c>
      <c r="D31" s="390" t="s">
        <v>5</v>
      </c>
      <c r="E31" s="390" t="s">
        <v>90</v>
      </c>
      <c r="F31" s="390" t="s">
        <v>60</v>
      </c>
      <c r="G31" s="390" t="s">
        <v>3</v>
      </c>
      <c r="H31" s="419" t="s">
        <v>6</v>
      </c>
      <c r="I31" s="390" t="s">
        <v>7</v>
      </c>
      <c r="J31" s="390" t="s">
        <v>89</v>
      </c>
      <c r="K31" s="390" t="s">
        <v>61</v>
      </c>
      <c r="L31" s="390" t="s">
        <v>77</v>
      </c>
      <c r="M31" s="390" t="s">
        <v>38</v>
      </c>
      <c r="W31" s="99">
        <v>42577</v>
      </c>
      <c r="X31" s="103">
        <v>45.19</v>
      </c>
      <c r="Y31" s="103">
        <v>45.71</v>
      </c>
      <c r="Z31" s="103">
        <v>45.05</v>
      </c>
      <c r="AA31" s="103">
        <v>45.68</v>
      </c>
      <c r="AB31" s="101">
        <v>1600200</v>
      </c>
      <c r="AC31" s="100">
        <v>45.25</v>
      </c>
      <c r="AD31" s="2">
        <f t="shared" si="0"/>
        <v>0.66000000000000369</v>
      </c>
      <c r="AE31" s="138">
        <f t="shared" si="1"/>
        <v>1.230425055928408E-2</v>
      </c>
    </row>
    <row r="32" spans="1:31" x14ac:dyDescent="0.25">
      <c r="A32" s="393" t="s">
        <v>180</v>
      </c>
      <c r="B32" s="383">
        <v>42376</v>
      </c>
      <c r="C32" s="384">
        <v>100</v>
      </c>
      <c r="D32" s="385">
        <v>36.659999999999997</v>
      </c>
      <c r="E32" s="385">
        <v>0</v>
      </c>
      <c r="F32" s="385">
        <f>C32*D32+E32</f>
        <v>3665.9999999999995</v>
      </c>
      <c r="G32" s="420">
        <v>42432</v>
      </c>
      <c r="H32" s="403">
        <v>100</v>
      </c>
      <c r="I32" s="404">
        <v>37.42</v>
      </c>
      <c r="J32" s="404">
        <v>0.08</v>
      </c>
      <c r="K32" s="405">
        <f>I32*H32-J32</f>
        <v>3741.92</v>
      </c>
      <c r="L32" s="383">
        <v>42444</v>
      </c>
      <c r="M32" s="404">
        <v>44</v>
      </c>
      <c r="W32" s="99">
        <v>42576</v>
      </c>
      <c r="X32" s="103">
        <v>45.04</v>
      </c>
      <c r="Y32" s="103">
        <v>45.13</v>
      </c>
      <c r="Z32" s="103">
        <v>44.7</v>
      </c>
      <c r="AA32" s="103">
        <v>45.12</v>
      </c>
      <c r="AB32" s="101">
        <v>1402700</v>
      </c>
      <c r="AC32" s="100">
        <v>44.7</v>
      </c>
      <c r="AD32" s="2">
        <f t="shared" si="0"/>
        <v>0.42999999999999972</v>
      </c>
      <c r="AE32" s="138">
        <f t="shared" si="1"/>
        <v>0</v>
      </c>
    </row>
    <row r="33" spans="1:31" x14ac:dyDescent="0.25">
      <c r="A33" s="394" t="s">
        <v>71</v>
      </c>
      <c r="B33" s="383"/>
      <c r="C33" s="384"/>
      <c r="D33" s="385"/>
      <c r="E33" s="385"/>
      <c r="F33" s="385"/>
      <c r="G33" s="383"/>
      <c r="H33" s="388"/>
      <c r="I33" s="384"/>
      <c r="J33" s="384"/>
      <c r="K33" s="405"/>
      <c r="L33" s="383"/>
      <c r="M33" s="384"/>
      <c r="W33" s="99">
        <v>42573</v>
      </c>
      <c r="X33" s="103">
        <v>44.94</v>
      </c>
      <c r="Y33" s="103">
        <v>45.22</v>
      </c>
      <c r="Z33" s="103">
        <v>44.75</v>
      </c>
      <c r="AA33" s="103">
        <v>45.12</v>
      </c>
      <c r="AB33" s="101">
        <v>1591500</v>
      </c>
      <c r="AC33" s="100">
        <v>44.7</v>
      </c>
      <c r="AD33" s="2">
        <f t="shared" si="0"/>
        <v>0.46999999999999886</v>
      </c>
      <c r="AE33" s="138">
        <f t="shared" si="1"/>
        <v>5.3981106612686069E-3</v>
      </c>
    </row>
    <row r="34" spans="1:31" x14ac:dyDescent="0.25">
      <c r="A34" s="384"/>
      <c r="B34" s="383"/>
      <c r="C34" s="384"/>
      <c r="D34" s="385"/>
      <c r="E34" s="385"/>
      <c r="F34" s="385"/>
      <c r="G34" s="383"/>
      <c r="H34" s="388"/>
      <c r="I34" s="384"/>
      <c r="J34" s="385"/>
      <c r="K34" s="404"/>
      <c r="L34" s="384"/>
      <c r="M34" s="384"/>
      <c r="W34" s="99">
        <v>42572</v>
      </c>
      <c r="X34" s="103">
        <v>45.07</v>
      </c>
      <c r="Y34" s="103">
        <v>45.32</v>
      </c>
      <c r="Z34" s="103">
        <v>44.73</v>
      </c>
      <c r="AA34" s="103">
        <v>44.88</v>
      </c>
      <c r="AB34" s="101">
        <v>1802500</v>
      </c>
      <c r="AC34" s="100">
        <v>44.46</v>
      </c>
      <c r="AD34" s="2">
        <f t="shared" si="0"/>
        <v>0.59000000000000341</v>
      </c>
      <c r="AE34" s="138">
        <f t="shared" si="1"/>
        <v>-2.9154518950438302E-3</v>
      </c>
    </row>
    <row r="35" spans="1:31" x14ac:dyDescent="0.25">
      <c r="A35" s="384"/>
      <c r="B35" s="383"/>
      <c r="C35" s="384"/>
      <c r="D35" s="385"/>
      <c r="E35" s="385"/>
      <c r="F35" s="385"/>
      <c r="G35" s="383"/>
      <c r="H35" s="388"/>
      <c r="I35" s="384"/>
      <c r="J35" s="385"/>
      <c r="K35" s="404"/>
      <c r="L35" s="384"/>
      <c r="M35" s="384"/>
      <c r="W35" s="99">
        <v>42571</v>
      </c>
      <c r="X35" s="103">
        <v>45.01</v>
      </c>
      <c r="Y35" s="103">
        <v>45.47</v>
      </c>
      <c r="Z35" s="103">
        <v>44.89</v>
      </c>
      <c r="AA35" s="103">
        <v>45.01</v>
      </c>
      <c r="AB35" s="101">
        <v>2414700</v>
      </c>
      <c r="AC35" s="100">
        <v>44.59</v>
      </c>
      <c r="AD35" s="2">
        <f t="shared" si="0"/>
        <v>0.57999999999999829</v>
      </c>
      <c r="AE35" s="138">
        <f t="shared" si="1"/>
        <v>8.9786756453436034E-4</v>
      </c>
    </row>
    <row r="36" spans="1:31" x14ac:dyDescent="0.25">
      <c r="A36" s="384"/>
      <c r="B36" s="384"/>
      <c r="C36" s="384"/>
      <c r="D36" s="384"/>
      <c r="E36" s="384"/>
      <c r="F36" s="384"/>
      <c r="G36" s="384"/>
      <c r="H36" s="388"/>
      <c r="I36" s="384"/>
      <c r="J36" s="384"/>
      <c r="K36" s="384"/>
      <c r="L36" s="384"/>
      <c r="M36" s="384"/>
      <c r="W36" s="99">
        <v>42570</v>
      </c>
      <c r="X36" s="103">
        <v>45.44</v>
      </c>
      <c r="Y36" s="103">
        <v>45.65</v>
      </c>
      <c r="Z36" s="103">
        <v>44.81</v>
      </c>
      <c r="AA36" s="103">
        <v>44.97</v>
      </c>
      <c r="AB36" s="101">
        <v>2908300</v>
      </c>
      <c r="AC36" s="100">
        <v>44.55</v>
      </c>
      <c r="AD36" s="2">
        <f t="shared" si="0"/>
        <v>0.83999999999999631</v>
      </c>
      <c r="AE36" s="138">
        <f t="shared" si="1"/>
        <v>-1.2195121951219634E-2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42569</v>
      </c>
      <c r="X37" s="103">
        <v>45.47</v>
      </c>
      <c r="Y37" s="103">
        <v>45.63</v>
      </c>
      <c r="Z37" s="103">
        <v>45.11</v>
      </c>
      <c r="AA37" s="103">
        <v>45.53</v>
      </c>
      <c r="AB37" s="101">
        <v>2118800</v>
      </c>
      <c r="AC37" s="100">
        <v>45.1</v>
      </c>
      <c r="AD37" s="2">
        <f t="shared" si="0"/>
        <v>0.52000000000000313</v>
      </c>
      <c r="AE37" s="138">
        <f t="shared" si="1"/>
        <v>1.332149200710564E-3</v>
      </c>
    </row>
    <row r="38" spans="1:31" x14ac:dyDescent="0.25">
      <c r="A38" s="384"/>
      <c r="B38" s="384"/>
      <c r="C38" s="384"/>
      <c r="D38" s="384"/>
      <c r="E38" s="384"/>
      <c r="F38" s="384"/>
      <c r="G38" s="384"/>
      <c r="H38" s="388"/>
      <c r="I38" s="384"/>
      <c r="J38" s="384"/>
      <c r="K38" s="384"/>
      <c r="L38" s="384"/>
      <c r="M38" s="384"/>
      <c r="W38" s="99">
        <v>42566</v>
      </c>
      <c r="X38" s="103">
        <v>44.41</v>
      </c>
      <c r="Y38" s="103">
        <v>45.97</v>
      </c>
      <c r="Z38" s="103">
        <v>44.41</v>
      </c>
      <c r="AA38" s="103">
        <v>45.47</v>
      </c>
      <c r="AB38" s="101">
        <v>5390300</v>
      </c>
      <c r="AC38" s="100">
        <v>45.04</v>
      </c>
      <c r="AD38" s="2">
        <f t="shared" si="0"/>
        <v>1.5600000000000023</v>
      </c>
      <c r="AE38" s="138">
        <f t="shared" si="1"/>
        <v>3.208065994500453E-2</v>
      </c>
    </row>
    <row r="39" spans="1:31" x14ac:dyDescent="0.25">
      <c r="W39" s="99">
        <v>42565</v>
      </c>
      <c r="X39" s="103">
        <v>44.5</v>
      </c>
      <c r="Y39" s="103">
        <v>44.68</v>
      </c>
      <c r="Z39" s="103">
        <v>43.98</v>
      </c>
      <c r="AA39" s="103">
        <v>44.05</v>
      </c>
      <c r="AB39" s="101">
        <v>3046000</v>
      </c>
      <c r="AC39" s="100">
        <v>43.64</v>
      </c>
      <c r="AD39" s="2">
        <f t="shared" si="0"/>
        <v>0.70000000000000284</v>
      </c>
      <c r="AE39" s="138">
        <f t="shared" si="1"/>
        <v>-4.1077133728890658E-3</v>
      </c>
    </row>
    <row r="40" spans="1:31" ht="20.25" thickBot="1" x14ac:dyDescent="0.35">
      <c r="O40" s="545" t="s">
        <v>78</v>
      </c>
      <c r="P40" s="545"/>
      <c r="W40" s="99">
        <v>42564</v>
      </c>
      <c r="X40" s="103">
        <v>44.19</v>
      </c>
      <c r="Y40" s="103">
        <v>44.4</v>
      </c>
      <c r="Z40" s="103">
        <v>43.85</v>
      </c>
      <c r="AA40" s="103">
        <v>44.24</v>
      </c>
      <c r="AB40" s="101">
        <v>2818100</v>
      </c>
      <c r="AC40" s="100">
        <v>43.82</v>
      </c>
      <c r="AD40" s="2">
        <f t="shared" si="0"/>
        <v>0.54999999999999716</v>
      </c>
      <c r="AE40" s="138">
        <f t="shared" si="1"/>
        <v>1.6000000000000458E-3</v>
      </c>
    </row>
    <row r="41" spans="1:31" ht="15.75" thickTop="1" x14ac:dyDescent="0.25">
      <c r="O41" s="83">
        <v>1.1000000000000001</v>
      </c>
      <c r="P41" s="83">
        <f>O41*$Q$4</f>
        <v>54.285000000000004</v>
      </c>
      <c r="Q41" s="2"/>
      <c r="W41" s="99">
        <v>42563</v>
      </c>
      <c r="X41" s="103">
        <v>43.32</v>
      </c>
      <c r="Y41" s="103">
        <v>44.22</v>
      </c>
      <c r="Z41" s="103">
        <v>43.28</v>
      </c>
      <c r="AA41" s="103">
        <v>44.17</v>
      </c>
      <c r="AB41" s="101">
        <v>2839600</v>
      </c>
      <c r="AC41" s="100">
        <v>43.75</v>
      </c>
      <c r="AD41" s="2">
        <f t="shared" si="0"/>
        <v>0.93999999999999773</v>
      </c>
      <c r="AE41" s="138">
        <f t="shared" si="1"/>
        <v>2.6272577996715896E-2</v>
      </c>
    </row>
    <row r="42" spans="1:31" ht="20.25" thickBot="1" x14ac:dyDescent="0.35">
      <c r="O42" s="83">
        <v>1.0900000000000001</v>
      </c>
      <c r="P42" s="83">
        <f t="shared" ref="P42:P61" si="2">O42*$Q$4</f>
        <v>53.791500000000006</v>
      </c>
      <c r="Q42" s="2"/>
      <c r="T42" s="91" t="s">
        <v>113</v>
      </c>
      <c r="W42" s="99">
        <v>42562</v>
      </c>
      <c r="X42" s="103">
        <v>42.72</v>
      </c>
      <c r="Y42" s="103">
        <v>43.11</v>
      </c>
      <c r="Z42" s="103">
        <v>42.48</v>
      </c>
      <c r="AA42" s="103">
        <v>43.03</v>
      </c>
      <c r="AB42" s="101">
        <v>1988600</v>
      </c>
      <c r="AC42" s="100">
        <v>42.63</v>
      </c>
      <c r="AD42" s="2">
        <f t="shared" si="0"/>
        <v>0.63000000000000256</v>
      </c>
      <c r="AE42" s="138">
        <f t="shared" si="1"/>
        <v>6.6115702479339067E-3</v>
      </c>
    </row>
    <row r="43" spans="1:31" ht="15.75" thickTop="1" x14ac:dyDescent="0.25">
      <c r="O43" s="83">
        <v>1.08</v>
      </c>
      <c r="P43" s="83">
        <f t="shared" si="2"/>
        <v>53.298000000000002</v>
      </c>
      <c r="Q43" s="2"/>
      <c r="T43" s="97" t="s">
        <v>98</v>
      </c>
      <c r="U43" s="98">
        <v>48.71</v>
      </c>
      <c r="W43" s="99">
        <v>42559</v>
      </c>
      <c r="X43" s="103">
        <v>42.27</v>
      </c>
      <c r="Y43" s="103">
        <v>42.86</v>
      </c>
      <c r="Z43" s="103">
        <v>42.2</v>
      </c>
      <c r="AA43" s="103">
        <v>42.75</v>
      </c>
      <c r="AB43" s="101">
        <v>2274500</v>
      </c>
      <c r="AC43" s="100">
        <v>42.35</v>
      </c>
      <c r="AD43" s="2">
        <f t="shared" si="0"/>
        <v>0.65999999999999659</v>
      </c>
      <c r="AE43" s="138">
        <f t="shared" si="1"/>
        <v>2.0236087689713411E-2</v>
      </c>
    </row>
    <row r="44" spans="1:31" x14ac:dyDescent="0.25">
      <c r="O44" s="83">
        <v>1.07</v>
      </c>
      <c r="P44" s="83">
        <f t="shared" si="2"/>
        <v>52.804500000000004</v>
      </c>
      <c r="Q44" s="2"/>
      <c r="T44" s="87" t="s">
        <v>99</v>
      </c>
      <c r="U44" s="88">
        <v>49</v>
      </c>
      <c r="W44" s="99">
        <v>42558</v>
      </c>
      <c r="X44" s="103">
        <v>41.95</v>
      </c>
      <c r="Y44" s="103">
        <v>42.48</v>
      </c>
      <c r="Z44" s="103">
        <v>41.67</v>
      </c>
      <c r="AA44" s="103">
        <v>41.9</v>
      </c>
      <c r="AB44" s="101">
        <v>2317000</v>
      </c>
      <c r="AC44" s="100">
        <v>41.51</v>
      </c>
      <c r="AD44" s="2">
        <f t="shared" si="0"/>
        <v>0.80999999999999517</v>
      </c>
      <c r="AE44" s="138">
        <f t="shared" si="1"/>
        <v>-1.4433485686793368E-3</v>
      </c>
    </row>
    <row r="45" spans="1:31" x14ac:dyDescent="0.25">
      <c r="O45" s="83">
        <v>1.06</v>
      </c>
      <c r="P45" s="83">
        <f t="shared" si="2"/>
        <v>52.311000000000007</v>
      </c>
      <c r="Q45" s="2"/>
      <c r="T45" s="87" t="s">
        <v>100</v>
      </c>
      <c r="U45" s="88" t="s">
        <v>391</v>
      </c>
      <c r="W45" s="99">
        <v>42557</v>
      </c>
      <c r="X45" s="103">
        <v>41.69</v>
      </c>
      <c r="Y45" s="103">
        <v>42</v>
      </c>
      <c r="Z45" s="103">
        <v>41.08</v>
      </c>
      <c r="AA45" s="103">
        <v>41.96</v>
      </c>
      <c r="AB45" s="101">
        <v>3467400</v>
      </c>
      <c r="AC45" s="100">
        <v>41.57</v>
      </c>
      <c r="AD45" s="2">
        <f t="shared" si="0"/>
        <v>0.92000000000000171</v>
      </c>
      <c r="AE45" s="138">
        <f t="shared" si="1"/>
        <v>4.8344210780759678E-3</v>
      </c>
    </row>
    <row r="46" spans="1:31" x14ac:dyDescent="0.25">
      <c r="O46" s="83">
        <v>1.05</v>
      </c>
      <c r="P46" s="83">
        <f t="shared" si="2"/>
        <v>51.817500000000003</v>
      </c>
      <c r="Q46" s="2"/>
      <c r="T46" s="87" t="s">
        <v>101</v>
      </c>
      <c r="U46" s="88" t="s">
        <v>392</v>
      </c>
      <c r="W46" s="99">
        <v>42556</v>
      </c>
      <c r="X46" s="103">
        <v>42.3</v>
      </c>
      <c r="Y46" s="103">
        <v>42.42</v>
      </c>
      <c r="Z46" s="103">
        <v>41.53</v>
      </c>
      <c r="AA46" s="103">
        <v>41.76</v>
      </c>
      <c r="AB46" s="101">
        <v>1822800</v>
      </c>
      <c r="AC46" s="100">
        <v>41.37</v>
      </c>
      <c r="AD46" s="2">
        <f t="shared" si="0"/>
        <v>0.89000000000000057</v>
      </c>
      <c r="AE46" s="138">
        <f t="shared" si="1"/>
        <v>-2.221696998345557E-2</v>
      </c>
    </row>
    <row r="47" spans="1:31" x14ac:dyDescent="0.25">
      <c r="O47" s="83">
        <v>1.04</v>
      </c>
      <c r="P47" s="83">
        <f t="shared" si="2"/>
        <v>51.324000000000005</v>
      </c>
      <c r="Q47" s="2"/>
      <c r="T47" s="87" t="s">
        <v>102</v>
      </c>
      <c r="U47" s="88">
        <v>48.75</v>
      </c>
      <c r="W47" s="99">
        <v>42552</v>
      </c>
      <c r="X47" s="103">
        <v>42.7</v>
      </c>
      <c r="Y47" s="103">
        <v>42.82</v>
      </c>
      <c r="Z47" s="103">
        <v>42.19</v>
      </c>
      <c r="AA47" s="103">
        <v>42.71</v>
      </c>
      <c r="AB47" s="101">
        <v>1943800</v>
      </c>
      <c r="AC47" s="100">
        <v>42.31</v>
      </c>
      <c r="AD47" s="2">
        <f t="shared" si="0"/>
        <v>0.63000000000000256</v>
      </c>
      <c r="AE47" s="138">
        <f t="shared" si="1"/>
        <v>7.8608861362554627E-3</v>
      </c>
    </row>
    <row r="48" spans="1:31" x14ac:dyDescent="0.25">
      <c r="O48" s="83">
        <v>1.03</v>
      </c>
      <c r="P48" s="83">
        <f t="shared" si="2"/>
        <v>50.830500000000001</v>
      </c>
      <c r="Q48" s="2"/>
      <c r="T48" s="87" t="s">
        <v>103</v>
      </c>
      <c r="U48" s="88">
        <v>1.5356700000000001</v>
      </c>
      <c r="W48" s="99">
        <v>42551</v>
      </c>
      <c r="X48" s="103">
        <v>41.31</v>
      </c>
      <c r="Y48" s="103">
        <v>42.38</v>
      </c>
      <c r="Z48" s="103">
        <v>41</v>
      </c>
      <c r="AA48" s="103">
        <v>42.38</v>
      </c>
      <c r="AB48" s="101">
        <v>3105000</v>
      </c>
      <c r="AC48" s="100">
        <v>41.98</v>
      </c>
      <c r="AD48" s="2">
        <f t="shared" si="0"/>
        <v>1.3800000000000026</v>
      </c>
      <c r="AE48" s="138">
        <f t="shared" si="1"/>
        <v>2.9426189308484396E-2</v>
      </c>
    </row>
    <row r="49" spans="15:31" x14ac:dyDescent="0.25">
      <c r="O49" s="83">
        <v>1.02</v>
      </c>
      <c r="P49" s="83">
        <f t="shared" si="2"/>
        <v>50.337000000000003</v>
      </c>
      <c r="Q49" s="2"/>
      <c r="T49" s="87" t="s">
        <v>104</v>
      </c>
      <c r="U49" s="89" t="s">
        <v>321</v>
      </c>
      <c r="W49" s="99">
        <v>42550</v>
      </c>
      <c r="X49" s="103">
        <v>40.83</v>
      </c>
      <c r="Y49" s="103">
        <v>41.34</v>
      </c>
      <c r="Z49" s="103">
        <v>40.630000000000003</v>
      </c>
      <c r="AA49" s="103">
        <v>41.17</v>
      </c>
      <c r="AB49" s="101">
        <v>2300700</v>
      </c>
      <c r="AC49" s="100">
        <v>40.78</v>
      </c>
      <c r="AD49" s="2">
        <f t="shared" si="0"/>
        <v>0.71000000000000085</v>
      </c>
      <c r="AE49" s="138">
        <f t="shared" si="1"/>
        <v>2.2567703109327875E-2</v>
      </c>
    </row>
    <row r="50" spans="15:31" x14ac:dyDescent="0.25">
      <c r="O50" s="83">
        <v>1.01</v>
      </c>
      <c r="P50" s="83">
        <f t="shared" si="2"/>
        <v>49.843499999999999</v>
      </c>
      <c r="Q50" s="2"/>
      <c r="T50" s="87"/>
      <c r="U50" s="88"/>
      <c r="W50" s="99">
        <v>42549</v>
      </c>
      <c r="X50" s="103">
        <v>40</v>
      </c>
      <c r="Y50" s="103">
        <v>40.270000000000003</v>
      </c>
      <c r="Z50" s="103">
        <v>39.51</v>
      </c>
      <c r="AA50" s="103">
        <v>40.26</v>
      </c>
      <c r="AB50" s="101">
        <v>2858200</v>
      </c>
      <c r="AC50" s="100">
        <v>39.880000000000003</v>
      </c>
      <c r="AD50" s="2">
        <f t="shared" si="0"/>
        <v>0.76000000000000512</v>
      </c>
      <c r="AE50" s="138">
        <f t="shared" si="1"/>
        <v>1.553348612172134E-2</v>
      </c>
    </row>
    <row r="51" spans="15:31" x14ac:dyDescent="0.25">
      <c r="O51" s="83">
        <v>1</v>
      </c>
      <c r="P51" s="83">
        <f t="shared" si="2"/>
        <v>49.35</v>
      </c>
      <c r="Q51" s="2"/>
      <c r="T51" s="87" t="s">
        <v>105</v>
      </c>
      <c r="U51" s="88" t="s">
        <v>393</v>
      </c>
      <c r="W51" s="99">
        <v>42548</v>
      </c>
      <c r="X51" s="103">
        <v>41</v>
      </c>
      <c r="Y51" s="103">
        <v>41.07</v>
      </c>
      <c r="Z51" s="103">
        <v>39.24</v>
      </c>
      <c r="AA51" s="103">
        <v>39.64</v>
      </c>
      <c r="AB51" s="101">
        <v>4015400</v>
      </c>
      <c r="AC51" s="100">
        <v>39.270000000000003</v>
      </c>
      <c r="AD51" s="2">
        <f t="shared" si="0"/>
        <v>1.8299999999999983</v>
      </c>
      <c r="AE51" s="138">
        <f t="shared" si="1"/>
        <v>-4.1727672035138941E-2</v>
      </c>
    </row>
    <row r="52" spans="15:31" x14ac:dyDescent="0.25">
      <c r="O52" s="83">
        <v>0.99</v>
      </c>
      <c r="P52" s="83">
        <f t="shared" si="2"/>
        <v>48.856500000000004</v>
      </c>
      <c r="Q52" s="2"/>
      <c r="T52" s="87" t="s">
        <v>106</v>
      </c>
      <c r="U52" s="88" t="s">
        <v>368</v>
      </c>
      <c r="W52" s="99">
        <v>42545</v>
      </c>
      <c r="X52" s="103">
        <v>41.52</v>
      </c>
      <c r="Y52" s="103">
        <v>42.38</v>
      </c>
      <c r="Z52" s="103">
        <v>41.25</v>
      </c>
      <c r="AA52" s="103">
        <v>41.37</v>
      </c>
      <c r="AB52" s="101">
        <v>9585800</v>
      </c>
      <c r="AC52" s="100">
        <v>40.98</v>
      </c>
      <c r="AD52" s="2">
        <f t="shared" si="0"/>
        <v>1.1300000000000026</v>
      </c>
      <c r="AE52" s="138">
        <f t="shared" si="1"/>
        <v>-4.4309701492537434E-2</v>
      </c>
    </row>
    <row r="53" spans="15:31" x14ac:dyDescent="0.25">
      <c r="O53" s="83">
        <v>0.98</v>
      </c>
      <c r="P53" s="83">
        <f t="shared" si="2"/>
        <v>48.363</v>
      </c>
      <c r="Q53" s="2"/>
      <c r="T53" s="87" t="s">
        <v>107</v>
      </c>
      <c r="U53" s="90">
        <v>1656955</v>
      </c>
      <c r="W53" s="99">
        <v>42544</v>
      </c>
      <c r="X53" s="103">
        <v>43.02</v>
      </c>
      <c r="Y53" s="103">
        <v>43.29</v>
      </c>
      <c r="Z53" s="103">
        <v>42.88</v>
      </c>
      <c r="AA53" s="103">
        <v>43.29</v>
      </c>
      <c r="AB53" s="101">
        <v>1582600</v>
      </c>
      <c r="AC53" s="100">
        <v>42.88</v>
      </c>
      <c r="AD53" s="2">
        <f t="shared" si="0"/>
        <v>0.40999999999999659</v>
      </c>
      <c r="AE53" s="138">
        <f t="shared" si="1"/>
        <v>2.1682153919466485E-2</v>
      </c>
    </row>
    <row r="54" spans="15:31" x14ac:dyDescent="0.25">
      <c r="O54" s="83">
        <v>0.97</v>
      </c>
      <c r="P54" s="83">
        <f t="shared" si="2"/>
        <v>47.869500000000002</v>
      </c>
      <c r="T54" s="87" t="s">
        <v>110</v>
      </c>
      <c r="U54" s="90">
        <v>2654840</v>
      </c>
      <c r="W54" s="99">
        <v>42543</v>
      </c>
      <c r="X54" s="103">
        <v>42.53</v>
      </c>
      <c r="Y54" s="103">
        <v>42.69</v>
      </c>
      <c r="Z54" s="103">
        <v>42.37</v>
      </c>
      <c r="AA54" s="103">
        <v>42.37</v>
      </c>
      <c r="AB54" s="101">
        <v>1579100</v>
      </c>
      <c r="AC54" s="100">
        <v>41.97</v>
      </c>
      <c r="AD54" s="2">
        <f t="shared" si="0"/>
        <v>0.32000000000000028</v>
      </c>
      <c r="AE54" s="138">
        <f t="shared" si="1"/>
        <v>-1.9024970273483488E-3</v>
      </c>
    </row>
    <row r="55" spans="15:31" x14ac:dyDescent="0.25">
      <c r="O55" s="83">
        <v>0.96</v>
      </c>
      <c r="P55" s="83">
        <f t="shared" si="2"/>
        <v>47.375999999999998</v>
      </c>
      <c r="T55" s="87" t="s">
        <v>108</v>
      </c>
      <c r="U55" s="88" t="s">
        <v>394</v>
      </c>
      <c r="W55" s="99">
        <v>42542</v>
      </c>
      <c r="X55" s="103">
        <v>42.85</v>
      </c>
      <c r="Y55" s="103">
        <v>42.87</v>
      </c>
      <c r="Z55" s="103">
        <v>42.43</v>
      </c>
      <c r="AA55" s="103">
        <v>42.45</v>
      </c>
      <c r="AB55" s="101">
        <v>1729200</v>
      </c>
      <c r="AC55" s="100">
        <v>42.05</v>
      </c>
      <c r="AD55" s="2">
        <f t="shared" si="0"/>
        <v>0.43999999999999773</v>
      </c>
      <c r="AE55" s="138">
        <f t="shared" si="1"/>
        <v>-5.439924314096567E-3</v>
      </c>
    </row>
    <row r="56" spans="15:31" x14ac:dyDescent="0.25">
      <c r="O56" s="83">
        <v>0.95</v>
      </c>
      <c r="P56" s="83">
        <f t="shared" si="2"/>
        <v>46.8825</v>
      </c>
      <c r="T56" s="87" t="s">
        <v>111</v>
      </c>
      <c r="U56" s="88">
        <v>26.61</v>
      </c>
      <c r="W56" s="99">
        <v>42541</v>
      </c>
      <c r="X56" s="103">
        <v>42.45</v>
      </c>
      <c r="Y56" s="103">
        <v>43.11</v>
      </c>
      <c r="Z56" s="103">
        <v>42.42</v>
      </c>
      <c r="AA56" s="103">
        <v>42.68</v>
      </c>
      <c r="AB56" s="101">
        <v>2188300</v>
      </c>
      <c r="AC56" s="100">
        <v>42.28</v>
      </c>
      <c r="AD56" s="2">
        <f t="shared" si="0"/>
        <v>0.68999999999999773</v>
      </c>
      <c r="AE56" s="138">
        <f t="shared" si="1"/>
        <v>1.7079624729372078E-2</v>
      </c>
    </row>
    <row r="57" spans="15:31" x14ac:dyDescent="0.25">
      <c r="O57" s="83">
        <v>0.94</v>
      </c>
      <c r="P57" s="83">
        <f t="shared" si="2"/>
        <v>46.388999999999996</v>
      </c>
      <c r="T57" s="87" t="s">
        <v>112</v>
      </c>
      <c r="U57" s="88">
        <v>1.85</v>
      </c>
      <c r="W57" s="99">
        <v>42538</v>
      </c>
      <c r="X57" s="103">
        <v>41.72</v>
      </c>
      <c r="Y57" s="103">
        <v>42.04</v>
      </c>
      <c r="Z57" s="103">
        <v>41.45</v>
      </c>
      <c r="AA57" s="103">
        <v>41.96</v>
      </c>
      <c r="AB57" s="101">
        <v>2809500</v>
      </c>
      <c r="AC57" s="100">
        <v>41.57</v>
      </c>
      <c r="AD57" s="2">
        <f t="shared" si="0"/>
        <v>0.58999999999999631</v>
      </c>
      <c r="AE57" s="138">
        <f t="shared" si="1"/>
        <v>5.5636187711658458E-3</v>
      </c>
    </row>
    <row r="58" spans="15:31" x14ac:dyDescent="0.25">
      <c r="O58" s="83">
        <v>0.93</v>
      </c>
      <c r="P58" s="83">
        <f t="shared" si="2"/>
        <v>45.895500000000006</v>
      </c>
      <c r="T58" s="87" t="s">
        <v>109</v>
      </c>
      <c r="U58" s="88" t="s">
        <v>571</v>
      </c>
      <c r="W58" s="99">
        <v>42537</v>
      </c>
      <c r="X58" s="103">
        <v>41.37</v>
      </c>
      <c r="Y58" s="103">
        <v>41.76</v>
      </c>
      <c r="Z58" s="103">
        <v>40.89</v>
      </c>
      <c r="AA58" s="103">
        <v>41.73</v>
      </c>
      <c r="AB58" s="101">
        <v>2799700</v>
      </c>
      <c r="AC58" s="100">
        <v>41.34</v>
      </c>
      <c r="AD58" s="2">
        <f t="shared" si="0"/>
        <v>0.86999999999999744</v>
      </c>
      <c r="AE58" s="138">
        <f t="shared" si="1"/>
        <v>3.3980582524271163E-3</v>
      </c>
    </row>
    <row r="59" spans="15:31" x14ac:dyDescent="0.25">
      <c r="O59" s="83">
        <v>0.92</v>
      </c>
      <c r="P59" s="83">
        <f t="shared" si="2"/>
        <v>45.402000000000001</v>
      </c>
      <c r="W59" s="99">
        <v>42536</v>
      </c>
      <c r="X59" s="103">
        <v>42</v>
      </c>
      <c r="Y59" s="103">
        <v>42.26</v>
      </c>
      <c r="Z59" s="103">
        <v>41.55</v>
      </c>
      <c r="AA59" s="103">
        <v>41.59</v>
      </c>
      <c r="AB59" s="101">
        <v>2386000</v>
      </c>
      <c r="AC59" s="100">
        <v>41.2</v>
      </c>
      <c r="AD59" s="2">
        <f t="shared" si="0"/>
        <v>0.71000000000000085</v>
      </c>
      <c r="AE59" s="138">
        <f t="shared" si="1"/>
        <v>-3.3865505563619447E-3</v>
      </c>
    </row>
    <row r="60" spans="15:31" x14ac:dyDescent="0.25">
      <c r="O60" s="83">
        <v>0.91</v>
      </c>
      <c r="P60" s="83">
        <f t="shared" si="2"/>
        <v>44.908500000000004</v>
      </c>
      <c r="W60" s="99">
        <v>42535</v>
      </c>
      <c r="X60" s="103">
        <v>41.78</v>
      </c>
      <c r="Y60" s="103">
        <v>41.94</v>
      </c>
      <c r="Z60" s="103">
        <v>41.31</v>
      </c>
      <c r="AA60" s="103">
        <v>41.73</v>
      </c>
      <c r="AB60" s="101">
        <v>3014400</v>
      </c>
      <c r="AC60" s="100">
        <v>41.34</v>
      </c>
      <c r="AD60" s="2">
        <f t="shared" si="0"/>
        <v>0.62999999999999545</v>
      </c>
      <c r="AE60" s="138">
        <f t="shared" si="1"/>
        <v>-6.0110603510459271E-3</v>
      </c>
    </row>
    <row r="61" spans="15:31" x14ac:dyDescent="0.25">
      <c r="O61" s="83">
        <v>0.9</v>
      </c>
      <c r="P61" s="83">
        <f t="shared" si="2"/>
        <v>44.414999999999999</v>
      </c>
      <c r="W61" s="99">
        <v>42534</v>
      </c>
      <c r="X61" s="103">
        <v>42.92</v>
      </c>
      <c r="Y61" s="103">
        <v>43.04</v>
      </c>
      <c r="Z61" s="103">
        <v>41.93</v>
      </c>
      <c r="AA61" s="103">
        <v>41.98</v>
      </c>
      <c r="AB61" s="101">
        <v>3483500</v>
      </c>
      <c r="AC61" s="100">
        <v>41.59</v>
      </c>
      <c r="AD61" s="2">
        <f t="shared" si="0"/>
        <v>1.1099999999999994</v>
      </c>
      <c r="AE61" s="138">
        <f t="shared" si="1"/>
        <v>-2.7589431844750933E-2</v>
      </c>
    </row>
    <row r="62" spans="15:31" x14ac:dyDescent="0.25">
      <c r="W62" s="99">
        <v>42531</v>
      </c>
      <c r="X62" s="103">
        <v>43.35</v>
      </c>
      <c r="Y62" s="103">
        <v>43.39</v>
      </c>
      <c r="Z62" s="103">
        <v>42.9</v>
      </c>
      <c r="AA62" s="103">
        <v>43.18</v>
      </c>
      <c r="AB62" s="101">
        <v>2337200</v>
      </c>
      <c r="AC62" s="100">
        <v>42.77</v>
      </c>
      <c r="AD62" s="2">
        <f t="shared" si="0"/>
        <v>0.49000000000000199</v>
      </c>
      <c r="AE62" s="138">
        <f t="shared" si="1"/>
        <v>-9.4951366373320356E-3</v>
      </c>
    </row>
    <row r="63" spans="15:31" x14ac:dyDescent="0.25">
      <c r="W63" s="99">
        <v>42530</v>
      </c>
      <c r="X63" s="103">
        <v>43.9</v>
      </c>
      <c r="Y63" s="103">
        <v>43.99</v>
      </c>
      <c r="Z63" s="103">
        <v>43.36</v>
      </c>
      <c r="AA63" s="103">
        <v>43.59</v>
      </c>
      <c r="AB63" s="101">
        <v>1661100</v>
      </c>
      <c r="AC63" s="100">
        <v>43.18</v>
      </c>
      <c r="AD63" s="2">
        <f t="shared" si="0"/>
        <v>0.63000000000000256</v>
      </c>
      <c r="AE63" s="138">
        <f t="shared" si="1"/>
        <v>-1.189931350114426E-2</v>
      </c>
    </row>
    <row r="64" spans="15:31" x14ac:dyDescent="0.25">
      <c r="W64" s="99">
        <v>42529</v>
      </c>
      <c r="X64" s="103">
        <v>44.12</v>
      </c>
      <c r="Y64" s="103">
        <v>44.18</v>
      </c>
      <c r="Z64" s="103">
        <v>43.87</v>
      </c>
      <c r="AA64" s="103">
        <v>44.11</v>
      </c>
      <c r="AB64" s="101">
        <v>2899800</v>
      </c>
      <c r="AC64" s="100">
        <v>43.7</v>
      </c>
      <c r="AD64" s="2">
        <f t="shared" si="0"/>
        <v>0.31000000000000227</v>
      </c>
      <c r="AE64" s="138">
        <f t="shared" si="1"/>
        <v>4.5977011494253706E-3</v>
      </c>
    </row>
    <row r="65" spans="23:31" x14ac:dyDescent="0.25">
      <c r="W65" s="99">
        <v>42528</v>
      </c>
      <c r="X65" s="103">
        <v>43.29</v>
      </c>
      <c r="Y65" s="103">
        <v>44.11</v>
      </c>
      <c r="Z65" s="103">
        <v>43.2</v>
      </c>
      <c r="AA65" s="103">
        <v>43.91</v>
      </c>
      <c r="AB65" s="101">
        <v>3864500</v>
      </c>
      <c r="AC65" s="100">
        <v>43.5</v>
      </c>
      <c r="AD65" s="2">
        <f t="shared" si="0"/>
        <v>0.90999999999999659</v>
      </c>
      <c r="AE65" s="138">
        <f t="shared" si="1"/>
        <v>1.8496839147740474E-2</v>
      </c>
    </row>
    <row r="66" spans="23:31" x14ac:dyDescent="0.25">
      <c r="W66" s="99">
        <v>42527</v>
      </c>
      <c r="X66" s="103">
        <v>43</v>
      </c>
      <c r="Y66" s="103">
        <v>43.25</v>
      </c>
      <c r="Z66" s="103">
        <v>42.93</v>
      </c>
      <c r="AA66" s="103">
        <v>43.12</v>
      </c>
      <c r="AB66" s="101">
        <v>1945800</v>
      </c>
      <c r="AC66" s="100">
        <v>42.71</v>
      </c>
      <c r="AD66" s="2">
        <f t="shared" si="0"/>
        <v>0.32000000000000028</v>
      </c>
      <c r="AE66" s="138">
        <f t="shared" si="1"/>
        <v>4.2323066071008331E-3</v>
      </c>
    </row>
    <row r="67" spans="23:31" x14ac:dyDescent="0.25">
      <c r="W67" s="99">
        <v>42524</v>
      </c>
      <c r="X67" s="103">
        <v>42.9</v>
      </c>
      <c r="Y67" s="103">
        <v>42.98</v>
      </c>
      <c r="Z67" s="103">
        <v>42.4</v>
      </c>
      <c r="AA67" s="103">
        <v>42.93</v>
      </c>
      <c r="AB67" s="101">
        <v>2868400</v>
      </c>
      <c r="AC67" s="100">
        <v>42.53</v>
      </c>
      <c r="AD67" s="2">
        <f>Y67-Z67</f>
        <v>0.57999999999999829</v>
      </c>
      <c r="AE67" s="138" t="e">
        <f>AC67/#REF!-1</f>
        <v>#REF!</v>
      </c>
    </row>
    <row r="68" spans="23:31" x14ac:dyDescent="0.25">
      <c r="W68" s="99">
        <v>42523</v>
      </c>
      <c r="X68" s="103">
        <v>42.15</v>
      </c>
      <c r="Y68" s="103">
        <v>43.09</v>
      </c>
      <c r="Z68" s="103">
        <v>42.07</v>
      </c>
      <c r="AA68" s="103">
        <v>42.9</v>
      </c>
      <c r="AB68" s="101">
        <v>3181700</v>
      </c>
      <c r="AC68" s="100">
        <v>42.5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80" priority="11">
      <formula>F27&gt;0</formula>
    </cfRule>
    <cfRule type="expression" dxfId="479" priority="12">
      <formula>F27&lt;0</formula>
    </cfRule>
  </conditionalFormatting>
  <conditionalFormatting sqref="H27:H29">
    <cfRule type="expression" dxfId="478" priority="9">
      <formula>H27&gt;0</formula>
    </cfRule>
    <cfRule type="expression" dxfId="477" priority="10">
      <formula>H27&lt;0</formula>
    </cfRule>
  </conditionalFormatting>
  <conditionalFormatting sqref="F23:F26">
    <cfRule type="expression" dxfId="476" priority="7">
      <formula>F23&gt;0</formula>
    </cfRule>
    <cfRule type="expression" dxfId="475" priority="8">
      <formula>F23&lt;0</formula>
    </cfRule>
  </conditionalFormatting>
  <conditionalFormatting sqref="H23:H26">
    <cfRule type="expression" dxfId="474" priority="5">
      <formula>H23&gt;0</formula>
    </cfRule>
    <cfRule type="expression" dxfId="473" priority="6">
      <formula>H23&lt;0</formula>
    </cfRule>
  </conditionalFormatting>
  <conditionalFormatting sqref="Q8">
    <cfRule type="expression" dxfId="472" priority="1">
      <formula>Q8&gt;0</formula>
    </cfRule>
    <cfRule type="expression" dxfId="471" priority="2">
      <formula>Q8&lt;0</formula>
    </cfRule>
  </conditionalFormatting>
  <conditionalFormatting sqref="Q7">
    <cfRule type="expression" dxfId="470" priority="3">
      <formula>Q7&gt;0</formula>
    </cfRule>
    <cfRule type="expression" dxfId="469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8.5703125" customWidth="1"/>
    <col min="21" max="21" width="36.140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42615</v>
      </c>
      <c r="X2" s="103">
        <v>36.21</v>
      </c>
      <c r="Y2" s="103">
        <v>36.33</v>
      </c>
      <c r="Z2" s="103">
        <v>35.950000000000003</v>
      </c>
      <c r="AA2" s="103">
        <v>36.08</v>
      </c>
      <c r="AB2" s="101">
        <v>16625000</v>
      </c>
      <c r="AC2" s="100">
        <v>36.08</v>
      </c>
      <c r="AD2" s="2">
        <f>Y2-Z2</f>
        <v>0.37999999999999545</v>
      </c>
      <c r="AE2" s="138">
        <f>AC2/AC3-1</f>
        <v>1.6657412548581885E-3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36.57</v>
      </c>
      <c r="S3" s="115"/>
      <c r="T3" s="17"/>
      <c r="U3" s="17"/>
      <c r="V3" s="17"/>
      <c r="W3" s="99">
        <v>42614</v>
      </c>
      <c r="X3" s="103">
        <v>35.99</v>
      </c>
      <c r="Y3" s="103">
        <v>36.04</v>
      </c>
      <c r="Z3" s="103">
        <v>35.58</v>
      </c>
      <c r="AA3" s="103">
        <v>36.020000000000003</v>
      </c>
      <c r="AB3" s="101">
        <v>18925800</v>
      </c>
      <c r="AC3" s="100">
        <v>36.020000000000003</v>
      </c>
      <c r="AD3" s="2">
        <f t="shared" ref="AD3:AD66" si="0">Y3-Z3</f>
        <v>0.46000000000000085</v>
      </c>
      <c r="AE3" s="138">
        <f t="shared" ref="AE3:AE66" si="1">AC3/AC4-1</f>
        <v>3.6221788799108978E-3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36.57</v>
      </c>
      <c r="W4" s="99">
        <v>42613</v>
      </c>
      <c r="X4" s="103">
        <v>35.619999999999997</v>
      </c>
      <c r="Y4" s="103">
        <v>35.9</v>
      </c>
      <c r="Z4" s="103">
        <v>35.58</v>
      </c>
      <c r="AA4" s="103">
        <v>35.89</v>
      </c>
      <c r="AB4" s="101">
        <v>20562700</v>
      </c>
      <c r="AC4" s="100">
        <v>35.89</v>
      </c>
      <c r="AD4" s="2">
        <f t="shared" si="0"/>
        <v>0.32000000000000028</v>
      </c>
      <c r="AE4" s="138">
        <f t="shared" si="1"/>
        <v>5.3221288515405973E-3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42612</v>
      </c>
      <c r="X5" s="103">
        <v>35.590000000000003</v>
      </c>
      <c r="Y5" s="103">
        <v>35.74</v>
      </c>
      <c r="Z5" s="103">
        <v>35.520000000000003</v>
      </c>
      <c r="AA5" s="103">
        <v>35.700000000000003</v>
      </c>
      <c r="AB5" s="101">
        <v>15183200</v>
      </c>
      <c r="AC5" s="100">
        <v>35.700000000000003</v>
      </c>
      <c r="AD5" s="2">
        <f t="shared" si="0"/>
        <v>0.21999999999999886</v>
      </c>
      <c r="AE5" s="138">
        <f t="shared" si="1"/>
        <v>4.2194092827005925E-3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42611</v>
      </c>
      <c r="X6" s="103">
        <v>35.479999999999997</v>
      </c>
      <c r="Y6" s="103">
        <v>35.67</v>
      </c>
      <c r="Z6" s="103">
        <v>35.15</v>
      </c>
      <c r="AA6" s="103">
        <v>35.549999999999997</v>
      </c>
      <c r="AB6" s="101">
        <v>15264300</v>
      </c>
      <c r="AC6" s="100">
        <v>35.549999999999997</v>
      </c>
      <c r="AD6" s="2">
        <f t="shared" si="0"/>
        <v>0.52000000000000313</v>
      </c>
      <c r="AE6" s="138">
        <f t="shared" si="1"/>
        <v>8.2246171298923088E-3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187</v>
      </c>
      <c r="Q7" s="2">
        <f>Q10+Q8</f>
        <v>1407.5400000000009</v>
      </c>
      <c r="R7">
        <v>0</v>
      </c>
      <c r="W7" s="99">
        <v>42608</v>
      </c>
      <c r="X7" s="103">
        <v>35.11</v>
      </c>
      <c r="Y7" s="103">
        <v>35.58</v>
      </c>
      <c r="Z7" s="103">
        <v>35.049999999999997</v>
      </c>
      <c r="AA7" s="103">
        <v>35.26</v>
      </c>
      <c r="AB7" s="101">
        <v>14469900</v>
      </c>
      <c r="AC7" s="100">
        <v>35.26</v>
      </c>
      <c r="AD7" s="2">
        <f t="shared" si="0"/>
        <v>0.53000000000000114</v>
      </c>
      <c r="AE7" s="138">
        <f t="shared" si="1"/>
        <v>4.8446850954686482E-3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190</v>
      </c>
      <c r="P8" s="34"/>
      <c r="Q8" s="2">
        <f>K18+M18-F18+Q2*Q4</f>
        <v>0</v>
      </c>
      <c r="S8" s="121"/>
      <c r="W8" s="99">
        <v>42607</v>
      </c>
      <c r="X8" s="103">
        <v>35.049999999999997</v>
      </c>
      <c r="Y8" s="103">
        <v>35.22</v>
      </c>
      <c r="Z8" s="103">
        <v>34.9</v>
      </c>
      <c r="AA8" s="103">
        <v>35.090000000000003</v>
      </c>
      <c r="AB8" s="101">
        <v>12428000</v>
      </c>
      <c r="AC8" s="100">
        <v>35.090000000000003</v>
      </c>
      <c r="AD8" s="2">
        <f t="shared" si="0"/>
        <v>0.32000000000000028</v>
      </c>
      <c r="AE8" s="138">
        <f t="shared" si="1"/>
        <v>-1.7069701280225669E-3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224</v>
      </c>
      <c r="Q9" s="138">
        <f>IF(Q2=0, 0, Q8/Q6)</f>
        <v>0</v>
      </c>
      <c r="W9" s="99">
        <v>42606</v>
      </c>
      <c r="X9" s="103">
        <v>35.32</v>
      </c>
      <c r="Y9" s="103">
        <v>35.409999999999997</v>
      </c>
      <c r="Z9" s="103">
        <v>35.020000000000003</v>
      </c>
      <c r="AA9" s="103">
        <v>35.15</v>
      </c>
      <c r="AB9" s="101">
        <v>16343500</v>
      </c>
      <c r="AC9" s="100">
        <v>35.15</v>
      </c>
      <c r="AD9" s="2">
        <f t="shared" si="0"/>
        <v>0.38999999999999346</v>
      </c>
      <c r="AE9" s="138">
        <f t="shared" si="1"/>
        <v>-7.0621468926553854E-3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223</v>
      </c>
      <c r="P10" s="34"/>
      <c r="Q10" s="2">
        <f>M33</f>
        <v>1407.5400000000009</v>
      </c>
      <c r="W10" s="99">
        <v>42605</v>
      </c>
      <c r="X10" s="103">
        <v>35.5</v>
      </c>
      <c r="Y10" s="103">
        <v>35.69</v>
      </c>
      <c r="Z10" s="103">
        <v>35.299999999999997</v>
      </c>
      <c r="AA10" s="103">
        <v>35.4</v>
      </c>
      <c r="AB10" s="101">
        <v>18316000</v>
      </c>
      <c r="AC10" s="100">
        <v>35.4</v>
      </c>
      <c r="AD10" s="2">
        <f t="shared" si="0"/>
        <v>0.39000000000000057</v>
      </c>
      <c r="AE10" s="138">
        <f t="shared" si="1"/>
        <v>1.1312217194570096E-3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184</v>
      </c>
      <c r="P11" s="34"/>
      <c r="Q11" s="138">
        <f>VALUE(TRIM(CLEAN(MID(U58, FIND("(", U58)+1, 5))))</f>
        <v>2.8799999999999999E-2</v>
      </c>
      <c r="W11" s="99">
        <v>42604</v>
      </c>
      <c r="X11" s="103">
        <v>35.200000000000003</v>
      </c>
      <c r="Y11" s="103">
        <v>35.450000000000003</v>
      </c>
      <c r="Z11" s="103">
        <v>35.119999999999997</v>
      </c>
      <c r="AA11" s="103">
        <v>35.36</v>
      </c>
      <c r="AB11" s="101">
        <v>14941400</v>
      </c>
      <c r="AC11" s="100">
        <v>35.36</v>
      </c>
      <c r="AD11" s="2">
        <f t="shared" si="0"/>
        <v>0.3300000000000054</v>
      </c>
      <c r="AE11" s="138">
        <f t="shared" si="1"/>
        <v>3.4052213393869213E-3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42601</v>
      </c>
      <c r="X12" s="103">
        <v>34.840000000000003</v>
      </c>
      <c r="Y12" s="103">
        <v>35.270000000000003</v>
      </c>
      <c r="Z12" s="103">
        <v>34.74</v>
      </c>
      <c r="AA12" s="103">
        <v>35.24</v>
      </c>
      <c r="AB12" s="101">
        <v>16417600</v>
      </c>
      <c r="AC12" s="100">
        <v>35.24</v>
      </c>
      <c r="AD12" s="2">
        <f t="shared" si="0"/>
        <v>0.53000000000000114</v>
      </c>
      <c r="AE12" s="138">
        <f t="shared" si="1"/>
        <v>7.7209036316843171E-3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42600</v>
      </c>
      <c r="X13" s="103">
        <v>34.96</v>
      </c>
      <c r="Y13" s="103">
        <v>35.090000000000003</v>
      </c>
      <c r="Z13" s="103">
        <v>34.75</v>
      </c>
      <c r="AA13" s="103">
        <v>34.97</v>
      </c>
      <c r="AB13" s="101">
        <v>16085200</v>
      </c>
      <c r="AC13" s="100">
        <v>34.97</v>
      </c>
      <c r="AD13" s="2">
        <f t="shared" si="0"/>
        <v>0.34000000000000341</v>
      </c>
      <c r="AE13" s="138">
        <f t="shared" si="1"/>
        <v>-1.4277555682468135E-3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42599</v>
      </c>
      <c r="X14" s="103">
        <v>35.17</v>
      </c>
      <c r="Y14" s="103">
        <v>35.21</v>
      </c>
      <c r="Z14" s="103">
        <v>34.770000000000003</v>
      </c>
      <c r="AA14" s="103">
        <v>35.020000000000003</v>
      </c>
      <c r="AB14" s="101">
        <v>18221600</v>
      </c>
      <c r="AC14" s="100">
        <v>35.020000000000003</v>
      </c>
      <c r="AD14" s="2">
        <f t="shared" si="0"/>
        <v>0.43999999999999773</v>
      </c>
      <c r="AE14" s="138">
        <f t="shared" si="1"/>
        <v>-5.3961942629934256E-3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42598</v>
      </c>
      <c r="X15" s="103">
        <v>34.770000000000003</v>
      </c>
      <c r="Y15" s="103">
        <v>35.21</v>
      </c>
      <c r="Z15" s="103">
        <v>34.770000000000003</v>
      </c>
      <c r="AA15" s="103">
        <v>35.21</v>
      </c>
      <c r="AB15" s="101">
        <v>16320900</v>
      </c>
      <c r="AC15" s="100">
        <v>35.21</v>
      </c>
      <c r="AD15" s="2">
        <f t="shared" si="0"/>
        <v>0.43999999999999773</v>
      </c>
      <c r="AE15" s="138">
        <f t="shared" si="1"/>
        <v>8.5935262102549981E-3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42597</v>
      </c>
      <c r="X16" s="103">
        <v>34.700000000000003</v>
      </c>
      <c r="Y16" s="103">
        <v>35.159999999999997</v>
      </c>
      <c r="Z16" s="103">
        <v>34.630000000000003</v>
      </c>
      <c r="AA16" s="103">
        <v>34.909999999999997</v>
      </c>
      <c r="AB16" s="101">
        <v>18931100</v>
      </c>
      <c r="AC16" s="100">
        <v>34.909999999999997</v>
      </c>
      <c r="AD16" s="2">
        <f t="shared" si="0"/>
        <v>0.52999999999999403</v>
      </c>
      <c r="AE16" s="138">
        <f t="shared" si="1"/>
        <v>9.8351171536013027E-3</v>
      </c>
    </row>
    <row r="17" spans="1:31" x14ac:dyDescent="0.25">
      <c r="W17" s="99">
        <v>42594</v>
      </c>
      <c r="X17" s="103">
        <v>34.520000000000003</v>
      </c>
      <c r="Y17" s="103">
        <v>34.76</v>
      </c>
      <c r="Z17" s="103">
        <v>34.44</v>
      </c>
      <c r="AA17" s="103">
        <v>34.57</v>
      </c>
      <c r="AB17" s="101">
        <v>15708300</v>
      </c>
      <c r="AC17" s="100">
        <v>34.57</v>
      </c>
      <c r="AD17" s="2">
        <f t="shared" si="0"/>
        <v>0.32000000000000028</v>
      </c>
      <c r="AE17" s="138">
        <f t="shared" si="1"/>
        <v>-3.1718569780853079E-3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42593</v>
      </c>
      <c r="X18" s="103">
        <v>34.659999999999997</v>
      </c>
      <c r="Y18" s="103">
        <v>34.74</v>
      </c>
      <c r="Z18" s="103">
        <v>34.49</v>
      </c>
      <c r="AA18" s="103">
        <v>34.68</v>
      </c>
      <c r="AB18" s="101">
        <v>16364100</v>
      </c>
      <c r="AC18" s="100">
        <v>34.68</v>
      </c>
      <c r="AD18" s="2">
        <f t="shared" si="0"/>
        <v>0.25</v>
      </c>
      <c r="AE18" s="138">
        <f t="shared" si="1"/>
        <v>4.3440486533448119E-3</v>
      </c>
    </row>
    <row r="19" spans="1:31" x14ac:dyDescent="0.25">
      <c r="W19" s="99">
        <v>42592</v>
      </c>
      <c r="X19" s="103">
        <v>35</v>
      </c>
      <c r="Y19" s="103">
        <v>35</v>
      </c>
      <c r="Z19" s="103">
        <v>34.5</v>
      </c>
      <c r="AA19" s="103">
        <v>34.53</v>
      </c>
      <c r="AB19" s="101">
        <v>19579000</v>
      </c>
      <c r="AC19" s="100">
        <v>34.53</v>
      </c>
      <c r="AD19" s="2">
        <f t="shared" si="0"/>
        <v>0.5</v>
      </c>
      <c r="AE19" s="138">
        <f t="shared" si="1"/>
        <v>-1.1168384879725046E-2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W20" s="99">
        <v>42591</v>
      </c>
      <c r="X20" s="103">
        <v>35.04</v>
      </c>
      <c r="Y20" s="103">
        <v>35.159999999999997</v>
      </c>
      <c r="Z20" s="103">
        <v>34.840000000000003</v>
      </c>
      <c r="AA20" s="103">
        <v>34.92</v>
      </c>
      <c r="AB20" s="101">
        <v>12578900</v>
      </c>
      <c r="AC20" s="100">
        <v>34.92</v>
      </c>
      <c r="AD20" s="2">
        <f t="shared" si="0"/>
        <v>0.31999999999999318</v>
      </c>
      <c r="AE20" s="138">
        <f t="shared" si="1"/>
        <v>-3.424657534246478E-3</v>
      </c>
    </row>
    <row r="21" spans="1:31" x14ac:dyDescent="0.25">
      <c r="B21" s="193"/>
      <c r="C21" s="10"/>
      <c r="D21" s="40"/>
      <c r="E21" s="40"/>
      <c r="F21" s="40"/>
      <c r="G21" s="40"/>
      <c r="W21" s="99">
        <v>42590</v>
      </c>
      <c r="X21" s="103">
        <v>34.9</v>
      </c>
      <c r="Y21" s="103">
        <v>35.17</v>
      </c>
      <c r="Z21" s="103">
        <v>34.86</v>
      </c>
      <c r="AA21" s="103">
        <v>35.04</v>
      </c>
      <c r="AB21" s="101">
        <v>19497300</v>
      </c>
      <c r="AC21" s="100">
        <v>35.04</v>
      </c>
      <c r="AD21" s="2">
        <f t="shared" si="0"/>
        <v>0.31000000000000227</v>
      </c>
      <c r="AE21" s="138">
        <f t="shared" si="1"/>
        <v>1.7152658662094034E-3</v>
      </c>
    </row>
    <row r="22" spans="1:31" x14ac:dyDescent="0.25">
      <c r="B22" s="193"/>
      <c r="C22" s="10"/>
      <c r="D22" s="40"/>
      <c r="E22" s="40"/>
      <c r="F22" s="40"/>
      <c r="G22" s="40"/>
      <c r="W22" s="99">
        <v>42587</v>
      </c>
      <c r="X22" s="103">
        <v>34.799999999999997</v>
      </c>
      <c r="Y22" s="103">
        <v>35.130000000000003</v>
      </c>
      <c r="Z22" s="103">
        <v>34.700000000000003</v>
      </c>
      <c r="AA22" s="103">
        <v>34.979999999999997</v>
      </c>
      <c r="AB22" s="101">
        <v>20046200</v>
      </c>
      <c r="AC22" s="100">
        <v>34.979999999999997</v>
      </c>
      <c r="AD22" s="2">
        <f t="shared" si="0"/>
        <v>0.42999999999999972</v>
      </c>
      <c r="AE22" s="138">
        <f t="shared" si="1"/>
        <v>1.1567379988432602E-2</v>
      </c>
    </row>
    <row r="23" spans="1:31" x14ac:dyDescent="0.25">
      <c r="B23" s="10"/>
      <c r="C23" s="10"/>
      <c r="D23" s="40"/>
      <c r="E23" s="40"/>
      <c r="F23" s="40"/>
      <c r="G23" s="40"/>
      <c r="W23" s="99">
        <v>42586</v>
      </c>
      <c r="X23" s="103">
        <v>34.29</v>
      </c>
      <c r="Y23" s="103">
        <v>34.619999999999997</v>
      </c>
      <c r="Z23" s="103">
        <v>34.22</v>
      </c>
      <c r="AA23" s="103">
        <v>34.58</v>
      </c>
      <c r="AB23" s="101">
        <v>16362600</v>
      </c>
      <c r="AC23" s="100">
        <v>34.58</v>
      </c>
      <c r="AD23" s="2">
        <f t="shared" si="0"/>
        <v>0.39999999999999858</v>
      </c>
      <c r="AE23" s="138">
        <f t="shared" si="1"/>
        <v>9.6350364963502244E-3</v>
      </c>
    </row>
    <row r="24" spans="1:31" x14ac:dyDescent="0.25">
      <c r="B24" s="10"/>
      <c r="C24" s="10"/>
      <c r="D24" s="40"/>
      <c r="E24" s="40"/>
      <c r="F24" s="40"/>
      <c r="G24" s="40"/>
      <c r="W24" s="99">
        <v>42585</v>
      </c>
      <c r="X24" s="103">
        <v>34.1</v>
      </c>
      <c r="Y24" s="103">
        <v>34.28</v>
      </c>
      <c r="Z24" s="103">
        <v>33.99</v>
      </c>
      <c r="AA24" s="103">
        <v>34.25</v>
      </c>
      <c r="AB24" s="101">
        <v>18388800</v>
      </c>
      <c r="AC24" s="100">
        <v>34.25</v>
      </c>
      <c r="AD24" s="2">
        <f t="shared" si="0"/>
        <v>0.28999999999999915</v>
      </c>
      <c r="AE24" s="138" t="e">
        <f t="shared" si="1"/>
        <v>#DIV/0!</v>
      </c>
    </row>
    <row r="25" spans="1:31" x14ac:dyDescent="0.25">
      <c r="B25" s="10"/>
      <c r="C25" s="10"/>
      <c r="D25" s="40"/>
      <c r="E25" s="40"/>
      <c r="F25" s="40"/>
      <c r="G25" s="40"/>
      <c r="W25" s="99">
        <v>42585</v>
      </c>
      <c r="X25" s="103" t="s">
        <v>142</v>
      </c>
      <c r="Y25" s="103"/>
      <c r="Z25" s="103"/>
      <c r="AA25" s="103"/>
      <c r="AB25" s="101"/>
      <c r="AC25" s="100"/>
      <c r="AD25" s="2">
        <f t="shared" si="0"/>
        <v>0</v>
      </c>
      <c r="AE25" s="138">
        <f t="shared" si="1"/>
        <v>-1</v>
      </c>
    </row>
    <row r="26" spans="1:31" x14ac:dyDescent="0.25">
      <c r="B26" s="10"/>
      <c r="C26" s="10"/>
      <c r="D26" s="40"/>
      <c r="E26" s="40"/>
      <c r="F26" s="40"/>
      <c r="G26" s="40"/>
      <c r="W26" s="99">
        <v>42584</v>
      </c>
      <c r="X26" s="103">
        <v>34.81</v>
      </c>
      <c r="Y26" s="103">
        <v>34.869999999999997</v>
      </c>
      <c r="Z26" s="103">
        <v>34.33</v>
      </c>
      <c r="AA26" s="103">
        <v>34.56</v>
      </c>
      <c r="AB26" s="101">
        <v>20057300</v>
      </c>
      <c r="AC26" s="100">
        <v>34.299999999999997</v>
      </c>
      <c r="AD26" s="2">
        <f t="shared" si="0"/>
        <v>0.53999999999999915</v>
      </c>
      <c r="AE26" s="138">
        <f t="shared" si="1"/>
        <v>-8.383925990170793E-3</v>
      </c>
    </row>
    <row r="27" spans="1:31" x14ac:dyDescent="0.25">
      <c r="B27" s="10"/>
      <c r="C27" s="10"/>
      <c r="D27" s="40"/>
      <c r="E27" s="40"/>
      <c r="F27" s="40"/>
      <c r="G27" s="40"/>
      <c r="W27" s="99">
        <v>42583</v>
      </c>
      <c r="X27" s="103">
        <v>34.82</v>
      </c>
      <c r="Y27" s="103">
        <v>34.909999999999997</v>
      </c>
      <c r="Z27" s="103">
        <v>34.56</v>
      </c>
      <c r="AA27" s="103">
        <v>34.85</v>
      </c>
      <c r="AB27" s="101">
        <v>18824400</v>
      </c>
      <c r="AC27" s="100">
        <v>34.590000000000003</v>
      </c>
      <c r="AD27" s="2">
        <f t="shared" si="0"/>
        <v>0.34999999999999432</v>
      </c>
      <c r="AE27" s="138">
        <f t="shared" si="1"/>
        <v>-2.8901734104036514E-4</v>
      </c>
    </row>
    <row r="28" spans="1:31" x14ac:dyDescent="0.25">
      <c r="B28" s="10"/>
      <c r="C28" s="10"/>
      <c r="D28" s="40"/>
      <c r="E28" s="40"/>
      <c r="F28" s="40"/>
      <c r="G28" s="40"/>
      <c r="W28" s="99">
        <v>42580</v>
      </c>
      <c r="X28" s="103">
        <v>34.770000000000003</v>
      </c>
      <c r="Y28" s="103">
        <v>34.92</v>
      </c>
      <c r="Z28" s="103">
        <v>34.6</v>
      </c>
      <c r="AA28" s="103">
        <v>34.86</v>
      </c>
      <c r="AB28" s="101">
        <v>18171200</v>
      </c>
      <c r="AC28" s="100">
        <v>34.6</v>
      </c>
      <c r="AD28" s="2">
        <f t="shared" si="0"/>
        <v>0.32000000000000028</v>
      </c>
      <c r="AE28" s="138">
        <f t="shared" si="1"/>
        <v>2.6079397276153049E-3</v>
      </c>
    </row>
    <row r="29" spans="1:31" x14ac:dyDescent="0.25">
      <c r="B29" s="10"/>
      <c r="C29" s="10"/>
      <c r="D29" s="40"/>
      <c r="E29" s="40"/>
      <c r="F29" s="40"/>
      <c r="G29" s="40"/>
      <c r="W29" s="99">
        <v>42579</v>
      </c>
      <c r="X29" s="103">
        <v>34.83</v>
      </c>
      <c r="Y29" s="103">
        <v>34.83</v>
      </c>
      <c r="Z29" s="103">
        <v>34.520000000000003</v>
      </c>
      <c r="AA29" s="103">
        <v>34.770000000000003</v>
      </c>
      <c r="AB29" s="101">
        <v>21667400</v>
      </c>
      <c r="AC29" s="100">
        <v>34.51</v>
      </c>
      <c r="AD29" s="2">
        <f t="shared" si="0"/>
        <v>0.30999999999999517</v>
      </c>
      <c r="AE29" s="138">
        <f t="shared" si="1"/>
        <v>-1.7356089094591187E-3</v>
      </c>
    </row>
    <row r="30" spans="1:31" x14ac:dyDescent="0.25">
      <c r="B30" s="10"/>
      <c r="C30" s="10"/>
      <c r="D30" s="40"/>
      <c r="E30" s="40"/>
      <c r="F30" s="40"/>
      <c r="G30" s="40"/>
      <c r="W30" s="99">
        <v>42578</v>
      </c>
      <c r="X30" s="103">
        <v>35</v>
      </c>
      <c r="Y30" s="103">
        <v>35.28</v>
      </c>
      <c r="Z30" s="103">
        <v>34.630000000000003</v>
      </c>
      <c r="AA30" s="103">
        <v>34.83</v>
      </c>
      <c r="AB30" s="101">
        <v>23601800</v>
      </c>
      <c r="AC30" s="100">
        <v>34.57</v>
      </c>
      <c r="AD30" s="2">
        <f t="shared" si="0"/>
        <v>0.64999999999999858</v>
      </c>
      <c r="AE30" s="138">
        <f t="shared" si="1"/>
        <v>-7.4648291702554825E-3</v>
      </c>
    </row>
    <row r="31" spans="1:31" x14ac:dyDescent="0.25">
      <c r="W31" s="99">
        <v>42577</v>
      </c>
      <c r="X31" s="103">
        <v>34.75</v>
      </c>
      <c r="Y31" s="103">
        <v>35.229999999999997</v>
      </c>
      <c r="Z31" s="103">
        <v>34.700000000000003</v>
      </c>
      <c r="AA31" s="103">
        <v>35.090000000000003</v>
      </c>
      <c r="AB31" s="101">
        <v>29644400</v>
      </c>
      <c r="AC31" s="100">
        <v>34.83</v>
      </c>
      <c r="AD31" s="2">
        <f t="shared" si="0"/>
        <v>0.52999999999999403</v>
      </c>
      <c r="AE31" s="138">
        <f t="shared" si="1"/>
        <v>1.1617775196050006E-2</v>
      </c>
    </row>
    <row r="32" spans="1:31" x14ac:dyDescent="0.25">
      <c r="W32" s="99">
        <v>42576</v>
      </c>
      <c r="X32" s="103">
        <v>34.619999999999997</v>
      </c>
      <c r="Y32" s="103">
        <v>34.76</v>
      </c>
      <c r="Z32" s="103">
        <v>34.57</v>
      </c>
      <c r="AA32" s="103">
        <v>34.69</v>
      </c>
      <c r="AB32" s="101">
        <v>20277700</v>
      </c>
      <c r="AC32" s="100">
        <v>34.43</v>
      </c>
      <c r="AD32" s="2">
        <f t="shared" si="0"/>
        <v>0.18999999999999773</v>
      </c>
      <c r="AE32" s="138">
        <f t="shared" si="1"/>
        <v>8.7209302325574889E-4</v>
      </c>
    </row>
    <row r="33" spans="1:31" x14ac:dyDescent="0.25">
      <c r="L33" t="s">
        <v>223</v>
      </c>
      <c r="M33" s="2">
        <f>M56+K56-F56</f>
        <v>1407.5400000000009</v>
      </c>
      <c r="W33" s="99">
        <v>42573</v>
      </c>
      <c r="X33" s="103">
        <v>34.380000000000003</v>
      </c>
      <c r="Y33" s="103">
        <v>34.700000000000003</v>
      </c>
      <c r="Z33" s="103">
        <v>34.26</v>
      </c>
      <c r="AA33" s="103">
        <v>34.659999999999997</v>
      </c>
      <c r="AB33" s="101">
        <v>33033700</v>
      </c>
      <c r="AC33" s="100">
        <v>34.4</v>
      </c>
      <c r="AD33" s="2">
        <f t="shared" si="0"/>
        <v>0.44000000000000483</v>
      </c>
      <c r="AE33" s="138">
        <f t="shared" si="1"/>
        <v>1.1467215524845642E-2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12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42572</v>
      </c>
      <c r="X34" s="103">
        <v>34.33</v>
      </c>
      <c r="Y34" s="103">
        <v>34.49</v>
      </c>
      <c r="Z34" s="103">
        <v>33.86</v>
      </c>
      <c r="AA34" s="103">
        <v>34.270000000000003</v>
      </c>
      <c r="AB34" s="101">
        <v>63708600</v>
      </c>
      <c r="AC34" s="100">
        <v>34.01</v>
      </c>
      <c r="AD34" s="2">
        <f t="shared" si="0"/>
        <v>0.63000000000000256</v>
      </c>
      <c r="AE34" s="138">
        <f t="shared" si="1"/>
        <v>-3.9808018068887785E-2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3">
        <v>42247</v>
      </c>
      <c r="H35" s="414">
        <v>100</v>
      </c>
      <c r="I35" s="373">
        <v>27.15</v>
      </c>
      <c r="J35" s="373">
        <v>0.05</v>
      </c>
      <c r="K35" s="275">
        <f t="shared" ref="K35:K43" si="2">H35*I35-J35</f>
        <v>2714.95</v>
      </c>
      <c r="L35" s="266">
        <v>42248</v>
      </c>
      <c r="M35" s="373">
        <v>156</v>
      </c>
      <c r="W35" s="99">
        <v>42571</v>
      </c>
      <c r="X35" s="103">
        <v>35.299999999999997</v>
      </c>
      <c r="Y35" s="103">
        <v>35.93</v>
      </c>
      <c r="Z35" s="103">
        <v>35.06</v>
      </c>
      <c r="AA35" s="103">
        <v>35.69</v>
      </c>
      <c r="AB35" s="101">
        <v>42994200</v>
      </c>
      <c r="AC35" s="100">
        <v>35.42</v>
      </c>
      <c r="AD35" s="2">
        <f t="shared" si="0"/>
        <v>0.86999999999999744</v>
      </c>
      <c r="AE35" s="138">
        <f t="shared" si="1"/>
        <v>1.5190599025508789E-2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42570</v>
      </c>
      <c r="X36" s="103">
        <v>34.89</v>
      </c>
      <c r="Y36" s="103">
        <v>35.159999999999997</v>
      </c>
      <c r="Z36" s="103">
        <v>34.85</v>
      </c>
      <c r="AA36" s="103">
        <v>35.15</v>
      </c>
      <c r="AB36" s="101">
        <v>20395400</v>
      </c>
      <c r="AC36" s="100">
        <v>34.89</v>
      </c>
      <c r="AD36" s="2">
        <f t="shared" si="0"/>
        <v>0.30999999999999517</v>
      </c>
      <c r="AE36" s="138">
        <f t="shared" si="1"/>
        <v>2.8743891922966558E-3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3">
        <f t="shared" si="2"/>
        <v>5308.11</v>
      </c>
      <c r="L37" s="261"/>
      <c r="M37" s="261"/>
      <c r="W37" s="99">
        <v>42569</v>
      </c>
      <c r="X37" s="103">
        <v>35.18</v>
      </c>
      <c r="Y37" s="103">
        <v>35.200000000000003</v>
      </c>
      <c r="Z37" s="103">
        <v>34.950000000000003</v>
      </c>
      <c r="AA37" s="103">
        <v>35.049999999999997</v>
      </c>
      <c r="AB37" s="101">
        <v>19347200</v>
      </c>
      <c r="AC37" s="100">
        <v>34.79</v>
      </c>
      <c r="AD37" s="2">
        <f t="shared" si="0"/>
        <v>0.25</v>
      </c>
      <c r="AE37" s="138">
        <f t="shared" si="1"/>
        <v>-5.7454754380936723E-4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3">
        <f t="shared" si="2"/>
        <v>21335.11</v>
      </c>
      <c r="L38" s="261"/>
      <c r="M38" s="261"/>
      <c r="W38" s="99">
        <v>42566</v>
      </c>
      <c r="X38" s="103">
        <v>35.26</v>
      </c>
      <c r="Y38" s="103">
        <v>35.29</v>
      </c>
      <c r="Z38" s="103">
        <v>34.9</v>
      </c>
      <c r="AA38" s="103">
        <v>35.07</v>
      </c>
      <c r="AB38" s="101">
        <v>23661900</v>
      </c>
      <c r="AC38" s="100">
        <v>34.81</v>
      </c>
      <c r="AD38" s="2">
        <f t="shared" si="0"/>
        <v>0.39000000000000057</v>
      </c>
      <c r="AE38" s="138">
        <f t="shared" si="1"/>
        <v>-3.7206639954205922E-3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3">
        <f t="shared" si="2"/>
        <v>1946.9600000000003</v>
      </c>
      <c r="L39" s="261"/>
      <c r="M39" s="261"/>
      <c r="W39" s="99">
        <v>42565</v>
      </c>
      <c r="X39" s="103">
        <v>35.130000000000003</v>
      </c>
      <c r="Y39" s="103">
        <v>35.299999999999997</v>
      </c>
      <c r="Z39" s="103">
        <v>34.96</v>
      </c>
      <c r="AA39" s="103">
        <v>35.200000000000003</v>
      </c>
      <c r="AB39" s="101">
        <v>25296400</v>
      </c>
      <c r="AC39" s="100">
        <v>34.94</v>
      </c>
      <c r="AD39" s="2">
        <f t="shared" si="0"/>
        <v>0.33999999999999631</v>
      </c>
      <c r="AE39" s="138">
        <f t="shared" si="1"/>
        <v>5.4676258992805149E-3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3">
        <f t="shared" si="2"/>
        <v>6563.88</v>
      </c>
      <c r="L40" s="261"/>
      <c r="M40" s="261"/>
      <c r="O40" s="545" t="s">
        <v>78</v>
      </c>
      <c r="P40" s="545"/>
      <c r="W40" s="99">
        <v>42564</v>
      </c>
      <c r="X40" s="103">
        <v>35.04</v>
      </c>
      <c r="Y40" s="103">
        <v>35.25</v>
      </c>
      <c r="Z40" s="103">
        <v>34.880000000000003</v>
      </c>
      <c r="AA40" s="103">
        <v>35.01</v>
      </c>
      <c r="AB40" s="101">
        <v>29120900</v>
      </c>
      <c r="AC40" s="100">
        <v>34.75</v>
      </c>
      <c r="AD40" s="2">
        <f t="shared" si="0"/>
        <v>0.36999999999999744</v>
      </c>
      <c r="AE40" s="138">
        <f t="shared" si="1"/>
        <v>2.0184544405996707E-3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3">
        <f t="shared" si="2"/>
        <v>2683.95</v>
      </c>
      <c r="L41" s="261"/>
      <c r="M41" s="261"/>
      <c r="O41" s="83">
        <v>1.1000000000000001</v>
      </c>
      <c r="P41" s="83">
        <f>O41*$Q$4</f>
        <v>40.227000000000004</v>
      </c>
      <c r="Q41" s="2"/>
      <c r="W41" s="99">
        <v>42563</v>
      </c>
      <c r="X41" s="103">
        <v>34.51</v>
      </c>
      <c r="Y41" s="103">
        <v>34.97</v>
      </c>
      <c r="Z41" s="103">
        <v>34.479999999999997</v>
      </c>
      <c r="AA41" s="103">
        <v>34.94</v>
      </c>
      <c r="AB41" s="101">
        <v>28064100</v>
      </c>
      <c r="AC41" s="100">
        <v>34.68</v>
      </c>
      <c r="AD41" s="2">
        <f t="shared" si="0"/>
        <v>0.49000000000000199</v>
      </c>
      <c r="AE41" s="138">
        <f t="shared" si="1"/>
        <v>1.6412661195779776E-2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3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39.8613</v>
      </c>
      <c r="Q42" s="2"/>
      <c r="T42" s="91" t="s">
        <v>113</v>
      </c>
      <c r="W42" s="99">
        <v>42562</v>
      </c>
      <c r="X42" s="103">
        <v>34.04</v>
      </c>
      <c r="Y42" s="103">
        <v>34.5</v>
      </c>
      <c r="Z42" s="103">
        <v>34.04</v>
      </c>
      <c r="AA42" s="103">
        <v>34.380000000000003</v>
      </c>
      <c r="AB42" s="101">
        <v>23820700</v>
      </c>
      <c r="AC42" s="100">
        <v>34.119999999999997</v>
      </c>
      <c r="AD42" s="2">
        <f t="shared" si="0"/>
        <v>0.46000000000000085</v>
      </c>
      <c r="AE42" s="138">
        <f t="shared" si="1"/>
        <v>1.1262596324836949E-2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3">
        <f t="shared" si="2"/>
        <v>3789.4300000000003</v>
      </c>
      <c r="L43" s="261"/>
      <c r="M43" s="261"/>
      <c r="O43" s="83">
        <v>1.08</v>
      </c>
      <c r="P43" s="83">
        <f t="shared" si="4"/>
        <v>39.495600000000003</v>
      </c>
      <c r="Q43" s="2"/>
      <c r="T43" s="97" t="s">
        <v>98</v>
      </c>
      <c r="U43" s="98">
        <v>36.020000000000003</v>
      </c>
      <c r="V43" s="415"/>
      <c r="W43" s="99">
        <v>42559</v>
      </c>
      <c r="X43" s="103">
        <v>33.65</v>
      </c>
      <c r="Y43" s="103">
        <v>34</v>
      </c>
      <c r="Z43" s="103">
        <v>33.5</v>
      </c>
      <c r="AA43" s="103">
        <v>34</v>
      </c>
      <c r="AB43" s="101">
        <v>23341900</v>
      </c>
      <c r="AC43" s="100">
        <v>33.74</v>
      </c>
      <c r="AD43" s="2">
        <f t="shared" si="0"/>
        <v>0.5</v>
      </c>
      <c r="AE43" s="138">
        <f t="shared" si="1"/>
        <v>2.3975720789074284E-2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39.129899999999999</v>
      </c>
      <c r="Q44" s="2"/>
      <c r="T44" s="87" t="s">
        <v>99</v>
      </c>
      <c r="U44" s="88">
        <v>36.200000000000003</v>
      </c>
      <c r="V44" s="416"/>
      <c r="W44" s="99">
        <v>42558</v>
      </c>
      <c r="X44" s="103">
        <v>32.96</v>
      </c>
      <c r="Y44" s="103">
        <v>33.549999999999997</v>
      </c>
      <c r="Z44" s="103">
        <v>32.96</v>
      </c>
      <c r="AA44" s="103">
        <v>33.200000000000003</v>
      </c>
      <c r="AB44" s="101">
        <v>26119400</v>
      </c>
      <c r="AC44" s="100">
        <v>32.950000000000003</v>
      </c>
      <c r="AD44" s="2">
        <f t="shared" si="0"/>
        <v>0.58999999999999631</v>
      </c>
      <c r="AE44" s="138">
        <f t="shared" si="1"/>
        <v>7.0293398533007867E-3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38.764200000000002</v>
      </c>
      <c r="Q45" s="2"/>
      <c r="T45" s="87" t="s">
        <v>100</v>
      </c>
      <c r="U45" s="88" t="s">
        <v>395</v>
      </c>
      <c r="V45" s="416"/>
      <c r="W45" s="99">
        <v>42557</v>
      </c>
      <c r="X45" s="103">
        <v>32.799999999999997</v>
      </c>
      <c r="Y45" s="103">
        <v>33</v>
      </c>
      <c r="Z45" s="103">
        <v>32.380000000000003</v>
      </c>
      <c r="AA45" s="103">
        <v>32.97</v>
      </c>
      <c r="AB45" s="101">
        <v>21070200</v>
      </c>
      <c r="AC45" s="100">
        <v>32.72</v>
      </c>
      <c r="AD45" s="2">
        <f t="shared" si="0"/>
        <v>0.61999999999999744</v>
      </c>
      <c r="AE45" s="138">
        <f t="shared" si="1"/>
        <v>8.9423373419672547E-3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38.398499999999999</v>
      </c>
      <c r="Q46" s="2"/>
      <c r="T46" s="87" t="s">
        <v>101</v>
      </c>
      <c r="U46" s="88" t="s">
        <v>396</v>
      </c>
      <c r="V46" s="416"/>
      <c r="W46" s="99">
        <v>42556</v>
      </c>
      <c r="X46" s="103">
        <v>32.5</v>
      </c>
      <c r="Y46" s="103">
        <v>32.729999999999997</v>
      </c>
      <c r="Z46" s="103">
        <v>32.46</v>
      </c>
      <c r="AA46" s="103">
        <v>32.68</v>
      </c>
      <c r="AB46" s="101">
        <v>20107200</v>
      </c>
      <c r="AC46" s="100">
        <v>32.43</v>
      </c>
      <c r="AD46" s="2">
        <f t="shared" si="0"/>
        <v>0.26999999999999602</v>
      </c>
      <c r="AE46" s="138">
        <f t="shared" si="1"/>
        <v>-2.1538461538461728E-3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38.032800000000002</v>
      </c>
      <c r="Q47" s="2"/>
      <c r="T47" s="87" t="s">
        <v>102</v>
      </c>
      <c r="U47" s="88">
        <v>37.61</v>
      </c>
      <c r="V47" s="416"/>
      <c r="W47" s="99">
        <v>42552</v>
      </c>
      <c r="X47" s="103">
        <v>32.64</v>
      </c>
      <c r="Y47" s="103">
        <v>32.89</v>
      </c>
      <c r="Z47" s="103">
        <v>32.47</v>
      </c>
      <c r="AA47" s="103">
        <v>32.75</v>
      </c>
      <c r="AB47" s="101">
        <v>17084600</v>
      </c>
      <c r="AC47" s="100">
        <v>32.5</v>
      </c>
      <c r="AD47" s="2">
        <f t="shared" si="0"/>
        <v>0.42000000000000171</v>
      </c>
      <c r="AE47" s="138">
        <f t="shared" si="1"/>
        <v>-1.536098310291778E-3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37.667099999999998</v>
      </c>
      <c r="Q48" s="2"/>
      <c r="T48" s="87" t="s">
        <v>103</v>
      </c>
      <c r="U48" s="88">
        <v>1.1513100000000001</v>
      </c>
      <c r="V48" s="416"/>
      <c r="W48" s="99">
        <v>42551</v>
      </c>
      <c r="X48" s="103">
        <v>32</v>
      </c>
      <c r="Y48" s="103">
        <v>32.880000000000003</v>
      </c>
      <c r="Z48" s="103">
        <v>31.97</v>
      </c>
      <c r="AA48" s="103">
        <v>32.799999999999997</v>
      </c>
      <c r="AB48" s="101">
        <v>34528900</v>
      </c>
      <c r="AC48" s="100">
        <v>32.549999999999997</v>
      </c>
      <c r="AD48" s="2">
        <f t="shared" si="0"/>
        <v>0.91000000000000369</v>
      </c>
      <c r="AE48" s="138">
        <f t="shared" si="1"/>
        <v>2.7137898390659387E-2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37.301400000000001</v>
      </c>
      <c r="Q49" s="2"/>
      <c r="T49" s="87" t="s">
        <v>104</v>
      </c>
      <c r="U49" s="89" t="s">
        <v>306</v>
      </c>
      <c r="V49" s="417"/>
      <c r="W49" s="99">
        <v>42550</v>
      </c>
      <c r="X49" s="103">
        <v>31.35</v>
      </c>
      <c r="Y49" s="103">
        <v>31.98</v>
      </c>
      <c r="Z49" s="103">
        <v>31.31</v>
      </c>
      <c r="AA49" s="103">
        <v>31.93</v>
      </c>
      <c r="AB49" s="101">
        <v>22771100</v>
      </c>
      <c r="AC49" s="100">
        <v>31.69</v>
      </c>
      <c r="AD49" s="2">
        <f t="shared" si="0"/>
        <v>0.67000000000000171</v>
      </c>
      <c r="AE49" s="138">
        <f t="shared" si="1"/>
        <v>2.3578811369509012E-2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36.935699999999997</v>
      </c>
      <c r="Q50" s="2"/>
      <c r="T50" s="87"/>
      <c r="U50" s="88"/>
      <c r="V50" s="416"/>
      <c r="W50" s="99">
        <v>42549</v>
      </c>
      <c r="X50" s="103">
        <v>30.97</v>
      </c>
      <c r="Y50" s="103">
        <v>31.2</v>
      </c>
      <c r="Z50" s="103">
        <v>30.81</v>
      </c>
      <c r="AA50" s="103">
        <v>31.19</v>
      </c>
      <c r="AB50" s="101">
        <v>23693900</v>
      </c>
      <c r="AC50" s="100">
        <v>30.96</v>
      </c>
      <c r="AD50" s="2">
        <f t="shared" si="0"/>
        <v>0.39000000000000057</v>
      </c>
      <c r="AE50" s="138">
        <f t="shared" si="1"/>
        <v>1.5414890127910974E-2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36.57</v>
      </c>
      <c r="Q51" s="2"/>
      <c r="T51" s="87" t="s">
        <v>105</v>
      </c>
      <c r="U51" s="88" t="s">
        <v>397</v>
      </c>
      <c r="V51" s="416"/>
      <c r="W51" s="99">
        <v>42548</v>
      </c>
      <c r="X51" s="103">
        <v>31.41</v>
      </c>
      <c r="Y51" s="103">
        <v>31.41</v>
      </c>
      <c r="Z51" s="103">
        <v>30.44</v>
      </c>
      <c r="AA51" s="103">
        <v>30.72</v>
      </c>
      <c r="AB51" s="101">
        <v>34965100</v>
      </c>
      <c r="AC51" s="100">
        <v>30.49</v>
      </c>
      <c r="AD51" s="2">
        <f t="shared" si="0"/>
        <v>0.96999999999999886</v>
      </c>
      <c r="AE51" s="138">
        <f t="shared" si="1"/>
        <v>-2.6189715745768116E-2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36.204300000000003</v>
      </c>
      <c r="Q52" s="2"/>
      <c r="T52" s="87" t="s">
        <v>106</v>
      </c>
      <c r="U52" s="88" t="s">
        <v>398</v>
      </c>
      <c r="V52" s="416"/>
      <c r="W52" s="99">
        <v>42545</v>
      </c>
      <c r="X52" s="103">
        <v>31.8</v>
      </c>
      <c r="Y52" s="103">
        <v>32.32</v>
      </c>
      <c r="Z52" s="103">
        <v>31.4</v>
      </c>
      <c r="AA52" s="103">
        <v>31.55</v>
      </c>
      <c r="AB52" s="101">
        <v>38094300</v>
      </c>
      <c r="AC52" s="100">
        <v>31.31</v>
      </c>
      <c r="AD52" s="2">
        <f t="shared" si="0"/>
        <v>0.92000000000000171</v>
      </c>
      <c r="AE52" s="138">
        <f t="shared" si="1"/>
        <v>-4.3677458766035571E-2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35.8386</v>
      </c>
      <c r="Q53" s="2"/>
      <c r="T53" s="87" t="s">
        <v>107</v>
      </c>
      <c r="U53" s="90">
        <v>16726718</v>
      </c>
      <c r="V53" s="418"/>
      <c r="W53" s="99">
        <v>42544</v>
      </c>
      <c r="X53" s="103">
        <v>32.58</v>
      </c>
      <c r="Y53" s="103">
        <v>33</v>
      </c>
      <c r="Z53" s="103">
        <v>32.5</v>
      </c>
      <c r="AA53" s="103">
        <v>32.99</v>
      </c>
      <c r="AB53" s="101">
        <v>22048800</v>
      </c>
      <c r="AC53" s="100">
        <v>32.74</v>
      </c>
      <c r="AD53" s="2">
        <f t="shared" si="0"/>
        <v>0.5</v>
      </c>
      <c r="AE53" s="138">
        <f t="shared" si="1"/>
        <v>2.152886115444641E-2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35.472900000000003</v>
      </c>
      <c r="T54" s="87" t="s">
        <v>110</v>
      </c>
      <c r="U54" s="90">
        <v>21691800</v>
      </c>
      <c r="V54" s="418"/>
      <c r="W54" s="99">
        <v>42543</v>
      </c>
      <c r="X54" s="103">
        <v>32.299999999999997</v>
      </c>
      <c r="Y54" s="103">
        <v>32.630000000000003</v>
      </c>
      <c r="Z54" s="103">
        <v>32.25</v>
      </c>
      <c r="AA54" s="103">
        <v>32.29</v>
      </c>
      <c r="AB54" s="101">
        <v>18304800</v>
      </c>
      <c r="AC54" s="100">
        <v>32.049999999999997</v>
      </c>
      <c r="AD54" s="2">
        <f t="shared" si="0"/>
        <v>0.38000000000000256</v>
      </c>
      <c r="AE54" s="138">
        <f t="shared" si="1"/>
        <v>-9.3516209476307566E-4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35.107199999999999</v>
      </c>
      <c r="T55" s="87" t="s">
        <v>108</v>
      </c>
      <c r="U55" s="88" t="s">
        <v>399</v>
      </c>
      <c r="V55" s="416"/>
      <c r="W55" s="99">
        <v>42542</v>
      </c>
      <c r="X55" s="103">
        <v>32.26</v>
      </c>
      <c r="Y55" s="103">
        <v>32.380000000000003</v>
      </c>
      <c r="Z55" s="103">
        <v>32.090000000000003</v>
      </c>
      <c r="AA55" s="103">
        <v>32.32</v>
      </c>
      <c r="AB55" s="101">
        <v>15476500</v>
      </c>
      <c r="AC55" s="100">
        <v>32.08</v>
      </c>
      <c r="AD55" s="2">
        <f t="shared" si="0"/>
        <v>0.28999999999999915</v>
      </c>
      <c r="AE55" s="138">
        <f t="shared" si="1"/>
        <v>4.6977763858440102E-3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34.741500000000002</v>
      </c>
      <c r="T56" s="87" t="s">
        <v>111</v>
      </c>
      <c r="U56" s="88">
        <v>17.5</v>
      </c>
      <c r="V56" s="416"/>
      <c r="W56" s="99">
        <v>42541</v>
      </c>
      <c r="X56" s="103">
        <v>32.07</v>
      </c>
      <c r="Y56" s="103">
        <v>32.44</v>
      </c>
      <c r="Z56" s="103">
        <v>32.01</v>
      </c>
      <c r="AA56" s="103">
        <v>32.17</v>
      </c>
      <c r="AB56" s="101">
        <v>21961600</v>
      </c>
      <c r="AC56" s="100">
        <v>31.93</v>
      </c>
      <c r="AD56" s="2">
        <f t="shared" si="0"/>
        <v>0.42999999999999972</v>
      </c>
      <c r="AE56" s="138">
        <f t="shared" si="1"/>
        <v>1.3007614213198071E-2</v>
      </c>
    </row>
    <row r="57" spans="1:31" x14ac:dyDescent="0.25">
      <c r="O57" s="83">
        <v>0.94</v>
      </c>
      <c r="P57" s="83">
        <f t="shared" si="4"/>
        <v>34.375799999999998</v>
      </c>
      <c r="T57" s="87" t="s">
        <v>112</v>
      </c>
      <c r="U57" s="88">
        <v>2.06</v>
      </c>
      <c r="V57" s="416"/>
      <c r="W57" s="99">
        <v>42538</v>
      </c>
      <c r="X57" s="103">
        <v>31.73</v>
      </c>
      <c r="Y57" s="103">
        <v>31.81</v>
      </c>
      <c r="Z57" s="103">
        <v>31.47</v>
      </c>
      <c r="AA57" s="103">
        <v>31.76</v>
      </c>
      <c r="AB57" s="101">
        <v>27047900</v>
      </c>
      <c r="AC57" s="100">
        <v>31.52</v>
      </c>
      <c r="AD57" s="2">
        <f t="shared" si="0"/>
        <v>0.33999999999999986</v>
      </c>
      <c r="AE57" s="138">
        <f t="shared" si="1"/>
        <v>2.2257551669315756E-3</v>
      </c>
    </row>
    <row r="58" spans="1:31" x14ac:dyDescent="0.25">
      <c r="O58" s="83">
        <v>0.93</v>
      </c>
      <c r="P58" s="83">
        <f t="shared" si="4"/>
        <v>34.010100000000001</v>
      </c>
      <c r="T58" s="87" t="s">
        <v>109</v>
      </c>
      <c r="U58" s="88" t="s">
        <v>572</v>
      </c>
      <c r="V58" s="416"/>
      <c r="W58" s="99">
        <v>42537</v>
      </c>
      <c r="X58" s="103">
        <v>31.44</v>
      </c>
      <c r="Y58" s="103">
        <v>31.77</v>
      </c>
      <c r="Z58" s="103">
        <v>31.22</v>
      </c>
      <c r="AA58" s="103">
        <v>31.69</v>
      </c>
      <c r="AB58" s="101">
        <v>18547900</v>
      </c>
      <c r="AC58" s="100">
        <v>31.45</v>
      </c>
      <c r="AD58" s="2">
        <f t="shared" si="0"/>
        <v>0.55000000000000071</v>
      </c>
      <c r="AE58" s="138">
        <f t="shared" si="1"/>
        <v>2.5502072043352975E-3</v>
      </c>
    </row>
    <row r="59" spans="1:31" x14ac:dyDescent="0.25">
      <c r="O59" s="83">
        <v>0.92</v>
      </c>
      <c r="P59" s="83">
        <f t="shared" si="4"/>
        <v>33.644400000000005</v>
      </c>
      <c r="W59" s="99">
        <v>42536</v>
      </c>
      <c r="X59" s="103">
        <v>32.25</v>
      </c>
      <c r="Y59" s="103">
        <v>32.26</v>
      </c>
      <c r="Z59" s="103">
        <v>31.59</v>
      </c>
      <c r="AA59" s="103">
        <v>31.61</v>
      </c>
      <c r="AB59" s="101">
        <v>23783300</v>
      </c>
      <c r="AC59" s="100">
        <v>31.37</v>
      </c>
      <c r="AD59" s="2">
        <f t="shared" si="0"/>
        <v>0.66999999999999815</v>
      </c>
      <c r="AE59" s="138">
        <f t="shared" si="1"/>
        <v>-1.6614420062695867E-2</v>
      </c>
    </row>
    <row r="60" spans="1:31" x14ac:dyDescent="0.25">
      <c r="O60" s="83">
        <v>0.91</v>
      </c>
      <c r="P60" s="83">
        <f t="shared" si="4"/>
        <v>33.278700000000001</v>
      </c>
      <c r="W60" s="99">
        <v>42535</v>
      </c>
      <c r="X60" s="103">
        <v>32.01</v>
      </c>
      <c r="Y60" s="103">
        <v>32.24</v>
      </c>
      <c r="Z60" s="103">
        <v>31.79</v>
      </c>
      <c r="AA60" s="103">
        <v>32.14</v>
      </c>
      <c r="AB60" s="101">
        <v>18754300</v>
      </c>
      <c r="AC60" s="100">
        <v>31.9</v>
      </c>
      <c r="AD60" s="2">
        <f t="shared" si="0"/>
        <v>0.45000000000000284</v>
      </c>
      <c r="AE60" s="138">
        <f t="shared" si="1"/>
        <v>-9.3955527716882425E-4</v>
      </c>
    </row>
    <row r="61" spans="1:31" x14ac:dyDescent="0.25">
      <c r="O61" s="83">
        <v>0.9</v>
      </c>
      <c r="P61" s="83">
        <f t="shared" si="4"/>
        <v>32.913000000000004</v>
      </c>
      <c r="W61" s="99">
        <v>42534</v>
      </c>
      <c r="X61" s="103">
        <v>32.049999999999997</v>
      </c>
      <c r="Y61" s="103">
        <v>32.5</v>
      </c>
      <c r="Z61" s="103">
        <v>32.04</v>
      </c>
      <c r="AA61" s="103">
        <v>32.17</v>
      </c>
      <c r="AB61" s="101">
        <v>23004800</v>
      </c>
      <c r="AC61" s="100">
        <v>31.93</v>
      </c>
      <c r="AD61" s="2">
        <f t="shared" si="0"/>
        <v>0.46000000000000085</v>
      </c>
      <c r="AE61" s="138">
        <f t="shared" si="1"/>
        <v>4.0880503144653524E-3</v>
      </c>
    </row>
    <row r="62" spans="1:31" x14ac:dyDescent="0.25">
      <c r="W62" s="99">
        <v>42531</v>
      </c>
      <c r="X62" s="103">
        <v>31.7</v>
      </c>
      <c r="Y62" s="103">
        <v>32.24</v>
      </c>
      <c r="Z62" s="103">
        <v>31.65</v>
      </c>
      <c r="AA62" s="103">
        <v>32.04</v>
      </c>
      <c r="AB62" s="101">
        <v>35749100</v>
      </c>
      <c r="AC62" s="100">
        <v>31.8</v>
      </c>
      <c r="AD62" s="2">
        <f t="shared" si="0"/>
        <v>0.59000000000000341</v>
      </c>
      <c r="AE62" s="138">
        <f t="shared" si="1"/>
        <v>3.154574132492094E-3</v>
      </c>
    </row>
    <row r="63" spans="1:31" x14ac:dyDescent="0.25">
      <c r="W63" s="99">
        <v>42530</v>
      </c>
      <c r="X63" s="103">
        <v>31.68</v>
      </c>
      <c r="Y63" s="103">
        <v>32</v>
      </c>
      <c r="Z63" s="103">
        <v>31.68</v>
      </c>
      <c r="AA63" s="103">
        <v>31.94</v>
      </c>
      <c r="AB63" s="101">
        <v>11276800</v>
      </c>
      <c r="AC63" s="100">
        <v>31.7</v>
      </c>
      <c r="AD63" s="2">
        <f t="shared" si="0"/>
        <v>0.32000000000000028</v>
      </c>
      <c r="AE63" s="138">
        <f t="shared" si="1"/>
        <v>1.5797788309637184E-3</v>
      </c>
    </row>
    <row r="64" spans="1:31" x14ac:dyDescent="0.25">
      <c r="W64" s="99">
        <v>42529</v>
      </c>
      <c r="X64" s="103">
        <v>31.8</v>
      </c>
      <c r="Y64" s="103">
        <v>32</v>
      </c>
      <c r="Z64" s="103">
        <v>31.79</v>
      </c>
      <c r="AA64" s="103">
        <v>31.89</v>
      </c>
      <c r="AB64" s="101">
        <v>12732100</v>
      </c>
      <c r="AC64" s="100">
        <v>31.65</v>
      </c>
      <c r="AD64" s="2">
        <f t="shared" si="0"/>
        <v>0.21000000000000085</v>
      </c>
      <c r="AE64" s="138">
        <f t="shared" si="1"/>
        <v>3.1605562579017921E-4</v>
      </c>
    </row>
    <row r="65" spans="23:31" x14ac:dyDescent="0.25">
      <c r="W65" s="99">
        <v>42528</v>
      </c>
      <c r="X65" s="103">
        <v>31.75</v>
      </c>
      <c r="Y65" s="103">
        <v>32.020000000000003</v>
      </c>
      <c r="Z65" s="103">
        <v>31.7</v>
      </c>
      <c r="AA65" s="103">
        <v>31.88</v>
      </c>
      <c r="AB65" s="101">
        <v>19339100</v>
      </c>
      <c r="AC65" s="100">
        <v>31.64</v>
      </c>
      <c r="AD65" s="2">
        <f t="shared" si="0"/>
        <v>0.32000000000000384</v>
      </c>
      <c r="AE65" s="138">
        <f t="shared" si="1"/>
        <v>6.3613231552162031E-3</v>
      </c>
    </row>
    <row r="66" spans="23:31" x14ac:dyDescent="0.25">
      <c r="W66" s="99">
        <v>42527</v>
      </c>
      <c r="X66" s="103">
        <v>31.64</v>
      </c>
      <c r="Y66" s="103">
        <v>31.82</v>
      </c>
      <c r="Z66" s="103">
        <v>31.58</v>
      </c>
      <c r="AA66" s="103">
        <v>31.68</v>
      </c>
      <c r="AB66" s="101">
        <v>15139600</v>
      </c>
      <c r="AC66" s="100">
        <v>31.44</v>
      </c>
      <c r="AD66" s="2">
        <f t="shared" si="0"/>
        <v>0.24000000000000199</v>
      </c>
      <c r="AE66" s="138">
        <f t="shared" si="1"/>
        <v>1.9120458891013214E-3</v>
      </c>
    </row>
    <row r="67" spans="23:31" x14ac:dyDescent="0.25">
      <c r="W67" s="99">
        <v>42524</v>
      </c>
      <c r="X67" s="103">
        <v>31.74</v>
      </c>
      <c r="Y67" s="103">
        <v>31.74</v>
      </c>
      <c r="Z67" s="103">
        <v>31.4</v>
      </c>
      <c r="AA67" s="103">
        <v>31.62</v>
      </c>
      <c r="AB67" s="101">
        <v>15777500</v>
      </c>
      <c r="AC67" s="100">
        <v>31.38</v>
      </c>
      <c r="AD67" s="2">
        <f>Y67-Z67</f>
        <v>0.33999999999999986</v>
      </c>
      <c r="AE67" s="138">
        <f>AC67/AC68-1</f>
        <v>-4.4416243654822329E-3</v>
      </c>
    </row>
    <row r="68" spans="23:31" x14ac:dyDescent="0.25">
      <c r="W68" s="99">
        <v>42523</v>
      </c>
      <c r="X68" s="103">
        <v>31.56</v>
      </c>
      <c r="Y68" s="103">
        <v>31.76</v>
      </c>
      <c r="Z68" s="103">
        <v>31.45</v>
      </c>
      <c r="AA68" s="103">
        <v>31.76</v>
      </c>
      <c r="AB68" s="101">
        <v>14140100</v>
      </c>
      <c r="AC68" s="100">
        <v>31.52</v>
      </c>
      <c r="AD68" s="2">
        <f>Y68-Z68</f>
        <v>0.31000000000000227</v>
      </c>
      <c r="AE68" s="138" t="e">
        <f>AC68/AC69-1</f>
        <v>#DIV/0!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68" priority="7">
      <formula>F21&gt;0</formula>
    </cfRule>
    <cfRule type="expression" dxfId="467" priority="8">
      <formula>F21&lt;0</formula>
    </cfRule>
  </conditionalFormatting>
  <conditionalFormatting sqref="F22">
    <cfRule type="expression" dxfId="466" priority="5">
      <formula>F22&gt;0</formula>
    </cfRule>
    <cfRule type="expression" dxfId="465" priority="6">
      <formula>F22&lt;0</formula>
    </cfRule>
  </conditionalFormatting>
  <conditionalFormatting sqref="Q8">
    <cfRule type="expression" dxfId="464" priority="1">
      <formula>Q8&gt;0</formula>
    </cfRule>
    <cfRule type="expression" dxfId="463" priority="2">
      <formula>Q8&lt;0</formula>
    </cfRule>
  </conditionalFormatting>
  <conditionalFormatting sqref="Q7">
    <cfRule type="expression" dxfId="462" priority="3">
      <formula>Q7&gt;0</formula>
    </cfRule>
    <cfRule type="expression" dxfId="461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127</v>
      </c>
      <c r="AE1" s="47" t="s">
        <v>128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6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42615</v>
      </c>
      <c r="X2" s="41">
        <v>53.92</v>
      </c>
      <c r="Y2" s="41">
        <v>54.35</v>
      </c>
      <c r="Z2" s="41">
        <v>52.87</v>
      </c>
      <c r="AA2" s="41">
        <v>53.08</v>
      </c>
      <c r="AB2" s="104">
        <v>3907200</v>
      </c>
      <c r="AC2" s="41">
        <v>53.08</v>
      </c>
      <c r="AD2" s="2">
        <f>Y2-Z2</f>
        <v>1.480000000000004</v>
      </c>
      <c r="AE2" s="138">
        <f>AC2/AC3-1</f>
        <v>-4.314387544550824E-3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6"/>
      <c r="I3" s="75"/>
      <c r="J3" s="75"/>
      <c r="K3" s="75"/>
      <c r="L3" s="74"/>
      <c r="M3" s="3"/>
      <c r="O3" s="11" t="s">
        <v>58</v>
      </c>
      <c r="Q3" s="80">
        <f>IF(Q2=0, Q4, (F18-K18-M18)/Q2)</f>
        <v>51.23</v>
      </c>
      <c r="W3" s="110">
        <v>42614</v>
      </c>
      <c r="X3" s="41">
        <v>53.75</v>
      </c>
      <c r="Y3" s="41">
        <v>54.22</v>
      </c>
      <c r="Z3" s="41">
        <v>52.76</v>
      </c>
      <c r="AA3" s="41">
        <v>53.31</v>
      </c>
      <c r="AB3" s="104">
        <v>3776700</v>
      </c>
      <c r="AC3" s="41">
        <v>53.31</v>
      </c>
      <c r="AD3" s="2">
        <f t="shared" ref="AD3:AD66" si="0">Y3-Z3</f>
        <v>1.4600000000000009</v>
      </c>
      <c r="AE3" s="138">
        <f t="shared" ref="AE3:AE66" si="1">AC3/AC4-1</f>
        <v>-1.8232044198894903E-2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51.23</v>
      </c>
      <c r="T4" s="124"/>
      <c r="U4" s="30"/>
      <c r="V4" s="35"/>
      <c r="W4" s="110">
        <v>42613</v>
      </c>
      <c r="X4" s="41">
        <v>55.56</v>
      </c>
      <c r="Y4" s="41">
        <v>56.03</v>
      </c>
      <c r="Z4" s="41">
        <v>54.01</v>
      </c>
      <c r="AA4" s="41">
        <v>54.3</v>
      </c>
      <c r="AB4" s="104">
        <v>3555400</v>
      </c>
      <c r="AC4" s="41">
        <v>54.3</v>
      </c>
      <c r="AD4" s="2">
        <f t="shared" si="0"/>
        <v>2.0200000000000031</v>
      </c>
      <c r="AE4" s="138">
        <f t="shared" si="1"/>
        <v>-3.1740370898716175E-2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42612</v>
      </c>
      <c r="X5" s="41">
        <v>56.77</v>
      </c>
      <c r="Y5" s="41">
        <v>57.62</v>
      </c>
      <c r="Z5" s="41">
        <v>55.86</v>
      </c>
      <c r="AA5" s="41">
        <v>56.08</v>
      </c>
      <c r="AB5" s="104">
        <v>1904700</v>
      </c>
      <c r="AC5" s="41">
        <v>56.08</v>
      </c>
      <c r="AD5" s="2">
        <f t="shared" si="0"/>
        <v>1.759999999999998</v>
      </c>
      <c r="AE5" s="138">
        <f t="shared" si="1"/>
        <v>-6.0262318326834707E-3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42611</v>
      </c>
      <c r="X6" s="41">
        <v>56.45</v>
      </c>
      <c r="Y6" s="41">
        <v>56.58</v>
      </c>
      <c r="Z6" s="41">
        <v>55.86</v>
      </c>
      <c r="AA6" s="41">
        <v>56.42</v>
      </c>
      <c r="AB6" s="104">
        <v>2323900</v>
      </c>
      <c r="AC6" s="41">
        <v>56.42</v>
      </c>
      <c r="AD6" s="2">
        <f t="shared" si="0"/>
        <v>0.71999999999999886</v>
      </c>
      <c r="AE6" s="138">
        <f t="shared" si="1"/>
        <v>-4.4115052055760939E-3</v>
      </c>
      <c r="AK6" s="234"/>
      <c r="AN6" s="234"/>
    </row>
    <row r="7" spans="1:40" x14ac:dyDescent="0.25">
      <c r="O7" s="11" t="s">
        <v>187</v>
      </c>
      <c r="Q7" s="2">
        <f>Q10+Q8</f>
        <v>3178.8000000000466</v>
      </c>
      <c r="R7">
        <v>0</v>
      </c>
      <c r="W7" s="110">
        <v>42608</v>
      </c>
      <c r="X7" s="41">
        <v>56.98</v>
      </c>
      <c r="Y7" s="41">
        <v>57.89</v>
      </c>
      <c r="Z7" s="41">
        <v>56.16</v>
      </c>
      <c r="AA7" s="41">
        <v>56.67</v>
      </c>
      <c r="AB7" s="104">
        <v>2616400</v>
      </c>
      <c r="AC7" s="41">
        <v>56.67</v>
      </c>
      <c r="AD7" s="2">
        <f t="shared" si="0"/>
        <v>1.730000000000004</v>
      </c>
      <c r="AE7" s="138">
        <f t="shared" si="1"/>
        <v>-2.4643548671008375E-3</v>
      </c>
    </row>
    <row r="8" spans="1:40" x14ac:dyDescent="0.25">
      <c r="O8" s="11" t="s">
        <v>190</v>
      </c>
      <c r="P8" s="34"/>
      <c r="Q8" s="2">
        <f>K18+M18-F18+Q2*Q4</f>
        <v>0</v>
      </c>
      <c r="W8" s="110">
        <v>42607</v>
      </c>
      <c r="X8" s="41">
        <v>56.31</v>
      </c>
      <c r="Y8" s="41">
        <v>57.35</v>
      </c>
      <c r="Z8" s="41">
        <v>55.87</v>
      </c>
      <c r="AA8" s="41">
        <v>56.81</v>
      </c>
      <c r="AB8" s="104">
        <v>3464300</v>
      </c>
      <c r="AC8" s="41">
        <v>56.81</v>
      </c>
      <c r="AD8" s="2">
        <f t="shared" si="0"/>
        <v>1.480000000000004</v>
      </c>
      <c r="AE8" s="138">
        <f t="shared" si="1"/>
        <v>8.1632653061225469E-3</v>
      </c>
    </row>
    <row r="9" spans="1:40" x14ac:dyDescent="0.25">
      <c r="O9" s="11" t="s">
        <v>224</v>
      </c>
      <c r="Q9" s="138">
        <f>IF(Q2=0, 0, Q8/Q6)</f>
        <v>0</v>
      </c>
      <c r="W9" s="110">
        <v>42606</v>
      </c>
      <c r="X9" s="41">
        <v>56.08</v>
      </c>
      <c r="Y9" s="41">
        <v>56.93</v>
      </c>
      <c r="Z9" s="41">
        <v>55.84</v>
      </c>
      <c r="AA9" s="41">
        <v>56.35</v>
      </c>
      <c r="AB9" s="104">
        <v>3289200</v>
      </c>
      <c r="AC9" s="41">
        <v>56.35</v>
      </c>
      <c r="AD9" s="2">
        <f t="shared" si="0"/>
        <v>1.0899999999999963</v>
      </c>
      <c r="AE9" s="138">
        <f t="shared" si="1"/>
        <v>-1.2406947890818421E-3</v>
      </c>
    </row>
    <row r="10" spans="1:40" x14ac:dyDescent="0.25">
      <c r="O10" s="11" t="s">
        <v>223</v>
      </c>
      <c r="P10" s="34"/>
      <c r="Q10" s="2">
        <f>M75</f>
        <v>3178.8000000000466</v>
      </c>
      <c r="W10" s="110">
        <v>42605</v>
      </c>
      <c r="X10" s="41">
        <v>55.94</v>
      </c>
      <c r="Y10" s="41">
        <v>56.84</v>
      </c>
      <c r="Z10" s="41">
        <v>55.94</v>
      </c>
      <c r="AA10" s="41">
        <v>56.42</v>
      </c>
      <c r="AB10" s="104">
        <v>2289200</v>
      </c>
      <c r="AC10" s="41">
        <v>56.42</v>
      </c>
      <c r="AD10" s="2">
        <f t="shared" si="0"/>
        <v>0.90000000000000568</v>
      </c>
      <c r="AE10" s="138">
        <f t="shared" si="1"/>
        <v>3.914590747331026E-3</v>
      </c>
    </row>
    <row r="11" spans="1:40" x14ac:dyDescent="0.25">
      <c r="O11" s="11" t="s">
        <v>184</v>
      </c>
      <c r="P11" s="34"/>
      <c r="Q11" s="138">
        <f>VALUE(TRIM(CLEAN(MID(U58, FIND("(", U58)+1, 5))))</f>
        <v>1.8800000000000001E-2</v>
      </c>
      <c r="T11" s="19"/>
      <c r="W11" s="110">
        <v>42604</v>
      </c>
      <c r="X11" s="41">
        <v>56.25</v>
      </c>
      <c r="Y11" s="41">
        <v>56.73</v>
      </c>
      <c r="Z11" s="41">
        <v>55.28</v>
      </c>
      <c r="AA11" s="41">
        <v>56.2</v>
      </c>
      <c r="AB11" s="104">
        <v>4498500</v>
      </c>
      <c r="AC11" s="41">
        <v>56.2</v>
      </c>
      <c r="AD11" s="2">
        <f t="shared" si="0"/>
        <v>1.4499999999999957</v>
      </c>
      <c r="AE11" s="138">
        <f t="shared" si="1"/>
        <v>-1.7997553730560778E-2</v>
      </c>
    </row>
    <row r="12" spans="1:40" x14ac:dyDescent="0.25">
      <c r="T12" s="19"/>
      <c r="W12" s="110">
        <v>42601</v>
      </c>
      <c r="X12" s="41">
        <v>57.28</v>
      </c>
      <c r="Y12" s="41">
        <v>57.56</v>
      </c>
      <c r="Z12" s="41">
        <v>56.52</v>
      </c>
      <c r="AA12" s="41">
        <v>57.23</v>
      </c>
      <c r="AB12" s="104">
        <v>2887400</v>
      </c>
      <c r="AC12" s="41">
        <v>57.23</v>
      </c>
      <c r="AD12" s="2">
        <f t="shared" si="0"/>
        <v>1.0399999999999991</v>
      </c>
      <c r="AE12" s="138">
        <f t="shared" si="1"/>
        <v>-6.7684831655675515E-3</v>
      </c>
    </row>
    <row r="13" spans="1:40" x14ac:dyDescent="0.25">
      <c r="W13" s="110">
        <v>42600</v>
      </c>
      <c r="X13" s="41">
        <v>56.94</v>
      </c>
      <c r="Y13" s="41">
        <v>57.88</v>
      </c>
      <c r="Z13" s="41">
        <v>56.87</v>
      </c>
      <c r="AA13" s="41">
        <v>57.62</v>
      </c>
      <c r="AB13" s="104">
        <v>3320100</v>
      </c>
      <c r="AC13" s="41">
        <v>57.62</v>
      </c>
      <c r="AD13" s="2">
        <f t="shared" si="0"/>
        <v>1.0100000000000051</v>
      </c>
      <c r="AE13" s="138">
        <f t="shared" si="1"/>
        <v>1.6225749559082736E-2</v>
      </c>
    </row>
    <row r="14" spans="1:40" x14ac:dyDescent="0.25">
      <c r="W14" s="110">
        <v>42599</v>
      </c>
      <c r="X14" s="41">
        <v>56.57</v>
      </c>
      <c r="Y14" s="41">
        <v>56.9</v>
      </c>
      <c r="Z14" s="41">
        <v>55.75</v>
      </c>
      <c r="AA14" s="41">
        <v>56.7</v>
      </c>
      <c r="AB14" s="104">
        <v>2609600</v>
      </c>
      <c r="AC14" s="41">
        <v>56.7</v>
      </c>
      <c r="AD14" s="2">
        <f t="shared" si="0"/>
        <v>1.1499999999999986</v>
      </c>
      <c r="AE14" s="138">
        <f t="shared" si="1"/>
        <v>5.2938062466911795E-4</v>
      </c>
    </row>
    <row r="15" spans="1:40" x14ac:dyDescent="0.25">
      <c r="W15" s="110">
        <v>42598</v>
      </c>
      <c r="X15" s="41">
        <v>56.46</v>
      </c>
      <c r="Y15" s="41">
        <v>56.94</v>
      </c>
      <c r="Z15" s="41">
        <v>55.55</v>
      </c>
      <c r="AA15" s="41">
        <v>56.67</v>
      </c>
      <c r="AB15" s="104">
        <v>3076300</v>
      </c>
      <c r="AC15" s="41">
        <v>56.67</v>
      </c>
      <c r="AD15" s="2">
        <f t="shared" si="0"/>
        <v>1.3900000000000006</v>
      </c>
      <c r="AE15" s="138">
        <f t="shared" si="1"/>
        <v>3.530450132391838E-4</v>
      </c>
    </row>
    <row r="16" spans="1:40" x14ac:dyDescent="0.25">
      <c r="W16" s="110">
        <v>42597</v>
      </c>
      <c r="X16" s="41">
        <v>56.81</v>
      </c>
      <c r="Y16" s="41">
        <v>57.44</v>
      </c>
      <c r="Z16" s="41">
        <v>56.34</v>
      </c>
      <c r="AA16" s="41">
        <v>56.65</v>
      </c>
      <c r="AB16" s="104">
        <v>4474600</v>
      </c>
      <c r="AC16" s="41">
        <v>56.65</v>
      </c>
      <c r="AD16" s="2">
        <f t="shared" si="0"/>
        <v>1.0999999999999943</v>
      </c>
      <c r="AE16" s="138">
        <f t="shared" si="1"/>
        <v>6.5742714996446239E-3</v>
      </c>
    </row>
    <row r="17" spans="1:31" x14ac:dyDescent="0.25">
      <c r="C17" s="4"/>
      <c r="D17" s="240"/>
      <c r="E17" s="3"/>
      <c r="F17" s="3"/>
      <c r="W17" s="110">
        <v>42594</v>
      </c>
      <c r="X17" s="41">
        <v>56.81</v>
      </c>
      <c r="Y17" s="41">
        <v>56.98</v>
      </c>
      <c r="Z17" s="41">
        <v>55.85</v>
      </c>
      <c r="AA17" s="41">
        <v>56.28</v>
      </c>
      <c r="AB17" s="104">
        <v>3270200</v>
      </c>
      <c r="AC17" s="41">
        <v>56.28</v>
      </c>
      <c r="AD17" s="2">
        <f t="shared" si="0"/>
        <v>1.1299999999999955</v>
      </c>
      <c r="AE17" s="138">
        <f t="shared" si="1"/>
        <v>-4.598514326140779E-3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42593</v>
      </c>
      <c r="X18" s="41">
        <v>55.23</v>
      </c>
      <c r="Y18" s="41">
        <v>57.28</v>
      </c>
      <c r="Z18" s="41">
        <v>54.98</v>
      </c>
      <c r="AA18" s="41">
        <v>56.54</v>
      </c>
      <c r="AB18" s="104">
        <v>3961300</v>
      </c>
      <c r="AC18" s="41">
        <v>56.54</v>
      </c>
      <c r="AD18" s="2">
        <f t="shared" si="0"/>
        <v>2.3000000000000043</v>
      </c>
      <c r="AE18" s="138">
        <f t="shared" si="1"/>
        <v>3.3260233918128712E-2</v>
      </c>
    </row>
    <row r="19" spans="1:31" x14ac:dyDescent="0.25">
      <c r="W19" s="110">
        <v>42592</v>
      </c>
      <c r="X19" s="41">
        <v>55.53</v>
      </c>
      <c r="Y19" s="41">
        <v>56.04</v>
      </c>
      <c r="Z19" s="41">
        <v>54.55</v>
      </c>
      <c r="AA19" s="41">
        <v>54.72</v>
      </c>
      <c r="AB19" s="104">
        <v>3443700</v>
      </c>
      <c r="AC19" s="41">
        <v>54.72</v>
      </c>
      <c r="AD19" s="2">
        <f t="shared" si="0"/>
        <v>1.490000000000002</v>
      </c>
      <c r="AE19" s="138">
        <f t="shared" si="1"/>
        <v>-1.2630819198845233E-2</v>
      </c>
    </row>
    <row r="20" spans="1:31" x14ac:dyDescent="0.25">
      <c r="B20" s="191" t="s">
        <v>114</v>
      </c>
      <c r="C20" s="191" t="s">
        <v>150</v>
      </c>
      <c r="D20" s="199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J20" s="2" t="s">
        <v>125</v>
      </c>
      <c r="W20" s="110">
        <v>42591</v>
      </c>
      <c r="X20" s="41">
        <v>56.09</v>
      </c>
      <c r="Y20" s="41">
        <v>56.17</v>
      </c>
      <c r="Z20" s="41">
        <v>54.83</v>
      </c>
      <c r="AA20" s="41">
        <v>55.42</v>
      </c>
      <c r="AB20" s="104">
        <v>2664400</v>
      </c>
      <c r="AC20" s="41">
        <v>55.42</v>
      </c>
      <c r="AD20" s="2">
        <f t="shared" si="0"/>
        <v>1.3400000000000034</v>
      </c>
      <c r="AE20" s="138">
        <f t="shared" si="1"/>
        <v>-8.9413447782547006E-3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42590</v>
      </c>
      <c r="X21" s="41">
        <v>55.44</v>
      </c>
      <c r="Y21" s="41">
        <v>56.46</v>
      </c>
      <c r="Z21" s="41">
        <v>55.28</v>
      </c>
      <c r="AA21" s="41">
        <v>55.92</v>
      </c>
      <c r="AB21" s="104">
        <v>3595200</v>
      </c>
      <c r="AC21" s="41">
        <v>55.92</v>
      </c>
      <c r="AD21" s="2">
        <f t="shared" si="0"/>
        <v>1.1799999999999997</v>
      </c>
      <c r="AE21" s="138">
        <f t="shared" si="1"/>
        <v>2.3426061493411421E-2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42587</v>
      </c>
      <c r="X22" s="41">
        <v>54</v>
      </c>
      <c r="Y22" s="41">
        <v>54.76</v>
      </c>
      <c r="Z22" s="41">
        <v>53.58</v>
      </c>
      <c r="AA22" s="41">
        <v>54.64</v>
      </c>
      <c r="AB22" s="104">
        <v>3479600</v>
      </c>
      <c r="AC22" s="41">
        <v>54.64</v>
      </c>
      <c r="AD22" s="2">
        <f t="shared" si="0"/>
        <v>1.1799999999999997</v>
      </c>
      <c r="AE22" s="138">
        <f t="shared" si="1"/>
        <v>1.4293669946166654E-2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42586</v>
      </c>
      <c r="X23" s="41">
        <v>53.28</v>
      </c>
      <c r="Y23" s="41">
        <v>55.14</v>
      </c>
      <c r="Z23" s="41">
        <v>53.11</v>
      </c>
      <c r="AA23" s="41">
        <v>53.87</v>
      </c>
      <c r="AB23" s="104">
        <v>5349900</v>
      </c>
      <c r="AC23" s="41">
        <v>53.87</v>
      </c>
      <c r="AD23" s="2">
        <f t="shared" si="0"/>
        <v>2.0300000000000011</v>
      </c>
      <c r="AE23" s="138">
        <f t="shared" si="1"/>
        <v>8.9904476493725127E-3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42585</v>
      </c>
      <c r="X24" s="41">
        <v>51.74</v>
      </c>
      <c r="Y24" s="41">
        <v>53.73</v>
      </c>
      <c r="Z24" s="41">
        <v>51.63</v>
      </c>
      <c r="AA24" s="41">
        <v>53.39</v>
      </c>
      <c r="AB24" s="104">
        <v>6177000</v>
      </c>
      <c r="AC24" s="41">
        <v>53.39</v>
      </c>
      <c r="AD24" s="2">
        <f t="shared" si="0"/>
        <v>2.0999999999999943</v>
      </c>
      <c r="AE24" s="138">
        <f t="shared" si="1"/>
        <v>3.1690821256038726E-2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42584</v>
      </c>
      <c r="X25" s="41">
        <v>51.48</v>
      </c>
      <c r="Y25" s="41">
        <v>51.96</v>
      </c>
      <c r="Z25" s="41">
        <v>50.31</v>
      </c>
      <c r="AA25" s="41">
        <v>51.75</v>
      </c>
      <c r="AB25" s="104">
        <v>4733200</v>
      </c>
      <c r="AC25" s="41">
        <v>51.75</v>
      </c>
      <c r="AD25" s="2">
        <f t="shared" si="0"/>
        <v>1.6499999999999986</v>
      </c>
      <c r="AE25" s="138">
        <f t="shared" si="1"/>
        <v>1.0150302557095481E-2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42583</v>
      </c>
      <c r="X26" s="41">
        <v>52.67</v>
      </c>
      <c r="Y26" s="41">
        <v>52.73</v>
      </c>
      <c r="Z26" s="41">
        <v>51.01</v>
      </c>
      <c r="AA26" s="41">
        <v>51.23</v>
      </c>
      <c r="AB26" s="104">
        <v>5623200</v>
      </c>
      <c r="AC26" s="41">
        <v>51.23</v>
      </c>
      <c r="AD26" s="2">
        <f t="shared" si="0"/>
        <v>1.7199999999999989</v>
      </c>
      <c r="AE26" s="138">
        <f t="shared" si="1"/>
        <v>-4.5107176141658933E-2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42580</v>
      </c>
      <c r="X27" s="41">
        <v>51.41</v>
      </c>
      <c r="Y27" s="41">
        <v>53.82</v>
      </c>
      <c r="Z27" s="41">
        <v>51.41</v>
      </c>
      <c r="AA27" s="41">
        <v>53.65</v>
      </c>
      <c r="AB27" s="104">
        <v>4098000</v>
      </c>
      <c r="AC27" s="41">
        <v>53.65</v>
      </c>
      <c r="AD27" s="2">
        <f t="shared" si="0"/>
        <v>2.4100000000000037</v>
      </c>
      <c r="AE27" s="138">
        <f t="shared" si="1"/>
        <v>2.8368794326241176E-2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42579</v>
      </c>
      <c r="X28" s="41">
        <v>51.5</v>
      </c>
      <c r="Y28" s="41">
        <v>53</v>
      </c>
      <c r="Z28" s="41">
        <v>51.28</v>
      </c>
      <c r="AA28" s="41">
        <v>52.17</v>
      </c>
      <c r="AB28" s="104">
        <v>5308100</v>
      </c>
      <c r="AC28" s="41">
        <v>52.17</v>
      </c>
      <c r="AD28" s="2">
        <f t="shared" si="0"/>
        <v>1.7199999999999989</v>
      </c>
      <c r="AE28" s="138">
        <f t="shared" si="1"/>
        <v>1.1046511627907041E-2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42578</v>
      </c>
      <c r="X29" s="41">
        <v>52</v>
      </c>
      <c r="Y29" s="41">
        <v>53.66</v>
      </c>
      <c r="Z29" s="41">
        <v>50.55</v>
      </c>
      <c r="AA29" s="41">
        <v>51.6</v>
      </c>
      <c r="AB29" s="104">
        <v>9367200</v>
      </c>
      <c r="AC29" s="41">
        <v>51.6</v>
      </c>
      <c r="AD29" s="2">
        <f t="shared" si="0"/>
        <v>3.1099999999999994</v>
      </c>
      <c r="AE29" s="138">
        <f t="shared" si="1"/>
        <v>-3.8748137108792768E-2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42577</v>
      </c>
      <c r="X30" s="41">
        <v>52.46</v>
      </c>
      <c r="Y30" s="41">
        <v>53.71</v>
      </c>
      <c r="Z30" s="41">
        <v>52.16</v>
      </c>
      <c r="AA30" s="41">
        <v>53.68</v>
      </c>
      <c r="AB30" s="104">
        <v>3789100</v>
      </c>
      <c r="AC30" s="41">
        <v>53.68</v>
      </c>
      <c r="AD30" s="2">
        <f t="shared" si="0"/>
        <v>1.5500000000000043</v>
      </c>
      <c r="AE30" s="138">
        <f t="shared" si="1"/>
        <v>1.6474152622609317E-2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42576</v>
      </c>
      <c r="X31" s="197">
        <v>53.5</v>
      </c>
      <c r="Y31" s="41">
        <v>53.78</v>
      </c>
      <c r="Z31" s="41">
        <v>52.36</v>
      </c>
      <c r="AA31" s="41">
        <v>52.81</v>
      </c>
      <c r="AB31" s="104">
        <v>4099400</v>
      </c>
      <c r="AC31" s="41">
        <v>52.81</v>
      </c>
      <c r="AD31" s="2">
        <f t="shared" si="0"/>
        <v>1.4200000000000017</v>
      </c>
      <c r="AE31" s="138">
        <f t="shared" si="1"/>
        <v>-2.4205469327420404E-2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42573</v>
      </c>
      <c r="X32" s="41">
        <v>55.26</v>
      </c>
      <c r="Y32" s="41">
        <v>55.43</v>
      </c>
      <c r="Z32" s="41">
        <v>53.66</v>
      </c>
      <c r="AA32" s="41">
        <v>54.12</v>
      </c>
      <c r="AB32" s="104">
        <v>2773400</v>
      </c>
      <c r="AC32" s="41">
        <v>54.12</v>
      </c>
      <c r="AD32" s="2">
        <f t="shared" si="0"/>
        <v>1.7700000000000031</v>
      </c>
      <c r="AE32" s="138">
        <f t="shared" si="1"/>
        <v>-1.4387179020214913E-2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42572</v>
      </c>
      <c r="X33" s="41">
        <v>56.28</v>
      </c>
      <c r="Y33" s="41">
        <v>56.93</v>
      </c>
      <c r="Z33" s="41">
        <v>54.72</v>
      </c>
      <c r="AA33" s="41">
        <v>54.91</v>
      </c>
      <c r="AB33" s="104">
        <v>1917600</v>
      </c>
      <c r="AC33" s="41">
        <v>54.91</v>
      </c>
      <c r="AD33" s="2">
        <f t="shared" si="0"/>
        <v>2.2100000000000009</v>
      </c>
      <c r="AE33" s="138">
        <f t="shared" si="1"/>
        <v>-2.5727466288147705E-2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42571</v>
      </c>
      <c r="X34" s="41">
        <v>55.81</v>
      </c>
      <c r="Y34" s="41">
        <v>56.68</v>
      </c>
      <c r="Z34" s="41">
        <v>54.72</v>
      </c>
      <c r="AA34" s="41">
        <v>56.36</v>
      </c>
      <c r="AB34" s="104">
        <v>3171000</v>
      </c>
      <c r="AC34" s="41">
        <v>56.36</v>
      </c>
      <c r="AD34" s="2">
        <f t="shared" si="0"/>
        <v>1.9600000000000009</v>
      </c>
      <c r="AE34" s="138">
        <f t="shared" si="1"/>
        <v>4.455533772945941E-3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42570</v>
      </c>
      <c r="X35" s="41">
        <v>57.1</v>
      </c>
      <c r="Y35" s="41">
        <v>57.48</v>
      </c>
      <c r="Z35" s="41">
        <v>55.84</v>
      </c>
      <c r="AA35" s="41">
        <v>56.11</v>
      </c>
      <c r="AB35" s="104">
        <v>2305200</v>
      </c>
      <c r="AC35" s="41">
        <v>56.11</v>
      </c>
      <c r="AD35" s="2">
        <f t="shared" si="0"/>
        <v>1.6399999999999935</v>
      </c>
      <c r="AE35" s="138">
        <f t="shared" si="1"/>
        <v>-2.5868055555555602E-2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42569</v>
      </c>
      <c r="X36" s="41">
        <v>56.72</v>
      </c>
      <c r="Y36" s="41">
        <v>57.65</v>
      </c>
      <c r="Z36" s="41">
        <v>56.25</v>
      </c>
      <c r="AA36" s="41">
        <v>57.6</v>
      </c>
      <c r="AB36" s="104">
        <v>2802700</v>
      </c>
      <c r="AC36" s="41">
        <v>57.6</v>
      </c>
      <c r="AD36" s="2">
        <f t="shared" si="0"/>
        <v>1.3999999999999986</v>
      </c>
      <c r="AE36" s="138">
        <f t="shared" si="1"/>
        <v>1.1768838924995695E-2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42566</v>
      </c>
      <c r="X37" s="41">
        <v>58.08</v>
      </c>
      <c r="Y37" s="41">
        <v>58.36</v>
      </c>
      <c r="Z37" s="41">
        <v>56.68</v>
      </c>
      <c r="AA37" s="41">
        <v>56.93</v>
      </c>
      <c r="AB37" s="104">
        <v>3409300</v>
      </c>
      <c r="AC37" s="41">
        <v>56.93</v>
      </c>
      <c r="AD37" s="2">
        <f t="shared" si="0"/>
        <v>1.6799999999999997</v>
      </c>
      <c r="AE37" s="138">
        <f t="shared" si="1"/>
        <v>-1.861747974487149E-2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42565</v>
      </c>
      <c r="X38" s="41">
        <v>59.09</v>
      </c>
      <c r="Y38" s="41">
        <v>59.43</v>
      </c>
      <c r="Z38" s="41">
        <v>57.98</v>
      </c>
      <c r="AA38" s="41">
        <v>58.01</v>
      </c>
      <c r="AB38" s="104">
        <v>2839500</v>
      </c>
      <c r="AC38" s="41">
        <v>58.01</v>
      </c>
      <c r="AD38" s="2">
        <f t="shared" si="0"/>
        <v>1.4500000000000028</v>
      </c>
      <c r="AE38" s="138">
        <f t="shared" si="1"/>
        <v>-1.7235436056539655E-4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42564</v>
      </c>
      <c r="X39" s="41">
        <v>59.99</v>
      </c>
      <c r="Y39" s="41">
        <v>60.12</v>
      </c>
      <c r="Z39" s="41">
        <v>57.46</v>
      </c>
      <c r="AA39" s="41">
        <v>58.02</v>
      </c>
      <c r="AB39" s="104">
        <v>4019900</v>
      </c>
      <c r="AC39" s="41">
        <v>58.02</v>
      </c>
      <c r="AD39" s="2">
        <f t="shared" si="0"/>
        <v>2.6599999999999966</v>
      </c>
      <c r="AE39" s="138">
        <f t="shared" si="1"/>
        <v>-3.5090636953267862E-2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42563</v>
      </c>
      <c r="X40" s="41">
        <v>57.24</v>
      </c>
      <c r="Y40" s="41">
        <v>60.17</v>
      </c>
      <c r="Z40" s="41">
        <v>57.08</v>
      </c>
      <c r="AA40" s="41">
        <v>60.13</v>
      </c>
      <c r="AB40" s="104">
        <v>4561700</v>
      </c>
      <c r="AC40" s="41">
        <v>60.13</v>
      </c>
      <c r="AD40" s="2">
        <f t="shared" si="0"/>
        <v>3.0900000000000034</v>
      </c>
      <c r="AE40" s="138">
        <f t="shared" si="1"/>
        <v>7.2409488139825173E-2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42562</v>
      </c>
      <c r="X41" s="41">
        <v>57.23</v>
      </c>
      <c r="Y41" s="41">
        <v>57.41</v>
      </c>
      <c r="Z41" s="41">
        <v>55.99</v>
      </c>
      <c r="AA41" s="41">
        <v>56.07</v>
      </c>
      <c r="AB41" s="104">
        <v>2337000</v>
      </c>
      <c r="AC41" s="41">
        <v>56.07</v>
      </c>
      <c r="AD41" s="2">
        <f t="shared" si="0"/>
        <v>1.4199999999999946</v>
      </c>
      <c r="AE41" s="138">
        <f t="shared" si="1"/>
        <v>-1.3025875726104585E-2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42559</v>
      </c>
      <c r="X42" s="41">
        <v>57.68</v>
      </c>
      <c r="Y42" s="41">
        <v>57.87</v>
      </c>
      <c r="Z42" s="41">
        <v>55.77</v>
      </c>
      <c r="AA42" s="41">
        <v>56.81</v>
      </c>
      <c r="AB42" s="104">
        <v>3259200</v>
      </c>
      <c r="AC42" s="41">
        <v>56.81</v>
      </c>
      <c r="AD42" s="2">
        <f t="shared" si="0"/>
        <v>2.0999999999999943</v>
      </c>
      <c r="AE42" s="138">
        <f t="shared" si="1"/>
        <v>5.8427762039661157E-3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53.31</v>
      </c>
      <c r="W43" s="110">
        <v>42558</v>
      </c>
      <c r="X43" s="41">
        <v>57.73</v>
      </c>
      <c r="Y43" s="41">
        <v>58.68</v>
      </c>
      <c r="Z43" s="41">
        <v>55.85</v>
      </c>
      <c r="AA43" s="41">
        <v>56.48</v>
      </c>
      <c r="AB43" s="104">
        <v>4218100</v>
      </c>
      <c r="AC43" s="41">
        <v>56.48</v>
      </c>
      <c r="AD43" s="2">
        <f t="shared" si="0"/>
        <v>2.8299999999999983</v>
      </c>
      <c r="AE43" s="138">
        <f t="shared" si="1"/>
        <v>-7.0323488045007654E-3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545" t="s">
        <v>78</v>
      </c>
      <c r="P44" s="545"/>
      <c r="T44" s="108" t="s">
        <v>99</v>
      </c>
      <c r="U44" s="106">
        <v>53.92</v>
      </c>
      <c r="W44" s="110">
        <v>42557</v>
      </c>
      <c r="X44" s="41">
        <v>56.54</v>
      </c>
      <c r="Y44" s="41">
        <v>56.96</v>
      </c>
      <c r="Z44" s="41">
        <v>55.86</v>
      </c>
      <c r="AA44" s="41">
        <v>56.88</v>
      </c>
      <c r="AB44" s="104">
        <v>3065100</v>
      </c>
      <c r="AC44" s="41">
        <v>56.88</v>
      </c>
      <c r="AD44" s="2">
        <f t="shared" si="0"/>
        <v>1.1000000000000014</v>
      </c>
      <c r="AE44" s="138">
        <f t="shared" si="1"/>
        <v>-1.4044943820223921E-3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56.353000000000002</v>
      </c>
      <c r="R45" s="34"/>
      <c r="T45" s="108" t="s">
        <v>100</v>
      </c>
      <c r="U45" s="106" t="s">
        <v>400</v>
      </c>
      <c r="W45" s="110">
        <v>42556</v>
      </c>
      <c r="X45" s="41">
        <v>58.65</v>
      </c>
      <c r="Y45" s="41">
        <v>59.28</v>
      </c>
      <c r="Z45" s="41">
        <v>56.19</v>
      </c>
      <c r="AA45" s="41">
        <v>56.96</v>
      </c>
      <c r="AB45" s="104">
        <v>4089100</v>
      </c>
      <c r="AC45" s="41">
        <v>56.96</v>
      </c>
      <c r="AD45" s="2">
        <f t="shared" si="0"/>
        <v>3.0900000000000034</v>
      </c>
      <c r="AE45" s="138">
        <f t="shared" si="1"/>
        <v>-5.3034081463009142E-2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55.840699999999998</v>
      </c>
      <c r="Q46" s="2"/>
      <c r="R46" s="34"/>
      <c r="T46" s="108" t="s">
        <v>101</v>
      </c>
      <c r="U46" s="106" t="s">
        <v>401</v>
      </c>
      <c r="W46" s="110">
        <v>42552</v>
      </c>
      <c r="X46" s="41">
        <v>60.01</v>
      </c>
      <c r="Y46" s="41">
        <v>61.54</v>
      </c>
      <c r="Z46" s="41">
        <v>59.69</v>
      </c>
      <c r="AA46" s="41">
        <v>60.15</v>
      </c>
      <c r="AB46" s="104">
        <v>3315600</v>
      </c>
      <c r="AC46" s="41">
        <v>60.15</v>
      </c>
      <c r="AD46" s="2">
        <f t="shared" si="0"/>
        <v>1.8500000000000014</v>
      </c>
      <c r="AE46" s="138">
        <f t="shared" si="1"/>
        <v>8.3194675540765317E-4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55.328400000000002</v>
      </c>
      <c r="Q47" s="2"/>
      <c r="R47" s="34"/>
      <c r="T47" s="108" t="s">
        <v>102</v>
      </c>
      <c r="U47" s="106">
        <v>65.45</v>
      </c>
      <c r="W47" s="110">
        <v>42551</v>
      </c>
      <c r="X47" s="41">
        <v>59.42</v>
      </c>
      <c r="Y47" s="41">
        <v>60.38</v>
      </c>
      <c r="Z47" s="41">
        <v>58.81</v>
      </c>
      <c r="AA47" s="41">
        <v>60.1</v>
      </c>
      <c r="AB47" s="104">
        <v>11904700</v>
      </c>
      <c r="AC47" s="41">
        <v>60.1</v>
      </c>
      <c r="AD47" s="2">
        <f t="shared" si="0"/>
        <v>1.5700000000000003</v>
      </c>
      <c r="AE47" s="138">
        <f t="shared" si="1"/>
        <v>4.0332352432058238E-2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54.816099999999999</v>
      </c>
      <c r="Q48" s="2"/>
      <c r="R48" s="34"/>
      <c r="T48" s="108" t="s">
        <v>103</v>
      </c>
      <c r="U48" s="106">
        <v>1.4986999999999999</v>
      </c>
      <c r="W48" s="110">
        <v>42550</v>
      </c>
      <c r="X48" s="41">
        <v>55.87</v>
      </c>
      <c r="Y48" s="41">
        <v>57.98</v>
      </c>
      <c r="Z48" s="41">
        <v>55.43</v>
      </c>
      <c r="AA48" s="41">
        <v>57.77</v>
      </c>
      <c r="AB48" s="104">
        <v>3837600</v>
      </c>
      <c r="AC48" s="41">
        <v>57.77</v>
      </c>
      <c r="AD48" s="2">
        <f t="shared" si="0"/>
        <v>2.5499999999999972</v>
      </c>
      <c r="AE48" s="138">
        <f t="shared" si="1"/>
        <v>4.7696771853463993E-2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54.303800000000003</v>
      </c>
      <c r="Q49" s="2"/>
      <c r="R49" s="34"/>
      <c r="T49" s="108" t="s">
        <v>123</v>
      </c>
      <c r="U49" s="106" t="s">
        <v>322</v>
      </c>
      <c r="W49" s="110">
        <v>42549</v>
      </c>
      <c r="X49" s="41">
        <v>54.5</v>
      </c>
      <c r="Y49" s="41">
        <v>55.54</v>
      </c>
      <c r="Z49" s="41">
        <v>53.72</v>
      </c>
      <c r="AA49" s="41">
        <v>55.14</v>
      </c>
      <c r="AB49" s="104">
        <v>4226900</v>
      </c>
      <c r="AC49" s="41">
        <v>55.14</v>
      </c>
      <c r="AD49" s="2">
        <f t="shared" si="0"/>
        <v>1.8200000000000003</v>
      </c>
      <c r="AE49" s="138">
        <f t="shared" si="1"/>
        <v>4.7691430742922147E-2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53.791499999999999</v>
      </c>
      <c r="Q50" s="2"/>
      <c r="R50" s="34"/>
      <c r="T50" s="108"/>
      <c r="U50" s="106"/>
      <c r="W50" s="110">
        <v>42548</v>
      </c>
      <c r="X50" s="41">
        <v>54.87</v>
      </c>
      <c r="Y50" s="41">
        <v>55.12</v>
      </c>
      <c r="Z50" s="41">
        <v>51.82</v>
      </c>
      <c r="AA50" s="41">
        <v>52.63</v>
      </c>
      <c r="AB50" s="104">
        <v>6076000</v>
      </c>
      <c r="AC50" s="41">
        <v>52.63</v>
      </c>
      <c r="AD50" s="2">
        <f t="shared" si="0"/>
        <v>3.2999999999999972</v>
      </c>
      <c r="AE50" s="138">
        <f t="shared" si="1"/>
        <v>-5.7316854737596179E-2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53.279199999999996</v>
      </c>
      <c r="Q51" s="2"/>
      <c r="R51" s="34"/>
      <c r="T51" s="108" t="s">
        <v>105</v>
      </c>
      <c r="U51" s="106" t="s">
        <v>402</v>
      </c>
      <c r="W51" s="110">
        <v>42545</v>
      </c>
      <c r="X51" s="41">
        <v>57.04</v>
      </c>
      <c r="Y51" s="41">
        <v>58.07</v>
      </c>
      <c r="Z51" s="41">
        <v>55.51</v>
      </c>
      <c r="AA51" s="41">
        <v>55.83</v>
      </c>
      <c r="AB51" s="104">
        <v>4830300</v>
      </c>
      <c r="AC51" s="41">
        <v>55.83</v>
      </c>
      <c r="AD51" s="2">
        <f t="shared" si="0"/>
        <v>2.5600000000000023</v>
      </c>
      <c r="AE51" s="138">
        <f t="shared" si="1"/>
        <v>-6.5919357537226109E-2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52.7669</v>
      </c>
      <c r="Q52" s="2"/>
      <c r="R52" s="34"/>
      <c r="T52" s="108" t="s">
        <v>106</v>
      </c>
      <c r="U52" s="106" t="s">
        <v>279</v>
      </c>
      <c r="W52" s="110">
        <v>42544</v>
      </c>
      <c r="X52" s="41">
        <v>58.73</v>
      </c>
      <c r="Y52" s="41">
        <v>59.79</v>
      </c>
      <c r="Z52" s="41">
        <v>58.33</v>
      </c>
      <c r="AA52" s="41">
        <v>59.77</v>
      </c>
      <c r="AB52" s="104">
        <v>2501400</v>
      </c>
      <c r="AC52" s="41">
        <v>59.77</v>
      </c>
      <c r="AD52" s="2">
        <f t="shared" si="0"/>
        <v>1.4600000000000009</v>
      </c>
      <c r="AE52" s="138">
        <f t="shared" si="1"/>
        <v>3.0162013098931295E-2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52.254599999999996</v>
      </c>
      <c r="Q53" s="2"/>
      <c r="R53" s="34"/>
      <c r="T53" s="108" t="s">
        <v>107</v>
      </c>
      <c r="U53" s="107">
        <v>3916851</v>
      </c>
      <c r="W53" s="110">
        <v>42543</v>
      </c>
      <c r="X53" s="41">
        <v>59.03</v>
      </c>
      <c r="Y53" s="41">
        <v>59.03</v>
      </c>
      <c r="Z53" s="41">
        <v>57.84</v>
      </c>
      <c r="AA53" s="41">
        <v>58.02</v>
      </c>
      <c r="AB53" s="104">
        <v>1880500</v>
      </c>
      <c r="AC53" s="41">
        <v>58.02</v>
      </c>
      <c r="AD53" s="2">
        <f t="shared" si="0"/>
        <v>1.1899999999999977</v>
      </c>
      <c r="AE53" s="138">
        <f t="shared" si="1"/>
        <v>-1.1584327086882396E-2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51.7423</v>
      </c>
      <c r="Q54" s="2"/>
      <c r="R54" s="34"/>
      <c r="T54" s="108" t="s">
        <v>110</v>
      </c>
      <c r="U54" s="107">
        <v>3654550</v>
      </c>
      <c r="W54" s="110">
        <v>42542</v>
      </c>
      <c r="X54" s="41">
        <v>58.12</v>
      </c>
      <c r="Y54" s="41">
        <v>58.82</v>
      </c>
      <c r="Z54" s="41">
        <v>57.5</v>
      </c>
      <c r="AA54" s="41">
        <v>58.7</v>
      </c>
      <c r="AB54" s="104">
        <v>2241900</v>
      </c>
      <c r="AC54" s="41">
        <v>58.7</v>
      </c>
      <c r="AD54" s="2">
        <f t="shared" si="0"/>
        <v>1.3200000000000003</v>
      </c>
      <c r="AE54" s="138">
        <f t="shared" si="1"/>
        <v>6.5157750342936804E-3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51.23</v>
      </c>
      <c r="Q55" s="2"/>
      <c r="R55" s="34"/>
      <c r="T55" s="108" t="s">
        <v>108</v>
      </c>
      <c r="U55" s="106" t="s">
        <v>403</v>
      </c>
      <c r="W55" s="110">
        <v>42541</v>
      </c>
      <c r="X55" s="41">
        <v>58.18</v>
      </c>
      <c r="Y55" s="41">
        <v>58.81</v>
      </c>
      <c r="Z55" s="41">
        <v>57.73</v>
      </c>
      <c r="AA55" s="41">
        <v>58.32</v>
      </c>
      <c r="AB55" s="104">
        <v>2825300</v>
      </c>
      <c r="AC55" s="41">
        <v>58.32</v>
      </c>
      <c r="AD55" s="2">
        <f t="shared" si="0"/>
        <v>1.0800000000000054</v>
      </c>
      <c r="AE55" s="138">
        <f t="shared" si="1"/>
        <v>2.3876404494381998E-2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50.717699999999994</v>
      </c>
      <c r="Q56" s="2"/>
      <c r="R56" s="34"/>
      <c r="T56" s="108" t="s">
        <v>111</v>
      </c>
      <c r="U56" s="106" t="s">
        <v>130</v>
      </c>
      <c r="W56" s="110">
        <v>42538</v>
      </c>
      <c r="X56" s="41">
        <v>57.02</v>
      </c>
      <c r="Y56" s="41">
        <v>57.61</v>
      </c>
      <c r="Z56" s="41">
        <v>56.73</v>
      </c>
      <c r="AA56" s="41">
        <v>56.96</v>
      </c>
      <c r="AB56" s="104">
        <v>2947300</v>
      </c>
      <c r="AC56" s="41">
        <v>56.96</v>
      </c>
      <c r="AD56" s="2">
        <f t="shared" si="0"/>
        <v>0.88000000000000256</v>
      </c>
      <c r="AE56" s="138">
        <f t="shared" si="1"/>
        <v>1.5329768270944788E-2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50.205399999999997</v>
      </c>
      <c r="Q57" s="2"/>
      <c r="R57" s="34"/>
      <c r="T57" s="108" t="s">
        <v>112</v>
      </c>
      <c r="U57" s="106">
        <v>-10.25</v>
      </c>
      <c r="W57" s="110">
        <v>42537</v>
      </c>
      <c r="X57" s="41">
        <v>56.39</v>
      </c>
      <c r="Y57" s="41">
        <v>56.46</v>
      </c>
      <c r="Z57" s="41">
        <v>54.42</v>
      </c>
      <c r="AA57" s="41">
        <v>56.1</v>
      </c>
      <c r="AB57" s="104">
        <v>4120500</v>
      </c>
      <c r="AC57" s="41">
        <v>56.1</v>
      </c>
      <c r="AD57" s="2">
        <f t="shared" si="0"/>
        <v>2.0399999999999991</v>
      </c>
      <c r="AE57" s="138">
        <f t="shared" si="1"/>
        <v>-1.8372703412073421E-2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49.693099999999994</v>
      </c>
      <c r="Q58" s="2"/>
      <c r="R58" s="34"/>
      <c r="T58" s="108" t="s">
        <v>109</v>
      </c>
      <c r="U58" s="106" t="s">
        <v>404</v>
      </c>
      <c r="W58" s="110">
        <v>42536</v>
      </c>
      <c r="X58" s="41">
        <v>57.65</v>
      </c>
      <c r="Y58" s="41">
        <v>58.26</v>
      </c>
      <c r="Z58" s="41">
        <v>56.25</v>
      </c>
      <c r="AA58" s="41">
        <v>57.15</v>
      </c>
      <c r="AB58" s="104">
        <v>3637200</v>
      </c>
      <c r="AC58" s="41">
        <v>57.15</v>
      </c>
      <c r="AD58" s="2">
        <f t="shared" si="0"/>
        <v>2.009999999999998</v>
      </c>
      <c r="AE58" s="138">
        <f t="shared" si="1"/>
        <v>-1.1587685921826352E-2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49.180799999999998</v>
      </c>
      <c r="W59" s="110">
        <v>42535</v>
      </c>
      <c r="X59" s="41">
        <v>57</v>
      </c>
      <c r="Y59" s="41">
        <v>58.18</v>
      </c>
      <c r="Z59" s="41">
        <v>56.81</v>
      </c>
      <c r="AA59" s="41">
        <v>57.82</v>
      </c>
      <c r="AB59" s="104">
        <v>2144800</v>
      </c>
      <c r="AC59" s="41">
        <v>57.82</v>
      </c>
      <c r="AD59" s="2">
        <f t="shared" si="0"/>
        <v>1.3699999999999974</v>
      </c>
      <c r="AE59" s="138" t="e">
        <f t="shared" si="1"/>
        <v>#DIV/0!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48.668499999999995</v>
      </c>
      <c r="W60" s="110">
        <v>42535</v>
      </c>
      <c r="X60" s="41" t="s">
        <v>126</v>
      </c>
      <c r="Y60" s="41"/>
      <c r="Z60" s="41"/>
      <c r="AA60" s="41"/>
      <c r="AB60" s="104"/>
      <c r="AC60" s="41"/>
      <c r="AD60" s="2">
        <f t="shared" si="0"/>
        <v>0</v>
      </c>
      <c r="AE60" s="138">
        <f t="shared" si="1"/>
        <v>-1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48.156199999999991</v>
      </c>
      <c r="W61" s="110">
        <v>42534</v>
      </c>
      <c r="X61" s="41">
        <v>57.28</v>
      </c>
      <c r="Y61" s="41">
        <v>58.57</v>
      </c>
      <c r="Z61" s="41">
        <v>56.93</v>
      </c>
      <c r="AA61" s="41">
        <v>57.49</v>
      </c>
      <c r="AB61" s="104">
        <v>2338500</v>
      </c>
      <c r="AC61" s="41">
        <v>57.24</v>
      </c>
      <c r="AD61" s="2">
        <f t="shared" si="0"/>
        <v>1.6400000000000006</v>
      </c>
      <c r="AE61" s="138">
        <f t="shared" si="1"/>
        <v>-3.6553524804178172E-3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47.643900000000002</v>
      </c>
      <c r="W62" s="110">
        <v>42531</v>
      </c>
      <c r="X62" s="41">
        <v>59.51</v>
      </c>
      <c r="Y62" s="41">
        <v>59.91</v>
      </c>
      <c r="Z62" s="41">
        <v>57.18</v>
      </c>
      <c r="AA62" s="41">
        <v>57.7</v>
      </c>
      <c r="AB62" s="104">
        <v>3635900</v>
      </c>
      <c r="AC62" s="41">
        <v>57.45</v>
      </c>
      <c r="AD62" s="2">
        <f t="shared" si="0"/>
        <v>2.7299999999999969</v>
      </c>
      <c r="AE62" s="138">
        <f t="shared" si="1"/>
        <v>-4.4411177644710476E-2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47.131599999999999</v>
      </c>
      <c r="W63" s="110">
        <v>42530</v>
      </c>
      <c r="X63" s="41">
        <v>60.72</v>
      </c>
      <c r="Y63" s="41">
        <v>61.73</v>
      </c>
      <c r="Z63" s="41">
        <v>60.35</v>
      </c>
      <c r="AA63" s="41">
        <v>60.38</v>
      </c>
      <c r="AB63" s="104">
        <v>2304400</v>
      </c>
      <c r="AC63" s="41">
        <v>60.12</v>
      </c>
      <c r="AD63" s="2">
        <f t="shared" si="0"/>
        <v>1.3799999999999955</v>
      </c>
      <c r="AE63" s="138">
        <f t="shared" si="1"/>
        <v>-2.3867510959571403E-2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46.619299999999996</v>
      </c>
      <c r="W64" s="110">
        <v>42529</v>
      </c>
      <c r="X64" s="41">
        <v>62.23</v>
      </c>
      <c r="Y64" s="41">
        <v>63</v>
      </c>
      <c r="Z64" s="41">
        <v>61.22</v>
      </c>
      <c r="AA64" s="41">
        <v>61.86</v>
      </c>
      <c r="AB64" s="104">
        <v>2690800</v>
      </c>
      <c r="AC64" s="41">
        <v>61.59</v>
      </c>
      <c r="AD64" s="2">
        <f t="shared" si="0"/>
        <v>1.7800000000000011</v>
      </c>
      <c r="AE64" s="138">
        <f t="shared" si="1"/>
        <v>4.7308319738990079E-3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46.106999999999999</v>
      </c>
      <c r="W65" s="110">
        <v>42528</v>
      </c>
      <c r="X65" s="41">
        <v>60.91</v>
      </c>
      <c r="Y65" s="41">
        <v>61.76</v>
      </c>
      <c r="Z65" s="41">
        <v>60.2</v>
      </c>
      <c r="AA65" s="41">
        <v>61.57</v>
      </c>
      <c r="AB65" s="104">
        <v>3359600</v>
      </c>
      <c r="AC65" s="41">
        <v>61.3</v>
      </c>
      <c r="AD65" s="2">
        <f t="shared" si="0"/>
        <v>1.5599999999999952</v>
      </c>
      <c r="AE65" s="138">
        <f t="shared" si="1"/>
        <v>2.0815986677768628E-2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42527</v>
      </c>
      <c r="X66" s="41">
        <v>58.95</v>
      </c>
      <c r="Y66" s="41">
        <v>60.37</v>
      </c>
      <c r="Z66" s="41">
        <v>58.59</v>
      </c>
      <c r="AA66" s="41">
        <v>60.31</v>
      </c>
      <c r="AB66" s="104">
        <v>2925300</v>
      </c>
      <c r="AC66" s="41">
        <v>60.05</v>
      </c>
      <c r="AD66" s="2">
        <f t="shared" si="0"/>
        <v>1.779999999999994</v>
      </c>
      <c r="AE66" s="138">
        <f t="shared" si="1"/>
        <v>3.3384959559456195E-2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42524</v>
      </c>
      <c r="X67" s="41">
        <v>59.33</v>
      </c>
      <c r="Y67" s="41">
        <v>59.74</v>
      </c>
      <c r="Z67" s="41">
        <v>58.13</v>
      </c>
      <c r="AA67" s="41">
        <v>58.36</v>
      </c>
      <c r="AB67" s="104">
        <v>2079300</v>
      </c>
      <c r="AC67" s="41">
        <v>58.11</v>
      </c>
      <c r="AD67" s="2">
        <f>Y67-Z67</f>
        <v>1.6099999999999994</v>
      </c>
      <c r="AE67" s="138">
        <f>AC67/AC68-1</f>
        <v>-1.4583686620315395E-2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42523</v>
      </c>
      <c r="X68" s="41">
        <v>58.24</v>
      </c>
      <c r="Y68" s="41">
        <v>59.23</v>
      </c>
      <c r="Z68" s="41">
        <v>57.8</v>
      </c>
      <c r="AA68" s="41">
        <v>59.23</v>
      </c>
      <c r="AB68" s="104">
        <v>2451200</v>
      </c>
      <c r="AC68" s="41">
        <v>58.97</v>
      </c>
      <c r="AD68" s="2">
        <f>Y68-Z68</f>
        <v>1.4299999999999997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122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223</v>
      </c>
      <c r="M75" s="2">
        <f>M128+K128-F128</f>
        <v>3178.8000000000466</v>
      </c>
    </row>
    <row r="76" spans="1:31" x14ac:dyDescent="0.25">
      <c r="A76" s="397" t="s">
        <v>1</v>
      </c>
      <c r="B76" s="398" t="s">
        <v>2</v>
      </c>
      <c r="C76" s="397" t="s">
        <v>4</v>
      </c>
      <c r="D76" s="399" t="s">
        <v>5</v>
      </c>
      <c r="E76" s="400" t="s">
        <v>90</v>
      </c>
      <c r="F76" s="400" t="s">
        <v>60</v>
      </c>
      <c r="G76" s="397" t="s">
        <v>3</v>
      </c>
      <c r="H76" s="401" t="s">
        <v>6</v>
      </c>
      <c r="I76" s="400" t="s">
        <v>7</v>
      </c>
      <c r="J76" s="400" t="s">
        <v>89</v>
      </c>
      <c r="K76" s="400" t="s">
        <v>61</v>
      </c>
      <c r="L76" s="397" t="s">
        <v>43</v>
      </c>
      <c r="M76" s="397" t="s">
        <v>38</v>
      </c>
    </row>
    <row r="77" spans="1:31" x14ac:dyDescent="0.25">
      <c r="A77" s="393" t="s">
        <v>22</v>
      </c>
      <c r="B77" s="402">
        <v>42153</v>
      </c>
      <c r="C77" s="384">
        <v>20</v>
      </c>
      <c r="D77" s="389">
        <v>67.3</v>
      </c>
      <c r="E77" s="385">
        <v>0</v>
      </c>
      <c r="F77" s="385">
        <f t="shared" ref="F77:F126" si="6">D77*C77+E77</f>
        <v>1346</v>
      </c>
      <c r="G77" s="383">
        <v>42219</v>
      </c>
      <c r="H77" s="403">
        <v>25</v>
      </c>
      <c r="I77" s="404">
        <v>60.05</v>
      </c>
      <c r="J77" s="404">
        <v>0.03</v>
      </c>
      <c r="K77" s="404">
        <f t="shared" ref="K77:K112" si="7">H77*I77-J77</f>
        <v>1501.22</v>
      </c>
      <c r="L77" s="383">
        <v>42185</v>
      </c>
      <c r="M77" s="385">
        <v>5</v>
      </c>
    </row>
    <row r="78" spans="1:31" x14ac:dyDescent="0.25">
      <c r="A78" s="394" t="s">
        <v>71</v>
      </c>
      <c r="B78" s="402">
        <v>42205</v>
      </c>
      <c r="C78" s="384">
        <v>20</v>
      </c>
      <c r="D78" s="389">
        <v>63.4</v>
      </c>
      <c r="E78" s="385">
        <v>0</v>
      </c>
      <c r="F78" s="385">
        <f t="shared" si="6"/>
        <v>1268</v>
      </c>
      <c r="G78" s="383">
        <v>42219</v>
      </c>
      <c r="H78" s="403">
        <v>55</v>
      </c>
      <c r="I78" s="404">
        <v>59.75</v>
      </c>
      <c r="J78" s="404">
        <v>0.06</v>
      </c>
      <c r="K78" s="404">
        <f t="shared" si="7"/>
        <v>3286.19</v>
      </c>
      <c r="L78" s="383">
        <v>42277</v>
      </c>
      <c r="M78" s="385">
        <v>37.5</v>
      </c>
    </row>
    <row r="79" spans="1:31" x14ac:dyDescent="0.25">
      <c r="A79" s="384"/>
      <c r="B79" s="402">
        <v>42205</v>
      </c>
      <c r="C79" s="384">
        <v>20</v>
      </c>
      <c r="D79" s="389">
        <v>63.15</v>
      </c>
      <c r="E79" s="385">
        <v>0</v>
      </c>
      <c r="F79" s="385">
        <f t="shared" si="6"/>
        <v>1263</v>
      </c>
      <c r="G79" s="383">
        <v>42250</v>
      </c>
      <c r="H79" s="388">
        <v>100</v>
      </c>
      <c r="I79" s="385">
        <v>59.4</v>
      </c>
      <c r="J79" s="385">
        <v>0.11</v>
      </c>
      <c r="K79" s="404">
        <f t="shared" si="7"/>
        <v>5939.89</v>
      </c>
      <c r="L79" s="383">
        <v>42734</v>
      </c>
      <c r="M79" s="385">
        <v>100</v>
      </c>
    </row>
    <row r="80" spans="1:31" x14ac:dyDescent="0.25">
      <c r="A80" s="384"/>
      <c r="B80" s="402">
        <v>42207</v>
      </c>
      <c r="C80" s="384">
        <v>10</v>
      </c>
      <c r="D80" s="389">
        <v>62</v>
      </c>
      <c r="E80" s="385">
        <v>0</v>
      </c>
      <c r="F80" s="385">
        <f t="shared" si="6"/>
        <v>620</v>
      </c>
      <c r="G80" s="383">
        <v>42258</v>
      </c>
      <c r="H80" s="388">
        <v>80</v>
      </c>
      <c r="I80" s="385">
        <v>56.47</v>
      </c>
      <c r="J80" s="385">
        <v>0.08</v>
      </c>
      <c r="K80" s="404">
        <f t="shared" si="7"/>
        <v>4517.5200000000004</v>
      </c>
      <c r="L80" s="383">
        <v>42459</v>
      </c>
      <c r="M80" s="385">
        <v>25</v>
      </c>
    </row>
    <row r="81" spans="1:13" x14ac:dyDescent="0.25">
      <c r="A81" s="384"/>
      <c r="B81" s="402">
        <v>42207</v>
      </c>
      <c r="C81" s="384">
        <v>5</v>
      </c>
      <c r="D81" s="389">
        <v>61.6</v>
      </c>
      <c r="E81" s="385">
        <v>0</v>
      </c>
      <c r="F81" s="385">
        <f t="shared" si="6"/>
        <v>308</v>
      </c>
      <c r="G81" s="383">
        <v>42263</v>
      </c>
      <c r="H81" s="388">
        <v>80</v>
      </c>
      <c r="I81" s="385">
        <v>52.55</v>
      </c>
      <c r="J81" s="385">
        <v>0.08</v>
      </c>
      <c r="K81" s="404">
        <f t="shared" si="7"/>
        <v>4203.92</v>
      </c>
      <c r="L81" s="384"/>
      <c r="M81" s="385"/>
    </row>
    <row r="82" spans="1:13" x14ac:dyDescent="0.25">
      <c r="A82" s="384"/>
      <c r="B82" s="402">
        <v>42207</v>
      </c>
      <c r="C82" s="384">
        <v>20</v>
      </c>
      <c r="D82" s="389">
        <v>59.85</v>
      </c>
      <c r="E82" s="385">
        <v>0</v>
      </c>
      <c r="F82" s="385">
        <f t="shared" si="6"/>
        <v>1197</v>
      </c>
      <c r="G82" s="383">
        <v>42284</v>
      </c>
      <c r="H82" s="388">
        <v>50</v>
      </c>
      <c r="I82" s="385">
        <v>52.85</v>
      </c>
      <c r="J82" s="385">
        <v>0.05</v>
      </c>
      <c r="K82" s="404">
        <f t="shared" si="7"/>
        <v>2642.45</v>
      </c>
      <c r="L82" s="384"/>
      <c r="M82" s="385"/>
    </row>
    <row r="83" spans="1:13" x14ac:dyDescent="0.25">
      <c r="A83" s="384"/>
      <c r="B83" s="402">
        <v>42208</v>
      </c>
      <c r="C83" s="384">
        <v>5</v>
      </c>
      <c r="D83" s="389">
        <v>61.3</v>
      </c>
      <c r="E83" s="385">
        <v>0</v>
      </c>
      <c r="F83" s="385">
        <f t="shared" si="6"/>
        <v>306.5</v>
      </c>
      <c r="G83" s="383">
        <v>42284</v>
      </c>
      <c r="H83" s="388">
        <v>30</v>
      </c>
      <c r="I83" s="385">
        <v>53.05</v>
      </c>
      <c r="J83" s="385">
        <v>0.03</v>
      </c>
      <c r="K83" s="404">
        <f t="shared" si="7"/>
        <v>1591.47</v>
      </c>
      <c r="L83" s="384"/>
      <c r="M83" s="385"/>
    </row>
    <row r="84" spans="1:13" x14ac:dyDescent="0.25">
      <c r="A84" s="384"/>
      <c r="B84" s="402">
        <v>42219</v>
      </c>
      <c r="C84" s="405">
        <v>25</v>
      </c>
      <c r="D84" s="389">
        <v>59.4</v>
      </c>
      <c r="E84" s="385">
        <v>0</v>
      </c>
      <c r="F84" s="385">
        <f t="shared" si="6"/>
        <v>1485</v>
      </c>
      <c r="G84" s="383">
        <v>42291</v>
      </c>
      <c r="H84" s="388">
        <v>80</v>
      </c>
      <c r="I84" s="385">
        <v>61.6</v>
      </c>
      <c r="J84" s="385">
        <v>0.09</v>
      </c>
      <c r="K84" s="404">
        <f t="shared" si="7"/>
        <v>4927.91</v>
      </c>
      <c r="L84" s="384"/>
      <c r="M84" s="385"/>
    </row>
    <row r="85" spans="1:13" x14ac:dyDescent="0.25">
      <c r="A85" s="384"/>
      <c r="B85" s="402">
        <v>42219</v>
      </c>
      <c r="C85" s="405">
        <v>50</v>
      </c>
      <c r="D85" s="389">
        <v>59.2</v>
      </c>
      <c r="E85" s="385">
        <v>0</v>
      </c>
      <c r="F85" s="385">
        <f t="shared" si="6"/>
        <v>2960</v>
      </c>
      <c r="G85" s="383">
        <v>42297</v>
      </c>
      <c r="H85" s="388">
        <v>115</v>
      </c>
      <c r="I85" s="385">
        <v>61.23</v>
      </c>
      <c r="J85" s="385">
        <v>0.13</v>
      </c>
      <c r="K85" s="404">
        <f t="shared" si="7"/>
        <v>7041.32</v>
      </c>
      <c r="L85" s="384"/>
      <c r="M85" s="385"/>
    </row>
    <row r="86" spans="1:13" x14ac:dyDescent="0.25">
      <c r="A86" s="384"/>
      <c r="B86" s="402">
        <v>42226</v>
      </c>
      <c r="C86" s="405">
        <v>5</v>
      </c>
      <c r="D86" s="389">
        <v>56.2</v>
      </c>
      <c r="E86" s="385">
        <v>0</v>
      </c>
      <c r="F86" s="385">
        <f t="shared" si="6"/>
        <v>281</v>
      </c>
      <c r="G86" s="383">
        <v>42304</v>
      </c>
      <c r="H86" s="388">
        <v>80</v>
      </c>
      <c r="I86" s="385">
        <v>59.76</v>
      </c>
      <c r="J86" s="385">
        <v>0.09</v>
      </c>
      <c r="K86" s="404">
        <f t="shared" si="7"/>
        <v>4780.71</v>
      </c>
      <c r="L86" s="384"/>
      <c r="M86" s="385"/>
    </row>
    <row r="87" spans="1:13" x14ac:dyDescent="0.25">
      <c r="A87" s="384"/>
      <c r="B87" s="402">
        <v>42226</v>
      </c>
      <c r="C87" s="384">
        <v>15</v>
      </c>
      <c r="D87" s="389">
        <v>56.5</v>
      </c>
      <c r="E87" s="385">
        <v>0</v>
      </c>
      <c r="F87" s="385">
        <f t="shared" si="6"/>
        <v>847.5</v>
      </c>
      <c r="G87" s="383">
        <v>42314</v>
      </c>
      <c r="H87" s="388">
        <v>10</v>
      </c>
      <c r="I87" s="385">
        <v>59.65</v>
      </c>
      <c r="J87" s="385">
        <v>0.01</v>
      </c>
      <c r="K87" s="404">
        <f t="shared" si="7"/>
        <v>596.49</v>
      </c>
      <c r="L87" s="384"/>
      <c r="M87" s="385"/>
    </row>
    <row r="88" spans="1:13" x14ac:dyDescent="0.25">
      <c r="A88" s="384"/>
      <c r="B88" s="402">
        <v>42240</v>
      </c>
      <c r="C88" s="405">
        <v>15</v>
      </c>
      <c r="D88" s="389">
        <v>57.19</v>
      </c>
      <c r="E88" s="385">
        <v>0</v>
      </c>
      <c r="F88" s="385">
        <f t="shared" si="6"/>
        <v>857.84999999999991</v>
      </c>
      <c r="G88" s="383">
        <v>42338</v>
      </c>
      <c r="H88" s="388">
        <v>75</v>
      </c>
      <c r="I88" s="385">
        <v>61.49</v>
      </c>
      <c r="J88" s="385">
        <v>0.08</v>
      </c>
      <c r="K88" s="385">
        <f t="shared" si="7"/>
        <v>4611.67</v>
      </c>
      <c r="L88" s="384"/>
      <c r="M88" s="385"/>
    </row>
    <row r="89" spans="1:13" x14ac:dyDescent="0.25">
      <c r="A89" s="384"/>
      <c r="B89" s="402">
        <v>42240</v>
      </c>
      <c r="C89" s="384">
        <v>20</v>
      </c>
      <c r="D89" s="389">
        <v>56.6</v>
      </c>
      <c r="E89" s="385">
        <v>0</v>
      </c>
      <c r="F89" s="385">
        <f t="shared" si="6"/>
        <v>1132</v>
      </c>
      <c r="G89" s="383">
        <v>42354</v>
      </c>
      <c r="H89" s="388">
        <v>100</v>
      </c>
      <c r="I89" s="385">
        <v>50.1</v>
      </c>
      <c r="J89" s="385">
        <v>0.09</v>
      </c>
      <c r="K89" s="385">
        <f t="shared" si="7"/>
        <v>5009.91</v>
      </c>
      <c r="L89" s="384"/>
      <c r="M89" s="385"/>
    </row>
    <row r="90" spans="1:13" x14ac:dyDescent="0.25">
      <c r="A90" s="384"/>
      <c r="B90" s="402">
        <v>42240</v>
      </c>
      <c r="C90" s="384">
        <v>30</v>
      </c>
      <c r="D90" s="389">
        <v>56.5</v>
      </c>
      <c r="E90" s="385">
        <v>0</v>
      </c>
      <c r="F90" s="385">
        <f t="shared" si="6"/>
        <v>1695</v>
      </c>
      <c r="G90" s="383">
        <v>42354</v>
      </c>
      <c r="H90" s="388">
        <v>200</v>
      </c>
      <c r="I90" s="385">
        <v>50.15</v>
      </c>
      <c r="J90" s="385">
        <v>0.18</v>
      </c>
      <c r="K90" s="385">
        <f t="shared" si="7"/>
        <v>10029.82</v>
      </c>
      <c r="L90" s="384"/>
      <c r="M90" s="385"/>
    </row>
    <row r="91" spans="1:13" ht="15" customHeight="1" x14ac:dyDescent="0.25">
      <c r="A91" s="384"/>
      <c r="B91" s="409">
        <v>42258</v>
      </c>
      <c r="C91" s="384">
        <v>80</v>
      </c>
      <c r="D91" s="389">
        <v>55.45</v>
      </c>
      <c r="E91" s="385">
        <v>0</v>
      </c>
      <c r="F91" s="385">
        <f t="shared" si="6"/>
        <v>4436</v>
      </c>
      <c r="G91" s="383">
        <v>42354</v>
      </c>
      <c r="H91" s="388">
        <v>100</v>
      </c>
      <c r="I91" s="385">
        <v>50.15</v>
      </c>
      <c r="J91" s="385">
        <v>0.09</v>
      </c>
      <c r="K91" s="385">
        <f t="shared" si="7"/>
        <v>5014.91</v>
      </c>
      <c r="L91" s="384"/>
      <c r="M91" s="385"/>
    </row>
    <row r="92" spans="1:13" x14ac:dyDescent="0.25">
      <c r="A92" s="384"/>
      <c r="B92" s="409"/>
      <c r="C92" s="384">
        <v>20</v>
      </c>
      <c r="D92" s="389">
        <v>55.45</v>
      </c>
      <c r="E92" s="385">
        <v>0</v>
      </c>
      <c r="F92" s="385">
        <f t="shared" si="6"/>
        <v>1109</v>
      </c>
      <c r="G92" s="383">
        <v>42367</v>
      </c>
      <c r="H92" s="388">
        <v>400</v>
      </c>
      <c r="I92" s="385">
        <v>49.86</v>
      </c>
      <c r="J92" s="385">
        <v>0.37</v>
      </c>
      <c r="K92" s="385">
        <f t="shared" si="7"/>
        <v>19943.63</v>
      </c>
      <c r="L92" s="384"/>
      <c r="M92" s="385"/>
    </row>
    <row r="93" spans="1:13" x14ac:dyDescent="0.25">
      <c r="A93" s="384"/>
      <c r="B93" s="410">
        <v>42263</v>
      </c>
      <c r="C93" s="384">
        <v>50</v>
      </c>
      <c r="D93" s="389">
        <v>52.7</v>
      </c>
      <c r="E93" s="385">
        <v>0</v>
      </c>
      <c r="F93" s="385">
        <f t="shared" si="6"/>
        <v>2635</v>
      </c>
      <c r="G93" s="383">
        <v>42375</v>
      </c>
      <c r="H93" s="388">
        <v>100</v>
      </c>
      <c r="I93" s="385">
        <v>47.56</v>
      </c>
      <c r="J93" s="385">
        <v>0.09</v>
      </c>
      <c r="K93" s="385">
        <f t="shared" si="7"/>
        <v>4755.91</v>
      </c>
      <c r="L93" s="384"/>
      <c r="M93" s="384"/>
    </row>
    <row r="94" spans="1:13" x14ac:dyDescent="0.25">
      <c r="A94" s="384"/>
      <c r="B94" s="410"/>
      <c r="C94" s="384">
        <v>30</v>
      </c>
      <c r="D94" s="389">
        <v>52.7</v>
      </c>
      <c r="E94" s="385">
        <v>0</v>
      </c>
      <c r="F94" s="385">
        <f t="shared" si="6"/>
        <v>1581</v>
      </c>
      <c r="G94" s="383">
        <v>42398</v>
      </c>
      <c r="H94" s="388">
        <v>150</v>
      </c>
      <c r="I94" s="385">
        <v>40.880000000000003</v>
      </c>
      <c r="J94" s="385">
        <v>0.11</v>
      </c>
      <c r="K94" s="385">
        <f t="shared" si="7"/>
        <v>6131.89</v>
      </c>
      <c r="L94" s="384"/>
      <c r="M94" s="384"/>
    </row>
    <row r="95" spans="1:13" x14ac:dyDescent="0.25">
      <c r="A95" s="384"/>
      <c r="B95" s="402">
        <v>42263</v>
      </c>
      <c r="C95" s="384">
        <v>50</v>
      </c>
      <c r="D95" s="389">
        <v>52.05</v>
      </c>
      <c r="E95" s="385">
        <v>0</v>
      </c>
      <c r="F95" s="385">
        <f t="shared" si="6"/>
        <v>2602.5</v>
      </c>
      <c r="G95" s="383">
        <v>42405</v>
      </c>
      <c r="H95" s="388">
        <v>100</v>
      </c>
      <c r="I95" s="385">
        <v>38.445</v>
      </c>
      <c r="J95" s="385">
        <v>7.0000000000000007E-2</v>
      </c>
      <c r="K95" s="385">
        <f t="shared" si="7"/>
        <v>3844.43</v>
      </c>
      <c r="L95" s="384"/>
      <c r="M95" s="384"/>
    </row>
    <row r="96" spans="1:13" x14ac:dyDescent="0.25">
      <c r="A96" s="384"/>
      <c r="B96" s="410">
        <v>42270</v>
      </c>
      <c r="C96" s="384">
        <v>30</v>
      </c>
      <c r="D96" s="389">
        <v>52.5</v>
      </c>
      <c r="E96" s="385">
        <v>0</v>
      </c>
      <c r="F96" s="385">
        <f t="shared" si="6"/>
        <v>1575</v>
      </c>
      <c r="G96" s="383">
        <v>42426</v>
      </c>
      <c r="H96" s="388">
        <v>150</v>
      </c>
      <c r="I96" s="385">
        <v>43.25</v>
      </c>
      <c r="J96" s="385">
        <v>0.14000000000000001</v>
      </c>
      <c r="K96" s="385">
        <f t="shared" si="7"/>
        <v>6487.36</v>
      </c>
      <c r="L96" s="384"/>
      <c r="M96" s="384"/>
    </row>
    <row r="97" spans="1:13" x14ac:dyDescent="0.25">
      <c r="A97" s="384"/>
      <c r="B97" s="410"/>
      <c r="C97" s="384">
        <v>20</v>
      </c>
      <c r="D97" s="389">
        <v>52.5</v>
      </c>
      <c r="E97" s="385">
        <v>0</v>
      </c>
      <c r="F97" s="385">
        <f t="shared" si="6"/>
        <v>1050</v>
      </c>
      <c r="G97" s="383">
        <v>42426</v>
      </c>
      <c r="H97" s="388">
        <v>150</v>
      </c>
      <c r="I97" s="385">
        <v>43.4</v>
      </c>
      <c r="J97" s="385">
        <v>0.14000000000000001</v>
      </c>
      <c r="K97" s="385">
        <f t="shared" si="7"/>
        <v>6509.86</v>
      </c>
      <c r="L97" s="384"/>
      <c r="M97" s="384"/>
    </row>
    <row r="98" spans="1:13" x14ac:dyDescent="0.25">
      <c r="A98" s="384"/>
      <c r="B98" s="402">
        <v>42292</v>
      </c>
      <c r="C98" s="384">
        <v>80</v>
      </c>
      <c r="D98" s="389">
        <v>61.25</v>
      </c>
      <c r="E98" s="385">
        <v>0</v>
      </c>
      <c r="F98" s="385">
        <f t="shared" si="6"/>
        <v>4900</v>
      </c>
      <c r="G98" s="383">
        <v>42431</v>
      </c>
      <c r="H98" s="388">
        <v>150</v>
      </c>
      <c r="I98" s="385">
        <v>45.95</v>
      </c>
      <c r="J98" s="385">
        <v>0.15</v>
      </c>
      <c r="K98" s="385">
        <f t="shared" si="7"/>
        <v>6892.35</v>
      </c>
      <c r="L98" s="384"/>
      <c r="M98" s="384"/>
    </row>
    <row r="99" spans="1:13" x14ac:dyDescent="0.25">
      <c r="A99" s="384"/>
      <c r="B99" s="402">
        <v>42292</v>
      </c>
      <c r="C99" s="384">
        <v>80</v>
      </c>
      <c r="D99" s="389">
        <v>59.75</v>
      </c>
      <c r="E99" s="385">
        <v>0</v>
      </c>
      <c r="F99" s="385">
        <f t="shared" si="6"/>
        <v>4780</v>
      </c>
      <c r="G99" s="383">
        <v>42431</v>
      </c>
      <c r="H99" s="388">
        <v>150</v>
      </c>
      <c r="I99" s="385">
        <v>45.5</v>
      </c>
      <c r="J99" s="385">
        <v>0.15</v>
      </c>
      <c r="K99" s="385">
        <f t="shared" si="7"/>
        <v>6824.85</v>
      </c>
      <c r="L99" s="384"/>
      <c r="M99" s="384"/>
    </row>
    <row r="100" spans="1:13" x14ac:dyDescent="0.25">
      <c r="A100" s="384"/>
      <c r="B100" s="402">
        <v>42310</v>
      </c>
      <c r="C100" s="384">
        <v>80</v>
      </c>
      <c r="D100" s="389">
        <v>55.225000000000001</v>
      </c>
      <c r="E100" s="385">
        <v>6.95</v>
      </c>
      <c r="F100" s="385">
        <f t="shared" si="6"/>
        <v>4424.95</v>
      </c>
      <c r="G100" s="383">
        <v>42431</v>
      </c>
      <c r="H100" s="388">
        <v>150</v>
      </c>
      <c r="I100" s="385">
        <v>46.4</v>
      </c>
      <c r="J100" s="385">
        <v>0.15</v>
      </c>
      <c r="K100" s="385">
        <f t="shared" si="7"/>
        <v>6959.85</v>
      </c>
      <c r="L100" s="384"/>
      <c r="M100" s="384"/>
    </row>
    <row r="101" spans="1:13" x14ac:dyDescent="0.25">
      <c r="A101" s="384"/>
      <c r="B101" s="402">
        <v>42310</v>
      </c>
      <c r="C101" s="384">
        <v>40</v>
      </c>
      <c r="D101" s="389">
        <v>53.01</v>
      </c>
      <c r="E101" s="385">
        <v>6.95</v>
      </c>
      <c r="F101" s="385">
        <f t="shared" si="6"/>
        <v>2127.35</v>
      </c>
      <c r="G101" s="383">
        <v>42431</v>
      </c>
      <c r="H101" s="388">
        <v>150</v>
      </c>
      <c r="I101" s="385">
        <v>46.72</v>
      </c>
      <c r="J101" s="385">
        <v>0.15</v>
      </c>
      <c r="K101" s="385">
        <f t="shared" si="7"/>
        <v>7007.85</v>
      </c>
      <c r="L101" s="384"/>
      <c r="M101" s="384"/>
    </row>
    <row r="102" spans="1:13" x14ac:dyDescent="0.25">
      <c r="A102" s="384"/>
      <c r="B102" s="402">
        <v>42340</v>
      </c>
      <c r="C102" s="384">
        <v>40</v>
      </c>
      <c r="D102" s="389">
        <v>58.6</v>
      </c>
      <c r="E102" s="385">
        <v>0</v>
      </c>
      <c r="F102" s="385">
        <f t="shared" si="6"/>
        <v>2344</v>
      </c>
      <c r="G102" s="383">
        <v>42433</v>
      </c>
      <c r="H102" s="388">
        <v>50</v>
      </c>
      <c r="I102" s="385">
        <v>50.35</v>
      </c>
      <c r="J102" s="385">
        <v>0.05</v>
      </c>
      <c r="K102" s="385">
        <f t="shared" si="7"/>
        <v>2517.4499999999998</v>
      </c>
      <c r="L102" s="384"/>
      <c r="M102" s="384"/>
    </row>
    <row r="103" spans="1:13" ht="45" x14ac:dyDescent="0.25">
      <c r="A103" s="384"/>
      <c r="B103" s="411" t="s">
        <v>176</v>
      </c>
      <c r="C103" s="384">
        <v>45</v>
      </c>
      <c r="D103" s="389">
        <v>50.45</v>
      </c>
      <c r="E103" s="385">
        <v>0</v>
      </c>
      <c r="F103" s="385">
        <f t="shared" si="6"/>
        <v>2270.25</v>
      </c>
      <c r="G103" s="383">
        <v>42440</v>
      </c>
      <c r="H103" s="388">
        <v>250</v>
      </c>
      <c r="I103" s="385">
        <v>50.24</v>
      </c>
      <c r="J103" s="385">
        <v>0.27</v>
      </c>
      <c r="K103" s="385">
        <f t="shared" si="7"/>
        <v>12559.73</v>
      </c>
      <c r="L103" s="384"/>
      <c r="M103" s="384"/>
    </row>
    <row r="104" spans="1:13" x14ac:dyDescent="0.25">
      <c r="A104" s="384"/>
      <c r="B104" s="411"/>
      <c r="C104" s="384">
        <v>75</v>
      </c>
      <c r="D104" s="389">
        <v>50.42</v>
      </c>
      <c r="E104" s="385">
        <v>0</v>
      </c>
      <c r="F104" s="385">
        <f t="shared" si="6"/>
        <v>3781.5</v>
      </c>
      <c r="G104" s="383">
        <v>42440</v>
      </c>
      <c r="H104" s="388">
        <v>50</v>
      </c>
      <c r="I104" s="385">
        <v>50.73</v>
      </c>
      <c r="J104" s="385">
        <v>0.05</v>
      </c>
      <c r="K104" s="385">
        <f t="shared" si="7"/>
        <v>2536.4499999999998</v>
      </c>
      <c r="L104" s="384"/>
      <c r="M104" s="384"/>
    </row>
    <row r="105" spans="1:13" x14ac:dyDescent="0.25">
      <c r="A105" s="384"/>
      <c r="B105" s="411"/>
      <c r="C105" s="384">
        <v>100</v>
      </c>
      <c r="D105" s="389">
        <v>50.33</v>
      </c>
      <c r="E105" s="385">
        <v>0</v>
      </c>
      <c r="F105" s="385">
        <f t="shared" si="6"/>
        <v>5033</v>
      </c>
      <c r="G105" s="383">
        <v>42440</v>
      </c>
      <c r="H105" s="388">
        <v>50</v>
      </c>
      <c r="I105" s="385">
        <v>51.08</v>
      </c>
      <c r="J105" s="385">
        <v>0.06</v>
      </c>
      <c r="K105" s="385">
        <f t="shared" si="7"/>
        <v>2553.94</v>
      </c>
      <c r="L105" s="384"/>
      <c r="M105" s="384"/>
    </row>
    <row r="106" spans="1:13" x14ac:dyDescent="0.25">
      <c r="A106" s="384"/>
      <c r="B106" s="411"/>
      <c r="C106" s="384">
        <v>100</v>
      </c>
      <c r="D106" s="389">
        <v>50.25</v>
      </c>
      <c r="E106" s="385">
        <v>0</v>
      </c>
      <c r="F106" s="385">
        <f t="shared" si="6"/>
        <v>5025</v>
      </c>
      <c r="G106" s="383">
        <v>42445</v>
      </c>
      <c r="H106" s="388">
        <v>20</v>
      </c>
      <c r="I106" s="385">
        <v>51.59</v>
      </c>
      <c r="J106" s="385">
        <v>0.02</v>
      </c>
      <c r="K106" s="385">
        <f t="shared" si="7"/>
        <v>1031.7800000000002</v>
      </c>
      <c r="L106" s="384"/>
      <c r="M106" s="384"/>
    </row>
    <row r="107" spans="1:13" x14ac:dyDescent="0.25">
      <c r="A107" s="384"/>
      <c r="B107" s="411"/>
      <c r="C107" s="384">
        <v>100</v>
      </c>
      <c r="D107" s="389">
        <v>50.05</v>
      </c>
      <c r="E107" s="385">
        <v>0</v>
      </c>
      <c r="F107" s="385">
        <f t="shared" si="6"/>
        <v>5005</v>
      </c>
      <c r="G107" s="383">
        <v>42446</v>
      </c>
      <c r="H107" s="388">
        <v>80</v>
      </c>
      <c r="I107" s="385">
        <v>53.45</v>
      </c>
      <c r="J107" s="385">
        <v>0.09</v>
      </c>
      <c r="K107" s="385">
        <f t="shared" si="7"/>
        <v>4275.91</v>
      </c>
      <c r="L107" s="384"/>
      <c r="M107" s="384"/>
    </row>
    <row r="108" spans="1:13" x14ac:dyDescent="0.25">
      <c r="A108" s="384"/>
      <c r="B108" s="411"/>
      <c r="C108" s="384">
        <v>100</v>
      </c>
      <c r="D108" s="389">
        <v>49.99</v>
      </c>
      <c r="E108" s="385">
        <v>0</v>
      </c>
      <c r="F108" s="385">
        <f t="shared" si="6"/>
        <v>4999</v>
      </c>
      <c r="G108" s="383">
        <v>42460</v>
      </c>
      <c r="H108" s="388">
        <v>50</v>
      </c>
      <c r="I108" s="385">
        <v>52.74</v>
      </c>
      <c r="J108" s="385">
        <v>0.06</v>
      </c>
      <c r="K108" s="385">
        <f t="shared" si="7"/>
        <v>2636.94</v>
      </c>
      <c r="L108" s="384"/>
      <c r="M108" s="384"/>
    </row>
    <row r="109" spans="1:13" x14ac:dyDescent="0.25">
      <c r="A109" s="384"/>
      <c r="B109" s="411"/>
      <c r="C109" s="384">
        <v>200</v>
      </c>
      <c r="D109" s="389">
        <v>49.69</v>
      </c>
      <c r="E109" s="385">
        <v>0</v>
      </c>
      <c r="F109" s="385">
        <f t="shared" si="6"/>
        <v>9938</v>
      </c>
      <c r="G109" s="383">
        <v>42466</v>
      </c>
      <c r="H109" s="388">
        <v>50</v>
      </c>
      <c r="I109" s="385">
        <v>53.25</v>
      </c>
      <c r="J109" s="385">
        <v>0.06</v>
      </c>
      <c r="K109" s="385">
        <f t="shared" si="7"/>
        <v>2662.44</v>
      </c>
      <c r="L109" s="384"/>
      <c r="M109" s="384"/>
    </row>
    <row r="110" spans="1:13" x14ac:dyDescent="0.25">
      <c r="A110" s="384"/>
      <c r="B110" s="402">
        <v>42362</v>
      </c>
      <c r="C110" s="384">
        <v>300</v>
      </c>
      <c r="D110" s="389">
        <v>48.18</v>
      </c>
      <c r="E110" s="385">
        <v>0</v>
      </c>
      <c r="F110" s="385">
        <f t="shared" si="6"/>
        <v>14454</v>
      </c>
      <c r="G110" s="383">
        <v>42472</v>
      </c>
      <c r="H110" s="388">
        <v>20</v>
      </c>
      <c r="I110" s="385">
        <v>57.11</v>
      </c>
      <c r="J110" s="385">
        <v>-0.03</v>
      </c>
      <c r="K110" s="385">
        <f t="shared" si="7"/>
        <v>1142.23</v>
      </c>
      <c r="L110" s="384"/>
      <c r="M110" s="384"/>
    </row>
    <row r="111" spans="1:13" x14ac:dyDescent="0.25">
      <c r="A111" s="384"/>
      <c r="B111" s="402">
        <v>42362</v>
      </c>
      <c r="C111" s="384">
        <v>300</v>
      </c>
      <c r="D111" s="389">
        <v>47.73</v>
      </c>
      <c r="E111" s="385">
        <v>-0.03</v>
      </c>
      <c r="F111" s="385">
        <f t="shared" si="6"/>
        <v>14318.969999999998</v>
      </c>
      <c r="G111" s="383">
        <v>42478</v>
      </c>
      <c r="H111" s="388">
        <v>20</v>
      </c>
      <c r="I111" s="385">
        <v>58.75</v>
      </c>
      <c r="J111" s="385">
        <v>0.03</v>
      </c>
      <c r="K111" s="385">
        <f t="shared" si="7"/>
        <v>1174.97</v>
      </c>
      <c r="L111" s="384"/>
      <c r="M111" s="384"/>
    </row>
    <row r="112" spans="1:13" x14ac:dyDescent="0.25">
      <c r="A112" s="384"/>
      <c r="B112" s="402">
        <v>42374</v>
      </c>
      <c r="C112" s="384">
        <v>100</v>
      </c>
      <c r="D112" s="389">
        <v>47.13</v>
      </c>
      <c r="E112" s="385">
        <v>0</v>
      </c>
      <c r="F112" s="385">
        <f t="shared" si="6"/>
        <v>4713</v>
      </c>
      <c r="G112" s="383">
        <v>42501</v>
      </c>
      <c r="H112" s="388">
        <v>30</v>
      </c>
      <c r="I112" s="385">
        <v>58.45</v>
      </c>
      <c r="J112" s="385">
        <v>0.04</v>
      </c>
      <c r="K112" s="385">
        <f t="shared" si="7"/>
        <v>1753.46</v>
      </c>
      <c r="L112" s="384"/>
      <c r="M112" s="384"/>
    </row>
    <row r="113" spans="1:13" x14ac:dyDescent="0.25">
      <c r="A113" s="384"/>
      <c r="B113" s="402">
        <v>42375</v>
      </c>
      <c r="C113" s="384">
        <v>100</v>
      </c>
      <c r="D113" s="389">
        <v>46.02</v>
      </c>
      <c r="E113" s="385">
        <v>0</v>
      </c>
      <c r="F113" s="385">
        <f t="shared" si="6"/>
        <v>4602</v>
      </c>
      <c r="G113" s="384"/>
      <c r="H113" s="388"/>
      <c r="I113" s="385"/>
      <c r="J113" s="385"/>
      <c r="K113" s="385"/>
      <c r="L113" s="384"/>
      <c r="M113" s="384"/>
    </row>
    <row r="114" spans="1:13" x14ac:dyDescent="0.25">
      <c r="A114" s="384"/>
      <c r="B114" s="410">
        <v>42375</v>
      </c>
      <c r="C114" s="384">
        <v>30</v>
      </c>
      <c r="D114" s="389">
        <v>45.1</v>
      </c>
      <c r="E114" s="385">
        <v>0</v>
      </c>
      <c r="F114" s="385">
        <f t="shared" si="6"/>
        <v>1353</v>
      </c>
      <c r="G114" s="384"/>
      <c r="H114" s="388"/>
      <c r="I114" s="385"/>
      <c r="J114" s="385"/>
      <c r="K114" s="385"/>
      <c r="L114" s="384"/>
      <c r="M114" s="384"/>
    </row>
    <row r="115" spans="1:13" x14ac:dyDescent="0.25">
      <c r="A115" s="384"/>
      <c r="B115" s="410"/>
      <c r="C115" s="384">
        <v>20</v>
      </c>
      <c r="D115" s="389">
        <v>45.1</v>
      </c>
      <c r="E115" s="385">
        <v>0</v>
      </c>
      <c r="F115" s="385">
        <f t="shared" si="6"/>
        <v>902</v>
      </c>
      <c r="G115" s="384"/>
      <c r="H115" s="388"/>
      <c r="I115" s="385"/>
      <c r="J115" s="385"/>
      <c r="K115" s="385"/>
      <c r="L115" s="384"/>
      <c r="M115" s="384"/>
    </row>
    <row r="116" spans="1:13" x14ac:dyDescent="0.25">
      <c r="A116" s="384"/>
      <c r="B116" s="402">
        <v>42402</v>
      </c>
      <c r="C116" s="384">
        <v>150</v>
      </c>
      <c r="D116" s="389">
        <v>39.450000000000003</v>
      </c>
      <c r="E116" s="385">
        <v>0</v>
      </c>
      <c r="F116" s="385">
        <f t="shared" si="6"/>
        <v>5917.5</v>
      </c>
      <c r="G116" s="384"/>
      <c r="H116" s="388"/>
      <c r="I116" s="385"/>
      <c r="J116" s="385"/>
      <c r="K116" s="385"/>
      <c r="L116" s="384"/>
      <c r="M116" s="384"/>
    </row>
    <row r="117" spans="1:13" x14ac:dyDescent="0.25">
      <c r="A117" s="384"/>
      <c r="B117" s="402">
        <v>42405</v>
      </c>
      <c r="C117" s="384">
        <v>100</v>
      </c>
      <c r="D117" s="389">
        <v>38.385100000000001</v>
      </c>
      <c r="E117" s="385">
        <v>0</v>
      </c>
      <c r="F117" s="385">
        <f t="shared" si="6"/>
        <v>3838.51</v>
      </c>
      <c r="G117" s="384"/>
      <c r="H117" s="388"/>
      <c r="I117" s="385"/>
      <c r="J117" s="385"/>
      <c r="K117" s="385"/>
      <c r="L117" s="384"/>
      <c r="M117" s="384"/>
    </row>
    <row r="118" spans="1:13" x14ac:dyDescent="0.25">
      <c r="A118" s="384"/>
      <c r="B118" s="402">
        <v>42426</v>
      </c>
      <c r="C118" s="384">
        <v>150</v>
      </c>
      <c r="D118" s="389">
        <v>43.09</v>
      </c>
      <c r="E118" s="385">
        <v>0</v>
      </c>
      <c r="F118" s="385">
        <f t="shared" si="6"/>
        <v>6463.5000000000009</v>
      </c>
      <c r="G118" s="384"/>
      <c r="H118" s="388"/>
      <c r="I118" s="385"/>
      <c r="J118" s="385"/>
      <c r="K118" s="385"/>
      <c r="L118" s="384"/>
      <c r="M118" s="384"/>
    </row>
    <row r="119" spans="1:13" x14ac:dyDescent="0.25">
      <c r="A119" s="384"/>
      <c r="B119" s="402">
        <v>42426</v>
      </c>
      <c r="C119" s="384">
        <v>150</v>
      </c>
      <c r="D119" s="389">
        <v>42.89</v>
      </c>
      <c r="E119" s="385">
        <v>0</v>
      </c>
      <c r="F119" s="385">
        <f t="shared" si="6"/>
        <v>6433.5</v>
      </c>
      <c r="G119" s="384"/>
      <c r="H119" s="388"/>
      <c r="I119" s="385"/>
      <c r="J119" s="385"/>
      <c r="K119" s="385"/>
      <c r="L119" s="384"/>
      <c r="M119" s="384"/>
    </row>
    <row r="120" spans="1:13" x14ac:dyDescent="0.25">
      <c r="A120" s="384"/>
      <c r="B120" s="402">
        <v>42431</v>
      </c>
      <c r="C120" s="384">
        <v>150</v>
      </c>
      <c r="D120" s="389">
        <v>45.49</v>
      </c>
      <c r="E120" s="385">
        <v>0</v>
      </c>
      <c r="F120" s="385">
        <f t="shared" si="6"/>
        <v>6823.5</v>
      </c>
      <c r="G120" s="384"/>
      <c r="H120" s="388"/>
      <c r="I120" s="385"/>
      <c r="J120" s="385"/>
      <c r="K120" s="385"/>
      <c r="L120" s="384"/>
      <c r="M120" s="384"/>
    </row>
    <row r="121" spans="1:13" x14ac:dyDescent="0.25">
      <c r="A121" s="384"/>
      <c r="B121" s="402">
        <v>42431</v>
      </c>
      <c r="C121" s="384">
        <v>150</v>
      </c>
      <c r="D121" s="389">
        <v>45.07</v>
      </c>
      <c r="E121" s="385">
        <v>0</v>
      </c>
      <c r="F121" s="385">
        <f t="shared" si="6"/>
        <v>6760.5</v>
      </c>
      <c r="G121" s="384"/>
      <c r="H121" s="388"/>
      <c r="I121" s="385"/>
      <c r="J121" s="385"/>
      <c r="K121" s="385"/>
      <c r="L121" s="384"/>
      <c r="M121" s="384"/>
    </row>
    <row r="122" spans="1:13" x14ac:dyDescent="0.25">
      <c r="A122" s="384"/>
      <c r="B122" s="402">
        <v>42433</v>
      </c>
      <c r="C122" s="384">
        <v>50</v>
      </c>
      <c r="D122" s="389">
        <v>49.45</v>
      </c>
      <c r="E122" s="385">
        <v>0</v>
      </c>
      <c r="F122" s="385">
        <f t="shared" si="6"/>
        <v>2472.5</v>
      </c>
      <c r="G122" s="384"/>
      <c r="H122" s="388"/>
      <c r="I122" s="385"/>
      <c r="J122" s="385"/>
      <c r="K122" s="385"/>
      <c r="L122" s="384"/>
      <c r="M122" s="384"/>
    </row>
    <row r="123" spans="1:13" x14ac:dyDescent="0.25">
      <c r="A123" s="384"/>
      <c r="B123" s="402">
        <v>42444</v>
      </c>
      <c r="C123" s="384">
        <v>50</v>
      </c>
      <c r="D123" s="389">
        <v>48.21</v>
      </c>
      <c r="E123" s="385">
        <v>0</v>
      </c>
      <c r="F123" s="385">
        <f t="shared" si="6"/>
        <v>2410.5</v>
      </c>
      <c r="G123" s="384"/>
      <c r="H123" s="388"/>
      <c r="I123" s="385"/>
      <c r="J123" s="385"/>
      <c r="K123" s="385"/>
      <c r="L123" s="384"/>
      <c r="M123" s="384"/>
    </row>
    <row r="124" spans="1:13" x14ac:dyDescent="0.25">
      <c r="A124" s="384"/>
      <c r="B124" s="402">
        <v>42452</v>
      </c>
      <c r="C124" s="384">
        <v>50</v>
      </c>
      <c r="D124" s="389">
        <v>51.6</v>
      </c>
      <c r="E124" s="385">
        <v>0</v>
      </c>
      <c r="F124" s="385">
        <f t="shared" si="6"/>
        <v>2580</v>
      </c>
      <c r="G124" s="384"/>
      <c r="H124" s="388"/>
      <c r="I124" s="385"/>
      <c r="J124" s="385"/>
      <c r="K124" s="385"/>
      <c r="L124" s="384"/>
      <c r="M124" s="384"/>
    </row>
    <row r="125" spans="1:13" x14ac:dyDescent="0.25">
      <c r="A125" s="384"/>
      <c r="B125" s="402">
        <v>42464</v>
      </c>
      <c r="C125" s="384">
        <v>50</v>
      </c>
      <c r="D125" s="389">
        <v>50.62</v>
      </c>
      <c r="E125" s="385">
        <v>0</v>
      </c>
      <c r="F125" s="385">
        <f t="shared" si="6"/>
        <v>2531</v>
      </c>
      <c r="G125" s="384"/>
      <c r="H125" s="388"/>
      <c r="I125" s="385"/>
      <c r="J125" s="385"/>
      <c r="K125" s="385"/>
      <c r="L125" s="384"/>
      <c r="M125" s="384"/>
    </row>
    <row r="126" spans="1:13" x14ac:dyDescent="0.25">
      <c r="A126" s="384"/>
      <c r="B126" s="402">
        <v>42493</v>
      </c>
      <c r="C126" s="384">
        <v>20</v>
      </c>
      <c r="D126" s="389">
        <v>56.5</v>
      </c>
      <c r="E126" s="385">
        <v>0</v>
      </c>
      <c r="F126" s="385">
        <f t="shared" si="6"/>
        <v>1130</v>
      </c>
      <c r="G126" s="384"/>
      <c r="H126" s="388"/>
      <c r="I126" s="385"/>
      <c r="J126" s="385"/>
      <c r="K126" s="385"/>
      <c r="L126" s="384"/>
      <c r="M126" s="384"/>
    </row>
    <row r="127" spans="1:13" x14ac:dyDescent="0.25">
      <c r="A127" s="384"/>
      <c r="B127" s="406"/>
      <c r="C127" s="384"/>
      <c r="D127" s="389"/>
      <c r="E127" s="385"/>
      <c r="F127" s="385"/>
      <c r="G127" s="384"/>
      <c r="H127" s="388"/>
      <c r="I127" s="385"/>
      <c r="J127" s="385"/>
      <c r="K127" s="385"/>
      <c r="L127" s="384"/>
      <c r="M127" s="384"/>
    </row>
    <row r="128" spans="1:13" x14ac:dyDescent="0.25">
      <c r="A128" s="22" t="s">
        <v>81</v>
      </c>
      <c r="B128" s="407"/>
      <c r="C128" s="12">
        <f>SUM(C77:C127)</f>
        <v>3500</v>
      </c>
      <c r="D128" s="408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4"/>
      <c r="B129" s="406"/>
      <c r="C129" s="384"/>
      <c r="D129" s="389"/>
      <c r="E129" s="385"/>
      <c r="F129" s="385"/>
      <c r="G129" s="384"/>
      <c r="H129" s="388"/>
      <c r="I129" s="385"/>
      <c r="J129" s="385"/>
      <c r="K129" s="385"/>
      <c r="L129" s="384"/>
      <c r="M129" s="384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60" priority="17">
      <formula>F38&gt;0</formula>
    </cfRule>
    <cfRule type="expression" dxfId="459" priority="18">
      <formula>F38&lt;0</formula>
    </cfRule>
  </conditionalFormatting>
  <conditionalFormatting sqref="H38:H72">
    <cfRule type="expression" dxfId="458" priority="9">
      <formula>H38&gt;0</formula>
    </cfRule>
    <cfRule type="expression" dxfId="457" priority="10">
      <formula>H38&lt;0</formula>
    </cfRule>
  </conditionalFormatting>
  <conditionalFormatting sqref="F21:F37">
    <cfRule type="expression" dxfId="456" priority="7">
      <formula>F21&gt;0</formula>
    </cfRule>
    <cfRule type="expression" dxfId="455" priority="8">
      <formula>F21&lt;0</formula>
    </cfRule>
  </conditionalFormatting>
  <conditionalFormatting sqref="H21:H37">
    <cfRule type="expression" dxfId="454" priority="5">
      <formula>H21&gt;0</formula>
    </cfRule>
    <cfRule type="expression" dxfId="453" priority="6">
      <formula>H21&lt;0</formula>
    </cfRule>
  </conditionalFormatting>
  <conditionalFormatting sqref="Q8">
    <cfRule type="expression" dxfId="452" priority="1">
      <formula>Q8&gt;0</formula>
    </cfRule>
    <cfRule type="expression" dxfId="451" priority="2">
      <formula>Q8&lt;0</formula>
    </cfRule>
  </conditionalFormatting>
  <conditionalFormatting sqref="Q7">
    <cfRule type="expression" dxfId="450" priority="3">
      <formula>Q7&gt;0</formula>
    </cfRule>
    <cfRule type="expression" dxfId="449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42615</v>
      </c>
      <c r="X2" s="10">
        <v>95.61</v>
      </c>
      <c r="Y2" s="10">
        <v>95.95</v>
      </c>
      <c r="Z2" s="10">
        <v>94.87</v>
      </c>
      <c r="AA2" s="10">
        <v>95.28</v>
      </c>
      <c r="AB2" s="95">
        <v>2091600</v>
      </c>
      <c r="AC2" s="10">
        <v>95.28</v>
      </c>
      <c r="AD2" s="2">
        <f>Y2-Z2</f>
        <v>1.0799999999999983</v>
      </c>
      <c r="AE2" s="138">
        <f>AC2/AC3-1</f>
        <v>-1.0494280617068252E-4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95.97</v>
      </c>
      <c r="W3" s="133">
        <v>42614</v>
      </c>
      <c r="X3" s="10">
        <v>95.64</v>
      </c>
      <c r="Y3" s="10">
        <v>95.98</v>
      </c>
      <c r="Z3" s="10">
        <v>94.68</v>
      </c>
      <c r="AA3" s="10">
        <v>95.29</v>
      </c>
      <c r="AB3" s="95">
        <v>2068100</v>
      </c>
      <c r="AC3" s="10">
        <v>95.29</v>
      </c>
      <c r="AD3" s="2">
        <f t="shared" ref="AD3:AD66" si="0">Y3-Z3</f>
        <v>1.2999999999999972</v>
      </c>
      <c r="AE3" s="138">
        <f t="shared" ref="AE3:AE66" si="1">AC3/AC4-1</f>
        <v>-2.5122998011095632E-3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95.97</v>
      </c>
      <c r="W4" s="133">
        <v>42613</v>
      </c>
      <c r="X4" s="10">
        <v>95.33</v>
      </c>
      <c r="Y4" s="10">
        <v>95.88</v>
      </c>
      <c r="Z4" s="10">
        <v>94.65</v>
      </c>
      <c r="AA4" s="10">
        <v>95.53</v>
      </c>
      <c r="AB4" s="95">
        <v>2864100</v>
      </c>
      <c r="AC4" s="10">
        <v>95.53</v>
      </c>
      <c r="AD4" s="2">
        <f t="shared" si="0"/>
        <v>1.2299999999999898</v>
      </c>
      <c r="AE4" s="138">
        <f t="shared" si="1"/>
        <v>-3.3385498174229866E-3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42612</v>
      </c>
      <c r="X5" s="10">
        <v>96</v>
      </c>
      <c r="Y5" s="10">
        <v>96.28</v>
      </c>
      <c r="Z5" s="10">
        <v>95.48</v>
      </c>
      <c r="AA5" s="10">
        <v>95.85</v>
      </c>
      <c r="AB5" s="95">
        <v>2426700</v>
      </c>
      <c r="AC5" s="10">
        <v>95.85</v>
      </c>
      <c r="AD5" s="2">
        <f t="shared" si="0"/>
        <v>0.79999999999999716</v>
      </c>
      <c r="AE5" s="138">
        <f t="shared" si="1"/>
        <v>-2.1861336664585895E-3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42611</v>
      </c>
      <c r="X6" s="10">
        <v>94.86</v>
      </c>
      <c r="Y6" s="10">
        <v>96.18</v>
      </c>
      <c r="Z6" s="10">
        <v>94.41</v>
      </c>
      <c r="AA6" s="10">
        <v>96.06</v>
      </c>
      <c r="AB6" s="95">
        <v>2746200</v>
      </c>
      <c r="AC6" s="10">
        <v>96.06</v>
      </c>
      <c r="AD6" s="2">
        <f t="shared" si="0"/>
        <v>1.7700000000000102</v>
      </c>
      <c r="AE6" s="138" t="e">
        <f t="shared" si="1"/>
        <v>#DIV/0!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187</v>
      </c>
      <c r="Q7" s="2">
        <f>Q10+Q8</f>
        <v>128.08999999999833</v>
      </c>
      <c r="R7">
        <v>0</v>
      </c>
      <c r="W7" s="133">
        <v>42611</v>
      </c>
      <c r="X7" s="10" t="s">
        <v>131</v>
      </c>
      <c r="Y7" s="10"/>
      <c r="Z7" s="10"/>
      <c r="AA7" s="10"/>
      <c r="AB7" s="95"/>
      <c r="AC7" s="10"/>
      <c r="AD7" s="2">
        <f t="shared" si="0"/>
        <v>0</v>
      </c>
      <c r="AE7" s="138">
        <f t="shared" si="1"/>
        <v>-1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42608</v>
      </c>
      <c r="X8" s="10">
        <v>95.35</v>
      </c>
      <c r="Y8" s="10">
        <v>95.98</v>
      </c>
      <c r="Z8" s="10">
        <v>94.74</v>
      </c>
      <c r="AA8" s="10">
        <v>95.12</v>
      </c>
      <c r="AB8" s="95">
        <v>2531800</v>
      </c>
      <c r="AC8" s="10">
        <v>94.57</v>
      </c>
      <c r="AD8" s="2">
        <f t="shared" si="0"/>
        <v>1.2400000000000091</v>
      </c>
      <c r="AE8" s="138">
        <f t="shared" si="1"/>
        <v>4.2314609118787594E-4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224</v>
      </c>
      <c r="Q9" s="138">
        <f>IF(Q2=0, 0, Q8/Q6)</f>
        <v>0</v>
      </c>
      <c r="W9" s="133">
        <v>42607</v>
      </c>
      <c r="X9" s="10">
        <v>95.32</v>
      </c>
      <c r="Y9" s="10">
        <v>95.82</v>
      </c>
      <c r="Z9" s="10">
        <v>94.96</v>
      </c>
      <c r="AA9" s="10">
        <v>95.08</v>
      </c>
      <c r="AB9" s="95">
        <v>1853000</v>
      </c>
      <c r="AC9" s="10">
        <v>94.53</v>
      </c>
      <c r="AD9" s="2">
        <f t="shared" si="0"/>
        <v>0.85999999999999943</v>
      </c>
      <c r="AE9" s="138">
        <f t="shared" si="1"/>
        <v>-4.2136310965975587E-3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223</v>
      </c>
      <c r="P10" s="34"/>
      <c r="Q10" s="2">
        <f>M34</f>
        <v>128.08999999999833</v>
      </c>
      <c r="W10" s="133">
        <v>42606</v>
      </c>
      <c r="X10" s="10">
        <v>96.01</v>
      </c>
      <c r="Y10" s="10">
        <v>96.06</v>
      </c>
      <c r="Z10" s="10">
        <v>95.27</v>
      </c>
      <c r="AA10" s="10">
        <v>95.48</v>
      </c>
      <c r="AB10" s="95">
        <v>2504200</v>
      </c>
      <c r="AC10" s="10">
        <v>94.93</v>
      </c>
      <c r="AD10" s="2">
        <f t="shared" si="0"/>
        <v>0.79000000000000625</v>
      </c>
      <c r="AE10" s="138">
        <f t="shared" si="1"/>
        <v>-5.447878470403289E-3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2.5100000000000001E-2</v>
      </c>
      <c r="T11" s="43"/>
      <c r="U11" s="33"/>
      <c r="V11" s="11"/>
      <c r="W11" s="99">
        <v>42605</v>
      </c>
      <c r="X11" s="10">
        <v>95.91</v>
      </c>
      <c r="Y11" s="10">
        <v>96.23</v>
      </c>
      <c r="Z11" s="10">
        <v>95.58</v>
      </c>
      <c r="AA11" s="10">
        <v>96.01</v>
      </c>
      <c r="AB11" s="95">
        <v>2300600</v>
      </c>
      <c r="AC11" s="10">
        <v>95.45</v>
      </c>
      <c r="AD11" s="2">
        <f t="shared" si="0"/>
        <v>0.65000000000000568</v>
      </c>
      <c r="AE11" s="138">
        <f t="shared" si="1"/>
        <v>7.0690018991348413E-3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42604</v>
      </c>
      <c r="X12" s="10">
        <v>95.3</v>
      </c>
      <c r="Y12" s="10">
        <v>95.8</v>
      </c>
      <c r="Z12" s="10">
        <v>95.06</v>
      </c>
      <c r="AA12" s="10">
        <v>95.33</v>
      </c>
      <c r="AB12" s="95">
        <v>1947900</v>
      </c>
      <c r="AC12" s="10">
        <v>94.78</v>
      </c>
      <c r="AD12" s="2">
        <f t="shared" si="0"/>
        <v>0.73999999999999488</v>
      </c>
      <c r="AE12" s="138">
        <f t="shared" si="1"/>
        <v>-3.67917586460631E-3</v>
      </c>
    </row>
    <row r="13" spans="1:31" x14ac:dyDescent="0.25">
      <c r="T13" s="67"/>
      <c r="W13" s="133">
        <v>42601</v>
      </c>
      <c r="X13" s="10">
        <v>95.69</v>
      </c>
      <c r="Y13" s="10">
        <v>95.85</v>
      </c>
      <c r="Z13" s="10">
        <v>95.27</v>
      </c>
      <c r="AA13" s="10">
        <v>95.68</v>
      </c>
      <c r="AB13" s="95">
        <v>3027100</v>
      </c>
      <c r="AC13" s="10">
        <v>95.13</v>
      </c>
      <c r="AD13" s="2">
        <f t="shared" si="0"/>
        <v>0.57999999999999829</v>
      </c>
      <c r="AE13" s="138">
        <f t="shared" si="1"/>
        <v>-1.5743073047859157E-3</v>
      </c>
    </row>
    <row r="14" spans="1:31" x14ac:dyDescent="0.25">
      <c r="W14" s="133">
        <v>42600</v>
      </c>
      <c r="X14" s="10">
        <v>94.17</v>
      </c>
      <c r="Y14" s="10">
        <v>96.05</v>
      </c>
      <c r="Z14" s="10">
        <v>93.63</v>
      </c>
      <c r="AA14" s="10">
        <v>95.83</v>
      </c>
      <c r="AB14" s="95">
        <v>5063400</v>
      </c>
      <c r="AC14" s="10">
        <v>95.28</v>
      </c>
      <c r="AD14" s="2">
        <f t="shared" si="0"/>
        <v>2.4200000000000017</v>
      </c>
      <c r="AE14" s="138">
        <f t="shared" si="1"/>
        <v>1.3401403956605051E-2</v>
      </c>
    </row>
    <row r="15" spans="1:31" x14ac:dyDescent="0.25">
      <c r="W15" s="133">
        <v>42599</v>
      </c>
      <c r="X15" s="10">
        <v>92.77</v>
      </c>
      <c r="Y15" s="10">
        <v>94.64</v>
      </c>
      <c r="Z15" s="10">
        <v>92.65</v>
      </c>
      <c r="AA15" s="10">
        <v>94.57</v>
      </c>
      <c r="AB15" s="95">
        <v>4718400</v>
      </c>
      <c r="AC15" s="10">
        <v>94.02</v>
      </c>
      <c r="AD15" s="2">
        <f t="shared" si="0"/>
        <v>1.9899999999999949</v>
      </c>
      <c r="AE15" s="138">
        <f t="shared" si="1"/>
        <v>1.8083378451543064E-2</v>
      </c>
    </row>
    <row r="16" spans="1:31" x14ac:dyDescent="0.25">
      <c r="W16" s="133">
        <v>42598</v>
      </c>
      <c r="X16" s="10">
        <v>92.21</v>
      </c>
      <c r="Y16" s="10">
        <v>93</v>
      </c>
      <c r="Z16" s="10">
        <v>91.88</v>
      </c>
      <c r="AA16" s="10">
        <v>92.89</v>
      </c>
      <c r="AB16" s="95">
        <v>3787500</v>
      </c>
      <c r="AC16" s="10">
        <v>92.35</v>
      </c>
      <c r="AD16" s="2">
        <f t="shared" si="0"/>
        <v>1.1200000000000045</v>
      </c>
      <c r="AE16" s="138">
        <f t="shared" si="1"/>
        <v>4.1317821028594715E-3</v>
      </c>
    </row>
    <row r="17" spans="1:31" x14ac:dyDescent="0.25">
      <c r="W17" s="133">
        <v>42597</v>
      </c>
      <c r="X17" s="10">
        <v>92.46</v>
      </c>
      <c r="Y17" s="10">
        <v>93.27</v>
      </c>
      <c r="Z17" s="10">
        <v>92.28</v>
      </c>
      <c r="AA17" s="10">
        <v>92.5</v>
      </c>
      <c r="AB17" s="95">
        <v>2733900</v>
      </c>
      <c r="AC17" s="10">
        <v>91.97</v>
      </c>
      <c r="AD17" s="2">
        <f t="shared" si="0"/>
        <v>0.98999999999999488</v>
      </c>
      <c r="AE17" s="138">
        <f t="shared" si="1"/>
        <v>6.5667067965413661E-3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42594</v>
      </c>
      <c r="X18" s="10">
        <v>92.67</v>
      </c>
      <c r="Y18" s="10">
        <v>92.67</v>
      </c>
      <c r="Z18" s="10">
        <v>91.74</v>
      </c>
      <c r="AA18" s="10">
        <v>91.9</v>
      </c>
      <c r="AB18" s="95">
        <v>2898400</v>
      </c>
      <c r="AC18" s="10">
        <v>91.37</v>
      </c>
      <c r="AD18" s="2">
        <f t="shared" si="0"/>
        <v>0.93000000000000682</v>
      </c>
      <c r="AE18" s="138">
        <f t="shared" si="1"/>
        <v>-1.1361177234364805E-2</v>
      </c>
    </row>
    <row r="19" spans="1:31" x14ac:dyDescent="0.25">
      <c r="W19" s="133">
        <v>42593</v>
      </c>
      <c r="X19" s="10">
        <v>92.72</v>
      </c>
      <c r="Y19" s="10">
        <v>93.45</v>
      </c>
      <c r="Z19" s="10">
        <v>92.61</v>
      </c>
      <c r="AA19" s="10">
        <v>92.96</v>
      </c>
      <c r="AB19" s="95">
        <v>2525100</v>
      </c>
      <c r="AC19" s="10">
        <v>92.42</v>
      </c>
      <c r="AD19" s="2">
        <f t="shared" si="0"/>
        <v>0.84000000000000341</v>
      </c>
      <c r="AE19" s="138">
        <f t="shared" si="1"/>
        <v>5.548906539005527E-3</v>
      </c>
    </row>
    <row r="20" spans="1:31" x14ac:dyDescent="0.25">
      <c r="W20" s="133">
        <v>42592</v>
      </c>
      <c r="X20" s="10">
        <v>93.41</v>
      </c>
      <c r="Y20" s="10">
        <v>93.45</v>
      </c>
      <c r="Z20" s="10">
        <v>92.22</v>
      </c>
      <c r="AA20" s="10">
        <v>92.44</v>
      </c>
      <c r="AB20" s="95">
        <v>2568200</v>
      </c>
      <c r="AC20" s="10">
        <v>91.91</v>
      </c>
      <c r="AD20" s="2">
        <f t="shared" si="0"/>
        <v>1.230000000000004</v>
      </c>
      <c r="AE20" s="138">
        <f t="shared" si="1"/>
        <v>-6.7005295579812829E-3</v>
      </c>
    </row>
    <row r="21" spans="1:31" x14ac:dyDescent="0.25">
      <c r="W21" s="40">
        <v>42591</v>
      </c>
      <c r="X21" s="10">
        <v>93.75</v>
      </c>
      <c r="Y21" s="10">
        <v>94.18</v>
      </c>
      <c r="Z21" s="10">
        <v>93</v>
      </c>
      <c r="AA21" s="10">
        <v>93.07</v>
      </c>
      <c r="AB21" s="95">
        <v>2416200</v>
      </c>
      <c r="AC21" s="10">
        <v>92.53</v>
      </c>
      <c r="AD21" s="2">
        <f t="shared" si="0"/>
        <v>1.1800000000000068</v>
      </c>
      <c r="AE21" s="138">
        <f t="shared" si="1"/>
        <v>-8.4654950707242493E-3</v>
      </c>
    </row>
    <row r="22" spans="1:31" x14ac:dyDescent="0.25">
      <c r="W22" s="133">
        <v>42590</v>
      </c>
      <c r="X22" s="10">
        <v>93.88</v>
      </c>
      <c r="Y22" s="10">
        <v>94.95</v>
      </c>
      <c r="Z22" s="10">
        <v>93.67</v>
      </c>
      <c r="AA22" s="10">
        <v>93.86</v>
      </c>
      <c r="AB22" s="95">
        <v>2491900</v>
      </c>
      <c r="AC22" s="10">
        <v>93.32</v>
      </c>
      <c r="AD22" s="2">
        <f t="shared" si="0"/>
        <v>1.2800000000000011</v>
      </c>
      <c r="AE22" s="138">
        <f t="shared" si="1"/>
        <v>1.0716964955514996E-4</v>
      </c>
    </row>
    <row r="23" spans="1:31" x14ac:dyDescent="0.25">
      <c r="B23" s="191" t="s">
        <v>114</v>
      </c>
      <c r="C23" s="191" t="s">
        <v>150</v>
      </c>
      <c r="D23" s="192" t="s">
        <v>149</v>
      </c>
      <c r="E23" s="194" t="s">
        <v>151</v>
      </c>
      <c r="F23" s="194" t="s">
        <v>65</v>
      </c>
      <c r="G23" s="229" t="s">
        <v>155</v>
      </c>
      <c r="H23" s="229" t="s">
        <v>88</v>
      </c>
      <c r="I23" s="229" t="s">
        <v>161</v>
      </c>
      <c r="W23" s="133">
        <v>42587</v>
      </c>
      <c r="X23" s="10">
        <v>93.17</v>
      </c>
      <c r="Y23" s="10">
        <v>94.65</v>
      </c>
      <c r="Z23" s="10">
        <v>92.62</v>
      </c>
      <c r="AA23" s="10">
        <v>93.85</v>
      </c>
      <c r="AB23" s="95">
        <v>3146700</v>
      </c>
      <c r="AC23" s="10">
        <v>93.31</v>
      </c>
      <c r="AD23" s="2">
        <f t="shared" si="0"/>
        <v>2.0300000000000011</v>
      </c>
      <c r="AE23" s="138">
        <f t="shared" si="1"/>
        <v>1.2807988711603269E-2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42586</v>
      </c>
      <c r="X24" s="10">
        <v>92.37</v>
      </c>
      <c r="Y24" s="10">
        <v>93.09</v>
      </c>
      <c r="Z24" s="10">
        <v>91.94</v>
      </c>
      <c r="AA24" s="10">
        <v>92.67</v>
      </c>
      <c r="AB24" s="95">
        <v>2245900</v>
      </c>
      <c r="AC24" s="10">
        <v>92.13</v>
      </c>
      <c r="AD24" s="2">
        <f t="shared" si="0"/>
        <v>1.1500000000000057</v>
      </c>
      <c r="AE24" s="138">
        <f t="shared" si="1"/>
        <v>-2.1661431820643173E-3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42585</v>
      </c>
      <c r="X25" s="10">
        <v>91.54</v>
      </c>
      <c r="Y25" s="10">
        <v>93.19</v>
      </c>
      <c r="Z25" s="10">
        <v>91.4</v>
      </c>
      <c r="AA25" s="10">
        <v>92.87</v>
      </c>
      <c r="AB25" s="95">
        <v>3907400</v>
      </c>
      <c r="AC25" s="10">
        <v>92.33</v>
      </c>
      <c r="AD25" s="2">
        <f t="shared" si="0"/>
        <v>1.789999999999992</v>
      </c>
      <c r="AE25" s="138">
        <f t="shared" si="1"/>
        <v>1.7186295031398124E-2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42584</v>
      </c>
      <c r="X26" s="10">
        <v>92.39</v>
      </c>
      <c r="Y26" s="10">
        <v>92.59</v>
      </c>
      <c r="Z26" s="10">
        <v>90.68</v>
      </c>
      <c r="AA26" s="10">
        <v>91.3</v>
      </c>
      <c r="AB26" s="95">
        <v>3787000</v>
      </c>
      <c r="AC26" s="10">
        <v>90.77</v>
      </c>
      <c r="AD26" s="2">
        <f t="shared" si="0"/>
        <v>1.9099999999999966</v>
      </c>
      <c r="AE26" s="138">
        <f t="shared" si="1"/>
        <v>-1.8914829226113317E-2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42583</v>
      </c>
      <c r="X27" s="10">
        <v>92.92</v>
      </c>
      <c r="Y27" s="10">
        <v>93.65</v>
      </c>
      <c r="Z27" s="10">
        <v>92.41</v>
      </c>
      <c r="AA27" s="10">
        <v>93.06</v>
      </c>
      <c r="AB27" s="95">
        <v>2797400</v>
      </c>
      <c r="AC27" s="10">
        <v>92.52</v>
      </c>
      <c r="AD27" s="2">
        <f t="shared" si="0"/>
        <v>1.2400000000000091</v>
      </c>
      <c r="AE27" s="138">
        <f t="shared" si="1"/>
        <v>1.0809642200837466E-4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42580</v>
      </c>
      <c r="X28" s="10">
        <v>92.55</v>
      </c>
      <c r="Y28" s="10">
        <v>93.31</v>
      </c>
      <c r="Z28" s="10">
        <v>92.26</v>
      </c>
      <c r="AA28" s="10">
        <v>93.05</v>
      </c>
      <c r="AB28" s="95">
        <v>2801100</v>
      </c>
      <c r="AC28" s="10">
        <v>92.51</v>
      </c>
      <c r="AD28" s="2">
        <f t="shared" si="0"/>
        <v>1.0499999999999972</v>
      </c>
      <c r="AE28" s="138">
        <f t="shared" si="1"/>
        <v>-3.2418413658963363E-4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42579</v>
      </c>
      <c r="X29" s="10">
        <v>91.44</v>
      </c>
      <c r="Y29" s="10">
        <v>93.41</v>
      </c>
      <c r="Z29" s="10">
        <v>91.07</v>
      </c>
      <c r="AA29" s="10">
        <v>93.08</v>
      </c>
      <c r="AB29" s="95">
        <v>3104100</v>
      </c>
      <c r="AC29" s="10">
        <v>92.54</v>
      </c>
      <c r="AD29" s="2">
        <f t="shared" si="0"/>
        <v>2.3400000000000034</v>
      </c>
      <c r="AE29" s="138">
        <f t="shared" si="1"/>
        <v>1.5806805708013405E-2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42578</v>
      </c>
      <c r="X30" s="10">
        <v>92.73</v>
      </c>
      <c r="Y30" s="10">
        <v>92.95</v>
      </c>
      <c r="Z30" s="10">
        <v>90.94</v>
      </c>
      <c r="AA30" s="10">
        <v>91.63</v>
      </c>
      <c r="AB30" s="95">
        <v>3523100</v>
      </c>
      <c r="AC30" s="10">
        <v>91.1</v>
      </c>
      <c r="AD30" s="2">
        <f t="shared" si="0"/>
        <v>2.0100000000000051</v>
      </c>
      <c r="AE30" s="138">
        <f t="shared" si="1"/>
        <v>-1.481561587541913E-2</v>
      </c>
    </row>
    <row r="31" spans="1:31" x14ac:dyDescent="0.25">
      <c r="W31" s="133">
        <v>42577</v>
      </c>
      <c r="X31" s="10">
        <v>92.38</v>
      </c>
      <c r="Y31" s="10">
        <v>93.01</v>
      </c>
      <c r="Z31" s="10">
        <v>91.83</v>
      </c>
      <c r="AA31" s="10">
        <v>93.01</v>
      </c>
      <c r="AB31" s="95">
        <v>2890100</v>
      </c>
      <c r="AC31" s="10">
        <v>92.47</v>
      </c>
      <c r="AD31" s="2">
        <f t="shared" si="0"/>
        <v>1.1800000000000068</v>
      </c>
      <c r="AE31" s="138">
        <f t="shared" si="1"/>
        <v>7.8474114441415832E-3</v>
      </c>
    </row>
    <row r="32" spans="1:31" x14ac:dyDescent="0.25">
      <c r="W32" s="133">
        <v>42576</v>
      </c>
      <c r="X32" s="10">
        <v>92.71</v>
      </c>
      <c r="Y32" s="10">
        <v>92.76</v>
      </c>
      <c r="Z32" s="10">
        <v>91.86</v>
      </c>
      <c r="AA32" s="10">
        <v>92.28</v>
      </c>
      <c r="AB32" s="95">
        <v>2744500</v>
      </c>
      <c r="AC32" s="10">
        <v>91.75</v>
      </c>
      <c r="AD32" s="2">
        <f t="shared" si="0"/>
        <v>0.90000000000000568</v>
      </c>
      <c r="AE32" s="138">
        <f t="shared" si="1"/>
        <v>-6.0665150037916282E-3</v>
      </c>
    </row>
    <row r="33" spans="1:31" x14ac:dyDescent="0.25">
      <c r="W33" s="133">
        <v>42573</v>
      </c>
      <c r="X33" s="10">
        <v>90.87</v>
      </c>
      <c r="Y33" s="10">
        <v>93.02</v>
      </c>
      <c r="Z33" s="10">
        <v>90.29</v>
      </c>
      <c r="AA33" s="10">
        <v>92.85</v>
      </c>
      <c r="AB33" s="95">
        <v>4208500</v>
      </c>
      <c r="AC33" s="10">
        <v>92.31</v>
      </c>
      <c r="AD33" s="2">
        <f t="shared" si="0"/>
        <v>2.7299999999999898</v>
      </c>
      <c r="AE33" s="138">
        <f t="shared" si="1"/>
        <v>2.1128318584070716E-2</v>
      </c>
    </row>
    <row r="34" spans="1:31" x14ac:dyDescent="0.25">
      <c r="L34" t="s">
        <v>223</v>
      </c>
      <c r="M34" s="2">
        <f>M49+K49-F49</f>
        <v>128.08999999999833</v>
      </c>
      <c r="W34" s="133">
        <v>42572</v>
      </c>
      <c r="X34" s="10">
        <v>91</v>
      </c>
      <c r="Y34" s="10">
        <v>92.3</v>
      </c>
      <c r="Z34" s="10">
        <v>90.72</v>
      </c>
      <c r="AA34" s="10">
        <v>90.93</v>
      </c>
      <c r="AB34" s="95">
        <v>6622300</v>
      </c>
      <c r="AC34" s="10">
        <v>90.4</v>
      </c>
      <c r="AD34" s="2">
        <f t="shared" si="0"/>
        <v>1.5799999999999983</v>
      </c>
      <c r="AE34" s="138">
        <f t="shared" si="1"/>
        <v>-3.3981620004274293E-2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42571</v>
      </c>
      <c r="X35" s="10">
        <v>92.73</v>
      </c>
      <c r="Y35" s="10">
        <v>94.32</v>
      </c>
      <c r="Z35" s="10">
        <v>92.49</v>
      </c>
      <c r="AA35" s="10">
        <v>94.12</v>
      </c>
      <c r="AB35" s="95">
        <v>4244500</v>
      </c>
      <c r="AC35" s="10">
        <v>93.58</v>
      </c>
      <c r="AD35" s="2">
        <f t="shared" si="0"/>
        <v>1.8299999999999983</v>
      </c>
      <c r="AE35" s="138">
        <f t="shared" si="1"/>
        <v>1.8199336259501209E-3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42570</v>
      </c>
      <c r="X36" s="10">
        <v>93.46</v>
      </c>
      <c r="Y36" s="10">
        <v>94.05</v>
      </c>
      <c r="Z36" s="10">
        <v>92.88</v>
      </c>
      <c r="AA36" s="10">
        <v>93.95</v>
      </c>
      <c r="AB36" s="95">
        <v>3351300</v>
      </c>
      <c r="AC36" s="10">
        <v>93.41</v>
      </c>
      <c r="AD36" s="2">
        <f t="shared" si="0"/>
        <v>1.1700000000000017</v>
      </c>
      <c r="AE36" s="138">
        <f t="shared" si="1"/>
        <v>-1.8166274845052843E-3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42569</v>
      </c>
      <c r="X37" s="10">
        <v>93.98</v>
      </c>
      <c r="Y37" s="10">
        <v>94.36</v>
      </c>
      <c r="Z37" s="10">
        <v>93.08</v>
      </c>
      <c r="AA37" s="10">
        <v>94.12</v>
      </c>
      <c r="AB37" s="95">
        <v>2721200</v>
      </c>
      <c r="AC37" s="10">
        <v>93.58</v>
      </c>
      <c r="AD37" s="2">
        <f t="shared" si="0"/>
        <v>1.2800000000000011</v>
      </c>
      <c r="AE37" s="138">
        <f t="shared" si="1"/>
        <v>1.4982876712328341E-3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42566</v>
      </c>
      <c r="X38" s="10">
        <v>94.97</v>
      </c>
      <c r="Y38" s="10">
        <v>95.34</v>
      </c>
      <c r="Z38" s="10">
        <v>93.71</v>
      </c>
      <c r="AA38" s="10">
        <v>93.98</v>
      </c>
      <c r="AB38" s="95">
        <v>4030900</v>
      </c>
      <c r="AC38" s="10">
        <v>93.44</v>
      </c>
      <c r="AD38" s="2">
        <f t="shared" si="0"/>
        <v>1.6300000000000097</v>
      </c>
      <c r="AE38" s="138">
        <f t="shared" si="1"/>
        <v>-7.5411577270314556E-3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42565</v>
      </c>
      <c r="X39" s="10">
        <v>94.92</v>
      </c>
      <c r="Y39" s="10">
        <v>96</v>
      </c>
      <c r="Z39" s="10">
        <v>94.43</v>
      </c>
      <c r="AA39" s="10">
        <v>94.7</v>
      </c>
      <c r="AB39" s="95">
        <v>5331900</v>
      </c>
      <c r="AC39" s="10">
        <v>94.15</v>
      </c>
      <c r="AD39" s="2">
        <f t="shared" si="0"/>
        <v>1.5699999999999932</v>
      </c>
      <c r="AE39" s="138">
        <f t="shared" si="1"/>
        <v>5.8760683760685772E-3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42564</v>
      </c>
      <c r="X40" s="10">
        <v>92.55</v>
      </c>
      <c r="Y40" s="10">
        <v>94.79</v>
      </c>
      <c r="Z40" s="10">
        <v>92.04</v>
      </c>
      <c r="AA40" s="10">
        <v>94.14</v>
      </c>
      <c r="AB40" s="95">
        <v>5898900</v>
      </c>
      <c r="AC40" s="10">
        <v>93.6</v>
      </c>
      <c r="AD40" s="2">
        <f t="shared" si="0"/>
        <v>2.75</v>
      </c>
      <c r="AE40" s="138">
        <f t="shared" si="1"/>
        <v>2.2615535889872085E-2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42563</v>
      </c>
      <c r="X41" s="10">
        <v>91.78</v>
      </c>
      <c r="Y41" s="10">
        <v>92.72</v>
      </c>
      <c r="Z41" s="10">
        <v>91.43</v>
      </c>
      <c r="AA41" s="10">
        <v>92.06</v>
      </c>
      <c r="AB41" s="95">
        <v>4120800</v>
      </c>
      <c r="AC41" s="10">
        <v>91.53</v>
      </c>
      <c r="AD41" s="2">
        <f t="shared" si="0"/>
        <v>1.289999999999992</v>
      </c>
      <c r="AE41" s="138">
        <f t="shared" si="1"/>
        <v>7.3739819502531834E-3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42562</v>
      </c>
      <c r="X42" s="10">
        <v>90.71</v>
      </c>
      <c r="Y42" s="10">
        <v>91.63</v>
      </c>
      <c r="Z42" s="10">
        <v>90.69</v>
      </c>
      <c r="AA42" s="10">
        <v>91.39</v>
      </c>
      <c r="AB42" s="95">
        <v>5423200</v>
      </c>
      <c r="AC42" s="10">
        <v>90.86</v>
      </c>
      <c r="AD42" s="2">
        <f t="shared" si="0"/>
        <v>0.93999999999999773</v>
      </c>
      <c r="AE42" s="138">
        <f t="shared" si="1"/>
        <v>7.6522124875235686E-3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93.8</v>
      </c>
      <c r="W43" s="133">
        <v>42559</v>
      </c>
      <c r="X43" s="10">
        <v>88.94</v>
      </c>
      <c r="Y43" s="10">
        <v>91.29</v>
      </c>
      <c r="Z43" s="10">
        <v>88.47</v>
      </c>
      <c r="AA43" s="10">
        <v>90.69</v>
      </c>
      <c r="AB43" s="95">
        <v>6448500</v>
      </c>
      <c r="AC43" s="10">
        <v>90.17</v>
      </c>
      <c r="AD43" s="2">
        <f t="shared" si="0"/>
        <v>2.8200000000000074</v>
      </c>
      <c r="AE43" s="138">
        <f t="shared" si="1"/>
        <v>3.0278793418647254E-2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94.09</v>
      </c>
      <c r="W44" s="133">
        <v>42558</v>
      </c>
      <c r="X44" s="10">
        <v>87.99</v>
      </c>
      <c r="Y44" s="10">
        <v>88.47</v>
      </c>
      <c r="Z44" s="10">
        <v>87.58</v>
      </c>
      <c r="AA44" s="10">
        <v>88.03</v>
      </c>
      <c r="AB44" s="95">
        <v>4798700</v>
      </c>
      <c r="AC44" s="10">
        <v>87.52</v>
      </c>
      <c r="AD44" s="2">
        <f t="shared" si="0"/>
        <v>0.89000000000000057</v>
      </c>
      <c r="AE44" s="138">
        <f t="shared" si="1"/>
        <v>6.7870700563670283E-3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405</v>
      </c>
      <c r="W45" s="133">
        <v>42557</v>
      </c>
      <c r="X45" s="10">
        <v>86.59</v>
      </c>
      <c r="Y45" s="10">
        <v>87.52</v>
      </c>
      <c r="Z45" s="10">
        <v>86.01</v>
      </c>
      <c r="AA45" s="10">
        <v>87.44</v>
      </c>
      <c r="AB45" s="95">
        <v>3740500</v>
      </c>
      <c r="AC45" s="10">
        <v>86.93</v>
      </c>
      <c r="AD45" s="2">
        <f t="shared" si="0"/>
        <v>1.5099999999999909</v>
      </c>
      <c r="AE45" s="138">
        <f t="shared" si="1"/>
        <v>3.1156242787908628E-3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545" t="s">
        <v>78</v>
      </c>
      <c r="P46" s="545"/>
      <c r="Q46" s="34"/>
      <c r="R46"/>
      <c r="T46" s="87" t="s">
        <v>101</v>
      </c>
      <c r="U46" s="130" t="s">
        <v>406</v>
      </c>
      <c r="W46" s="133">
        <v>42556</v>
      </c>
      <c r="X46" s="10">
        <v>86.85</v>
      </c>
      <c r="Y46" s="10">
        <v>87.49</v>
      </c>
      <c r="Z46" s="10">
        <v>86.77</v>
      </c>
      <c r="AA46" s="10">
        <v>87.16</v>
      </c>
      <c r="AB46" s="95">
        <v>4305700</v>
      </c>
      <c r="AC46" s="10">
        <v>86.66</v>
      </c>
      <c r="AD46" s="2">
        <f t="shared" si="0"/>
        <v>0.71999999999999886</v>
      </c>
      <c r="AE46" s="138">
        <f t="shared" si="1"/>
        <v>-1.9578486698146325E-3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105.56700000000001</v>
      </c>
      <c r="Q47" s="34"/>
      <c r="R47"/>
      <c r="T47" s="87" t="s">
        <v>102</v>
      </c>
      <c r="U47" s="130">
        <v>92.05</v>
      </c>
      <c r="W47" s="133">
        <v>42552</v>
      </c>
      <c r="X47" s="10">
        <v>87.25</v>
      </c>
      <c r="Y47" s="10">
        <v>88.19</v>
      </c>
      <c r="Z47" s="10">
        <v>87.12</v>
      </c>
      <c r="AA47" s="10">
        <v>87.34</v>
      </c>
      <c r="AB47" s="95">
        <v>3772700</v>
      </c>
      <c r="AC47" s="10">
        <v>86.83</v>
      </c>
      <c r="AD47" s="2">
        <f t="shared" si="0"/>
        <v>1.0699999999999932</v>
      </c>
      <c r="AE47" s="138">
        <f t="shared" si="1"/>
        <v>9.221902017291228E-4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104.60730000000001</v>
      </c>
      <c r="Q48" s="34"/>
      <c r="R48"/>
      <c r="T48" s="87" t="s">
        <v>103</v>
      </c>
      <c r="U48" s="130">
        <v>1.3283</v>
      </c>
      <c r="W48" s="133">
        <v>42551</v>
      </c>
      <c r="X48" s="10">
        <v>86.74</v>
      </c>
      <c r="Y48" s="10">
        <v>87.39</v>
      </c>
      <c r="Z48" s="10">
        <v>84.8</v>
      </c>
      <c r="AA48" s="10">
        <v>87.25</v>
      </c>
      <c r="AB48" s="95">
        <v>5839500</v>
      </c>
      <c r="AC48" s="10">
        <v>86.75</v>
      </c>
      <c r="AD48" s="2">
        <f t="shared" si="0"/>
        <v>2.5900000000000034</v>
      </c>
      <c r="AE48" s="138">
        <f t="shared" si="1"/>
        <v>1.1307997202145037E-2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103.64760000000001</v>
      </c>
      <c r="Q49" s="34"/>
      <c r="R49"/>
      <c r="T49" s="87" t="s">
        <v>123</v>
      </c>
      <c r="U49" s="94" t="s">
        <v>322</v>
      </c>
      <c r="W49" s="133">
        <v>42550</v>
      </c>
      <c r="X49" s="10">
        <v>85.75</v>
      </c>
      <c r="Y49" s="10">
        <v>86.76</v>
      </c>
      <c r="Z49" s="10">
        <v>85.63</v>
      </c>
      <c r="AA49" s="10">
        <v>86.28</v>
      </c>
      <c r="AB49" s="95">
        <v>3763800</v>
      </c>
      <c r="AC49" s="10">
        <v>85.78</v>
      </c>
      <c r="AD49" s="2">
        <f t="shared" si="0"/>
        <v>1.1300000000000097</v>
      </c>
      <c r="AE49" s="138">
        <f t="shared" si="1"/>
        <v>1.7435654133554745E-2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102.6879</v>
      </c>
      <c r="Q50" s="83"/>
      <c r="R50"/>
      <c r="T50" s="87"/>
      <c r="U50" s="130"/>
      <c r="W50" s="133">
        <v>42549</v>
      </c>
      <c r="X50" s="10">
        <v>83.27</v>
      </c>
      <c r="Y50" s="10">
        <v>84.86</v>
      </c>
      <c r="Z50" s="10">
        <v>83</v>
      </c>
      <c r="AA50" s="10">
        <v>84.8</v>
      </c>
      <c r="AB50" s="95">
        <v>5954400</v>
      </c>
      <c r="AC50" s="10">
        <v>84.31</v>
      </c>
      <c r="AD50" s="2">
        <f t="shared" si="0"/>
        <v>1.8599999999999994</v>
      </c>
      <c r="AE50" s="138">
        <f t="shared" si="1"/>
        <v>2.8045360321911961E-2</v>
      </c>
    </row>
    <row r="51" spans="1:31" x14ac:dyDescent="0.25">
      <c r="O51" s="83">
        <v>1.06</v>
      </c>
      <c r="P51" s="83">
        <f t="shared" si="3"/>
        <v>101.7282</v>
      </c>
      <c r="Q51" s="83"/>
      <c r="R51"/>
      <c r="T51" s="87" t="s">
        <v>105</v>
      </c>
      <c r="U51" s="130" t="s">
        <v>407</v>
      </c>
      <c r="W51" s="133">
        <v>42548</v>
      </c>
      <c r="X51" s="10">
        <v>84.42</v>
      </c>
      <c r="Y51" s="10">
        <v>84.46</v>
      </c>
      <c r="Z51" s="10">
        <v>81.96</v>
      </c>
      <c r="AA51" s="10">
        <v>82.49</v>
      </c>
      <c r="AB51" s="95">
        <v>5885200</v>
      </c>
      <c r="AC51" s="10">
        <v>82.01</v>
      </c>
      <c r="AD51" s="2">
        <f t="shared" si="0"/>
        <v>2.5</v>
      </c>
      <c r="AE51" s="138">
        <f t="shared" si="1"/>
        <v>-3.2444549315714943E-2</v>
      </c>
    </row>
    <row r="52" spans="1:31" x14ac:dyDescent="0.25">
      <c r="O52" s="83">
        <v>1.05</v>
      </c>
      <c r="P52" s="83">
        <f t="shared" si="3"/>
        <v>100.7685</v>
      </c>
      <c r="Q52" s="83"/>
      <c r="R52"/>
      <c r="T52" s="87" t="s">
        <v>106</v>
      </c>
      <c r="U52" s="130" t="s">
        <v>226</v>
      </c>
      <c r="W52" s="133">
        <v>42545</v>
      </c>
      <c r="X52" s="10">
        <v>85.45</v>
      </c>
      <c r="Y52" s="10">
        <v>86.37</v>
      </c>
      <c r="Z52" s="10">
        <v>84.14</v>
      </c>
      <c r="AA52" s="10">
        <v>85.25</v>
      </c>
      <c r="AB52" s="95">
        <v>14194000</v>
      </c>
      <c r="AC52" s="10">
        <v>84.76</v>
      </c>
      <c r="AD52" s="2">
        <f t="shared" si="0"/>
        <v>2.230000000000004</v>
      </c>
      <c r="AE52" s="138">
        <f t="shared" si="1"/>
        <v>-3.7146427354310951E-2</v>
      </c>
    </row>
    <row r="53" spans="1:31" x14ac:dyDescent="0.25">
      <c r="O53" s="83">
        <v>1.04</v>
      </c>
      <c r="P53" s="83">
        <f t="shared" si="3"/>
        <v>99.808800000000005</v>
      </c>
      <c r="Q53" s="83"/>
      <c r="R53"/>
      <c r="T53" s="87" t="s">
        <v>107</v>
      </c>
      <c r="U53" s="131">
        <v>774244</v>
      </c>
      <c r="W53" s="133">
        <v>42544</v>
      </c>
      <c r="X53" s="10">
        <v>88.79</v>
      </c>
      <c r="Y53" s="10">
        <v>89</v>
      </c>
      <c r="Z53" s="10">
        <v>87.93</v>
      </c>
      <c r="AA53" s="10">
        <v>88.54</v>
      </c>
      <c r="AB53" s="95">
        <v>2691400</v>
      </c>
      <c r="AC53" s="10">
        <v>88.03</v>
      </c>
      <c r="AD53" s="2">
        <f t="shared" si="0"/>
        <v>1.0699999999999932</v>
      </c>
      <c r="AE53" s="138">
        <f t="shared" si="1"/>
        <v>1.2071740630029915E-2</v>
      </c>
    </row>
    <row r="54" spans="1:31" x14ac:dyDescent="0.25">
      <c r="O54" s="83">
        <v>1.03</v>
      </c>
      <c r="P54" s="83">
        <f t="shared" si="3"/>
        <v>98.849100000000007</v>
      </c>
      <c r="Q54" s="83"/>
      <c r="R54"/>
      <c r="T54" s="87" t="s">
        <v>110</v>
      </c>
      <c r="U54" s="131">
        <v>1434960</v>
      </c>
      <c r="W54" s="133">
        <v>42543</v>
      </c>
      <c r="X54" s="10">
        <v>87.76</v>
      </c>
      <c r="Y54" s="10">
        <v>88.04</v>
      </c>
      <c r="Z54" s="10">
        <v>87.32</v>
      </c>
      <c r="AA54" s="10">
        <v>87.49</v>
      </c>
      <c r="AB54" s="95">
        <v>3400000</v>
      </c>
      <c r="AC54" s="10">
        <v>86.98</v>
      </c>
      <c r="AD54" s="2">
        <f t="shared" si="0"/>
        <v>0.72000000000001307</v>
      </c>
      <c r="AE54" s="138">
        <f t="shared" si="1"/>
        <v>-1.8361257746155601E-3</v>
      </c>
    </row>
    <row r="55" spans="1:31" x14ac:dyDescent="0.25">
      <c r="O55" s="83">
        <v>1.02</v>
      </c>
      <c r="P55" s="83">
        <f t="shared" si="3"/>
        <v>97.889399999999995</v>
      </c>
      <c r="Q55" s="83"/>
      <c r="R55"/>
      <c r="T55" s="87" t="s">
        <v>108</v>
      </c>
      <c r="U55" s="130" t="s">
        <v>408</v>
      </c>
      <c r="W55" s="133">
        <v>42542</v>
      </c>
      <c r="X55" s="10">
        <v>86.79</v>
      </c>
      <c r="Y55" s="10">
        <v>88.09</v>
      </c>
      <c r="Z55" s="10">
        <v>86</v>
      </c>
      <c r="AA55" s="10">
        <v>87.65</v>
      </c>
      <c r="AB55" s="95">
        <v>4146000</v>
      </c>
      <c r="AC55" s="10">
        <v>87.14</v>
      </c>
      <c r="AD55" s="2">
        <f t="shared" si="0"/>
        <v>2.0900000000000034</v>
      </c>
      <c r="AE55" s="138">
        <f t="shared" si="1"/>
        <v>-5.023978077186575E-3</v>
      </c>
    </row>
    <row r="56" spans="1:31" x14ac:dyDescent="0.25">
      <c r="O56" s="83">
        <v>1.01</v>
      </c>
      <c r="P56" s="83">
        <f t="shared" si="3"/>
        <v>96.929699999999997</v>
      </c>
      <c r="Q56" s="83"/>
      <c r="R56"/>
      <c r="T56" s="87" t="s">
        <v>111</v>
      </c>
      <c r="U56" s="130">
        <v>17.64</v>
      </c>
      <c r="W56" s="133">
        <v>42541</v>
      </c>
      <c r="X56" s="10">
        <v>88.36</v>
      </c>
      <c r="Y56" s="10">
        <v>89.25</v>
      </c>
      <c r="Z56" s="10">
        <v>87.98</v>
      </c>
      <c r="AA56" s="10">
        <v>88.09</v>
      </c>
      <c r="AB56" s="95">
        <v>4312100</v>
      </c>
      <c r="AC56" s="10">
        <v>87.58</v>
      </c>
      <c r="AD56" s="2">
        <f t="shared" si="0"/>
        <v>1.269999999999996</v>
      </c>
      <c r="AE56" s="138">
        <f t="shared" si="1"/>
        <v>5.8573561502239802E-3</v>
      </c>
    </row>
    <row r="57" spans="1:31" x14ac:dyDescent="0.25">
      <c r="O57" s="83">
        <v>1</v>
      </c>
      <c r="P57" s="83">
        <f t="shared" si="3"/>
        <v>95.97</v>
      </c>
      <c r="Q57" s="83"/>
      <c r="R57"/>
      <c r="T57" s="87" t="s">
        <v>112</v>
      </c>
      <c r="U57" s="130">
        <v>5.34</v>
      </c>
      <c r="W57" s="133">
        <v>42538</v>
      </c>
      <c r="X57" s="10">
        <v>87</v>
      </c>
      <c r="Y57" s="10">
        <v>87.8</v>
      </c>
      <c r="Z57" s="10">
        <v>86.87</v>
      </c>
      <c r="AA57" s="10">
        <v>87.58</v>
      </c>
      <c r="AB57" s="95">
        <v>4141900</v>
      </c>
      <c r="AC57" s="10">
        <v>87.07</v>
      </c>
      <c r="AD57" s="2">
        <f t="shared" si="0"/>
        <v>0.92999999999999261</v>
      </c>
      <c r="AE57" s="138">
        <f t="shared" si="1"/>
        <v>5.543365284674806E-3</v>
      </c>
    </row>
    <row r="58" spans="1:31" x14ac:dyDescent="0.25">
      <c r="O58" s="83">
        <v>0.99</v>
      </c>
      <c r="P58" s="83">
        <f t="shared" si="3"/>
        <v>95.010300000000001</v>
      </c>
      <c r="Q58" s="83"/>
      <c r="R58"/>
      <c r="T58" s="87" t="s">
        <v>109</v>
      </c>
      <c r="U58" s="130" t="s">
        <v>573</v>
      </c>
      <c r="W58" s="133">
        <v>42537</v>
      </c>
      <c r="X58" s="10">
        <v>86.84</v>
      </c>
      <c r="Y58" s="10">
        <v>87.31</v>
      </c>
      <c r="Z58" s="10">
        <v>85.5</v>
      </c>
      <c r="AA58" s="10">
        <v>87.09</v>
      </c>
      <c r="AB58" s="95">
        <v>3530300</v>
      </c>
      <c r="AC58" s="10">
        <v>86.59</v>
      </c>
      <c r="AD58" s="2">
        <f t="shared" si="0"/>
        <v>1.8100000000000023</v>
      </c>
      <c r="AE58" s="138">
        <f t="shared" si="1"/>
        <v>-5.0557279099160413E-3</v>
      </c>
    </row>
    <row r="59" spans="1:31" x14ac:dyDescent="0.25">
      <c r="O59" s="83">
        <v>0.98</v>
      </c>
      <c r="P59" s="83">
        <f t="shared" si="3"/>
        <v>94.050600000000003</v>
      </c>
      <c r="Q59" s="83"/>
      <c r="R59"/>
      <c r="W59" s="133">
        <v>42536</v>
      </c>
      <c r="X59" s="10">
        <v>88.36</v>
      </c>
      <c r="Y59" s="10">
        <v>88.67</v>
      </c>
      <c r="Z59" s="10">
        <v>87.45</v>
      </c>
      <c r="AA59" s="10">
        <v>87.54</v>
      </c>
      <c r="AB59" s="95">
        <v>3963500</v>
      </c>
      <c r="AC59" s="10">
        <v>87.03</v>
      </c>
      <c r="AD59" s="2">
        <f t="shared" si="0"/>
        <v>1.2199999999999989</v>
      </c>
      <c r="AE59" s="138">
        <f t="shared" si="1"/>
        <v>-5.0302961015205039E-3</v>
      </c>
    </row>
    <row r="60" spans="1:31" x14ac:dyDescent="0.25">
      <c r="O60" s="83">
        <v>0.97</v>
      </c>
      <c r="P60" s="83">
        <f t="shared" si="3"/>
        <v>93.090899999999991</v>
      </c>
      <c r="Q60" s="83"/>
      <c r="R60"/>
      <c r="W60" s="133">
        <v>42535</v>
      </c>
      <c r="X60" s="10">
        <v>88.51</v>
      </c>
      <c r="Y60" s="10">
        <v>89.26</v>
      </c>
      <c r="Z60" s="10">
        <v>87.57</v>
      </c>
      <c r="AA60" s="10">
        <v>87.98</v>
      </c>
      <c r="AB60" s="95">
        <v>3993400</v>
      </c>
      <c r="AC60" s="10">
        <v>87.47</v>
      </c>
      <c r="AD60" s="2">
        <f t="shared" si="0"/>
        <v>1.6900000000000119</v>
      </c>
      <c r="AE60" s="138">
        <f t="shared" si="1"/>
        <v>-8.2766439909297551E-3</v>
      </c>
    </row>
    <row r="61" spans="1:31" x14ac:dyDescent="0.25">
      <c r="O61" s="83">
        <v>0.96</v>
      </c>
      <c r="P61" s="83">
        <f t="shared" si="3"/>
        <v>92.131199999999993</v>
      </c>
      <c r="Q61" s="83"/>
      <c r="R61"/>
      <c r="W61" s="133">
        <v>42534</v>
      </c>
      <c r="X61" s="10">
        <v>88.49</v>
      </c>
      <c r="Y61" s="10">
        <v>89.61</v>
      </c>
      <c r="Z61" s="10">
        <v>88.22</v>
      </c>
      <c r="AA61" s="10">
        <v>88.71</v>
      </c>
      <c r="AB61" s="95">
        <v>4377100</v>
      </c>
      <c r="AC61" s="10">
        <v>88.2</v>
      </c>
      <c r="AD61" s="2">
        <f t="shared" si="0"/>
        <v>1.3900000000000006</v>
      </c>
      <c r="AE61" s="138">
        <f t="shared" si="1"/>
        <v>-7.9302141157799877E-4</v>
      </c>
    </row>
    <row r="62" spans="1:31" x14ac:dyDescent="0.25">
      <c r="O62" s="83">
        <v>0.95</v>
      </c>
      <c r="P62" s="83">
        <f t="shared" si="3"/>
        <v>91.171499999999995</v>
      </c>
      <c r="Q62" s="83"/>
      <c r="R62"/>
      <c r="W62" s="133">
        <v>42531</v>
      </c>
      <c r="X62" s="10">
        <v>88.2</v>
      </c>
      <c r="Y62" s="10">
        <v>88.9</v>
      </c>
      <c r="Z62" s="10">
        <v>88.1</v>
      </c>
      <c r="AA62" s="10">
        <v>88.78</v>
      </c>
      <c r="AB62" s="95">
        <v>4315800</v>
      </c>
      <c r="AC62" s="10">
        <v>88.27</v>
      </c>
      <c r="AD62" s="2">
        <f t="shared" si="0"/>
        <v>0.80000000000001137</v>
      </c>
      <c r="AE62" s="138">
        <f t="shared" si="1"/>
        <v>-6.7514346798696057E-3</v>
      </c>
    </row>
    <row r="63" spans="1:31" x14ac:dyDescent="0.25">
      <c r="O63" s="83">
        <v>0.94</v>
      </c>
      <c r="P63" s="83">
        <f t="shared" si="3"/>
        <v>90.211799999999997</v>
      </c>
      <c r="Q63" s="83"/>
      <c r="R63"/>
      <c r="T63" s="86"/>
      <c r="W63" s="133">
        <v>42530</v>
      </c>
      <c r="X63" s="10">
        <v>88.53</v>
      </c>
      <c r="Y63" s="10">
        <v>89.53</v>
      </c>
      <c r="Z63" s="10">
        <v>88.04</v>
      </c>
      <c r="AA63" s="10">
        <v>89.39</v>
      </c>
      <c r="AB63" s="95">
        <v>3844800</v>
      </c>
      <c r="AC63" s="10">
        <v>88.87</v>
      </c>
      <c r="AD63" s="2">
        <f t="shared" si="0"/>
        <v>1.4899999999999949</v>
      </c>
      <c r="AE63" s="138">
        <f t="shared" si="1"/>
        <v>3.8405060431492277E-3</v>
      </c>
    </row>
    <row r="64" spans="1:31" x14ac:dyDescent="0.25">
      <c r="O64" s="83">
        <v>0.93</v>
      </c>
      <c r="P64" s="83">
        <f t="shared" si="3"/>
        <v>89.252099999999999</v>
      </c>
      <c r="Q64" s="83"/>
      <c r="R64"/>
      <c r="S64" s="86"/>
      <c r="T64"/>
      <c r="W64" s="133">
        <v>42529</v>
      </c>
      <c r="X64" s="10">
        <v>87.83</v>
      </c>
      <c r="Y64" s="10">
        <v>90.14</v>
      </c>
      <c r="Z64" s="10">
        <v>87.8</v>
      </c>
      <c r="AA64" s="10">
        <v>89.04</v>
      </c>
      <c r="AB64" s="95">
        <v>6135400</v>
      </c>
      <c r="AC64" s="10">
        <v>88.53</v>
      </c>
      <c r="AD64" s="2">
        <f t="shared" si="0"/>
        <v>2.3400000000000034</v>
      </c>
      <c r="AE64" s="138">
        <f t="shared" si="1"/>
        <v>1.688490696071665E-2</v>
      </c>
    </row>
    <row r="65" spans="15:31" x14ac:dyDescent="0.25">
      <c r="O65" s="83">
        <v>0.92</v>
      </c>
      <c r="P65" s="83">
        <f t="shared" si="3"/>
        <v>88.292400000000001</v>
      </c>
      <c r="Q65" s="83"/>
      <c r="R65"/>
      <c r="S65" s="86"/>
      <c r="T65"/>
      <c r="W65" s="133">
        <v>42528</v>
      </c>
      <c r="X65" s="10">
        <v>86.68</v>
      </c>
      <c r="Y65" s="10">
        <v>88.08</v>
      </c>
      <c r="Z65" s="10">
        <v>86.68</v>
      </c>
      <c r="AA65" s="10">
        <v>87.57</v>
      </c>
      <c r="AB65" s="95">
        <v>3824500</v>
      </c>
      <c r="AC65" s="10">
        <v>87.06</v>
      </c>
      <c r="AD65" s="2">
        <f t="shared" si="0"/>
        <v>1.3999999999999915</v>
      </c>
      <c r="AE65" s="138">
        <f t="shared" si="1"/>
        <v>8.2223508975103332E-3</v>
      </c>
    </row>
    <row r="66" spans="15:31" x14ac:dyDescent="0.25">
      <c r="O66" s="83">
        <v>0.91</v>
      </c>
      <c r="P66" s="83">
        <f t="shared" si="3"/>
        <v>87.332700000000003</v>
      </c>
      <c r="Q66" s="83"/>
      <c r="R66"/>
      <c r="S66" s="86"/>
      <c r="T66"/>
      <c r="W66" s="133">
        <v>42527</v>
      </c>
      <c r="X66" s="10">
        <v>86.42</v>
      </c>
      <c r="Y66" s="10">
        <v>87.14</v>
      </c>
      <c r="Z66" s="10">
        <v>85.93</v>
      </c>
      <c r="AA66" s="10">
        <v>86.85</v>
      </c>
      <c r="AB66" s="95">
        <v>4361500</v>
      </c>
      <c r="AC66" s="10">
        <v>86.35</v>
      </c>
      <c r="AD66" s="2">
        <f t="shared" si="0"/>
        <v>1.2099999999999937</v>
      </c>
      <c r="AE66" s="138">
        <f t="shared" si="1"/>
        <v>5.4727526781555014E-3</v>
      </c>
    </row>
    <row r="67" spans="15:31" x14ac:dyDescent="0.25">
      <c r="O67" s="83">
        <v>0.9</v>
      </c>
      <c r="P67" s="83">
        <f t="shared" si="3"/>
        <v>86.373000000000005</v>
      </c>
      <c r="Q67" s="83"/>
      <c r="R67"/>
      <c r="S67" s="86"/>
      <c r="T67"/>
      <c r="W67" s="133">
        <v>42524</v>
      </c>
      <c r="X67" s="10">
        <v>85.55</v>
      </c>
      <c r="Y67" s="10">
        <v>86.65</v>
      </c>
      <c r="Z67" s="10">
        <v>84.61</v>
      </c>
      <c r="AA67" s="10">
        <v>86.38</v>
      </c>
      <c r="AB67" s="95">
        <v>4946700</v>
      </c>
      <c r="AC67" s="10">
        <v>85.88</v>
      </c>
      <c r="AD67" s="2">
        <f>Y67-Z67</f>
        <v>2.0400000000000063</v>
      </c>
      <c r="AE67" s="138">
        <f>AC67/AC68-1</f>
        <v>2.0922491678554422E-2</v>
      </c>
    </row>
    <row r="68" spans="15:31" x14ac:dyDescent="0.25">
      <c r="W68" s="133">
        <v>42523</v>
      </c>
      <c r="X68" s="10">
        <v>83.68</v>
      </c>
      <c r="Y68" s="10">
        <v>84.63</v>
      </c>
      <c r="Z68" s="10">
        <v>83.61</v>
      </c>
      <c r="AA68" s="10">
        <v>84.61</v>
      </c>
      <c r="AB68" s="95">
        <v>3507000</v>
      </c>
      <c r="AC68" s="10">
        <v>84.12</v>
      </c>
      <c r="AD68" s="2">
        <f>Y68-Z68</f>
        <v>1.019999999999996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448" priority="11">
      <formula>F24&gt;0</formula>
    </cfRule>
    <cfRule type="expression" dxfId="447" priority="12">
      <formula>F24&lt;0</formula>
    </cfRule>
  </conditionalFormatting>
  <conditionalFormatting sqref="H27:H30">
    <cfRule type="expression" dxfId="446" priority="9">
      <formula>H27&gt;0</formula>
    </cfRule>
    <cfRule type="expression" dxfId="445" priority="10">
      <formula>H27&lt;0</formula>
    </cfRule>
  </conditionalFormatting>
  <conditionalFormatting sqref="F25">
    <cfRule type="expression" dxfId="444" priority="7">
      <formula>F25&gt;0</formula>
    </cfRule>
    <cfRule type="expression" dxfId="443" priority="8">
      <formula>F25&lt;0</formula>
    </cfRule>
  </conditionalFormatting>
  <conditionalFormatting sqref="H24:H26">
    <cfRule type="expression" dxfId="442" priority="5">
      <formula>H24&gt;0</formula>
    </cfRule>
    <cfRule type="expression" dxfId="441" priority="6">
      <formula>H24&lt;0</formula>
    </cfRule>
  </conditionalFormatting>
  <conditionalFormatting sqref="Q7">
    <cfRule type="expression" dxfId="440" priority="3">
      <formula>Q7&gt;0</formula>
    </cfRule>
    <cfRule type="expression" dxfId="439" priority="4">
      <formula>Q7&lt;0</formula>
    </cfRule>
  </conditionalFormatting>
  <conditionalFormatting sqref="Q8">
    <cfRule type="expression" dxfId="438" priority="1">
      <formula>Q8&gt;0</formula>
    </cfRule>
    <cfRule type="expression" dxfId="437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183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42614</v>
      </c>
      <c r="X2" s="368">
        <v>217.37</v>
      </c>
      <c r="Y2" s="40">
        <v>217.73</v>
      </c>
      <c r="Z2" s="40">
        <v>216.03</v>
      </c>
      <c r="AA2" s="368">
        <v>217.39</v>
      </c>
      <c r="AB2" s="95">
        <v>93859000</v>
      </c>
      <c r="AC2" s="243">
        <v>217.39</v>
      </c>
      <c r="AD2" s="2">
        <f>Y2-Z2</f>
        <v>1.6999999999999886</v>
      </c>
      <c r="AE2" s="138">
        <f>AC2/AC3-1</f>
        <v>4.6002392124266933E-5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219.0308</v>
      </c>
      <c r="T3" s="121"/>
      <c r="W3" s="94">
        <v>42613</v>
      </c>
      <c r="X3" s="368">
        <v>217.61</v>
      </c>
      <c r="Y3" s="40">
        <v>217.75</v>
      </c>
      <c r="Z3" s="40">
        <v>216.47</v>
      </c>
      <c r="AA3" s="368">
        <v>217.38</v>
      </c>
      <c r="AB3" s="95">
        <v>85269500</v>
      </c>
      <c r="AC3" s="243">
        <v>217.38</v>
      </c>
      <c r="AD3" s="2">
        <f>Y3-Z3</f>
        <v>1.2800000000000011</v>
      </c>
      <c r="AE3" s="138">
        <f>AC3/AC4-1</f>
        <v>-2.8440366972477538E-3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219.0308</v>
      </c>
      <c r="T4" s="121"/>
      <c r="W4" s="94">
        <v>42612</v>
      </c>
      <c r="X4" s="368">
        <v>218.26</v>
      </c>
      <c r="Y4" s="40">
        <v>218.59</v>
      </c>
      <c r="Z4" s="40">
        <v>217.35</v>
      </c>
      <c r="AA4" s="368">
        <v>218</v>
      </c>
      <c r="AB4" s="95">
        <v>58114500</v>
      </c>
      <c r="AC4" s="243">
        <v>218</v>
      </c>
      <c r="AD4" s="2">
        <f t="shared" ref="AD4:AD67" si="0">Y4-Z4</f>
        <v>1.2400000000000091</v>
      </c>
      <c r="AE4" s="138">
        <f t="shared" ref="AE4:AE67" si="1">AC4/AC5-1</f>
        <v>-1.6486535995604568E-3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42611</v>
      </c>
      <c r="X5" s="368">
        <v>217.44</v>
      </c>
      <c r="Y5" s="40">
        <v>218.67</v>
      </c>
      <c r="Z5" s="40">
        <v>217.4</v>
      </c>
      <c r="AA5" s="368">
        <v>218.36</v>
      </c>
      <c r="AB5" s="95">
        <v>70502200</v>
      </c>
      <c r="AC5" s="243">
        <v>218.36</v>
      </c>
      <c r="AD5" s="2">
        <f t="shared" si="0"/>
        <v>1.2699999999999818</v>
      </c>
      <c r="AE5" s="138">
        <f t="shared" si="1"/>
        <v>4.92429472134015E-3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42608</v>
      </c>
      <c r="X6" s="368">
        <v>217.92</v>
      </c>
      <c r="Y6" s="40">
        <v>219.12</v>
      </c>
      <c r="Z6" s="40">
        <v>216.25</v>
      </c>
      <c r="AA6" s="368">
        <v>217.29</v>
      </c>
      <c r="AB6" s="95">
        <v>122506300</v>
      </c>
      <c r="AC6" s="243">
        <v>217.29</v>
      </c>
      <c r="AD6" s="2">
        <f t="shared" si="0"/>
        <v>2.8700000000000045</v>
      </c>
      <c r="AE6" s="138">
        <f t="shared" si="1"/>
        <v>-1.8833256775379059E-3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187</v>
      </c>
      <c r="P7"/>
      <c r="Q7" s="2">
        <f>Q10+Q8</f>
        <v>160.82999999999993</v>
      </c>
      <c r="R7">
        <v>0</v>
      </c>
      <c r="T7" s="85"/>
      <c r="W7" s="94">
        <v>42607</v>
      </c>
      <c r="X7" s="368">
        <v>217.4</v>
      </c>
      <c r="Y7" s="40">
        <v>218.19</v>
      </c>
      <c r="Z7" s="40">
        <v>217.22</v>
      </c>
      <c r="AA7" s="368">
        <v>217.7</v>
      </c>
      <c r="AB7" s="95">
        <v>69224800</v>
      </c>
      <c r="AC7" s="243">
        <v>217.7</v>
      </c>
      <c r="AD7" s="2">
        <f t="shared" si="0"/>
        <v>0.96999999999999886</v>
      </c>
      <c r="AE7" s="138">
        <f t="shared" si="1"/>
        <v>-6.8854716548083506E-4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190</v>
      </c>
      <c r="Q8" s="2">
        <f>K18+M18-F18+Q2*Q4</f>
        <v>0</v>
      </c>
      <c r="W8" s="94">
        <v>42606</v>
      </c>
      <c r="X8" s="368">
        <v>218.8</v>
      </c>
      <c r="Y8" s="40">
        <v>218.91</v>
      </c>
      <c r="Z8" s="40">
        <v>217.36</v>
      </c>
      <c r="AA8" s="368">
        <v>217.85</v>
      </c>
      <c r="AB8" s="95">
        <v>71728900</v>
      </c>
      <c r="AC8" s="243">
        <v>217.85</v>
      </c>
      <c r="AD8" s="2">
        <f t="shared" si="0"/>
        <v>1.5499999999999829</v>
      </c>
      <c r="AE8" s="138">
        <f t="shared" si="1"/>
        <v>-5.1148559163355367E-3</v>
      </c>
    </row>
    <row r="9" spans="1:40" x14ac:dyDescent="0.25">
      <c r="O9" s="11" t="s">
        <v>224</v>
      </c>
      <c r="P9"/>
      <c r="Q9" s="138">
        <f>IF(Q2=0, 0, Q8/Q6)</f>
        <v>0</v>
      </c>
      <c r="W9" s="94">
        <v>42605</v>
      </c>
      <c r="X9" s="368">
        <v>219.25</v>
      </c>
      <c r="Y9" s="40">
        <v>219.6</v>
      </c>
      <c r="Z9" s="40">
        <v>218.9</v>
      </c>
      <c r="AA9" s="368">
        <v>218.97</v>
      </c>
      <c r="AB9" s="95">
        <v>53399200</v>
      </c>
      <c r="AC9" s="243">
        <v>218.97</v>
      </c>
      <c r="AD9" s="2">
        <f t="shared" si="0"/>
        <v>0.69999999999998863</v>
      </c>
      <c r="AE9" s="138">
        <f t="shared" si="1"/>
        <v>2.0134535304077161E-3</v>
      </c>
      <c r="AK9" s="234"/>
      <c r="AN9" s="234"/>
    </row>
    <row r="10" spans="1:40" ht="12.75" customHeight="1" x14ac:dyDescent="0.25">
      <c r="O10" s="11" t="s">
        <v>223</v>
      </c>
      <c r="Q10" s="2">
        <f>M37</f>
        <v>160.82999999999993</v>
      </c>
      <c r="W10" s="94">
        <v>42604</v>
      </c>
      <c r="X10" s="368">
        <v>218.26</v>
      </c>
      <c r="Y10" s="40">
        <v>218.8</v>
      </c>
      <c r="Z10" s="40">
        <v>217.83</v>
      </c>
      <c r="AA10" s="368">
        <v>218.53</v>
      </c>
      <c r="AB10" s="95">
        <v>61368800</v>
      </c>
      <c r="AC10" s="243">
        <v>218.53</v>
      </c>
      <c r="AD10" s="2">
        <f t="shared" si="0"/>
        <v>0.96999999999999886</v>
      </c>
      <c r="AE10" s="138">
        <f t="shared" si="1"/>
        <v>-4.5758213599311759E-5</v>
      </c>
    </row>
    <row r="11" spans="1:40" x14ac:dyDescent="0.25">
      <c r="O11" s="11" t="s">
        <v>184</v>
      </c>
      <c r="Q11" s="138">
        <v>0</v>
      </c>
      <c r="W11" s="94">
        <v>42601</v>
      </c>
      <c r="X11" s="368">
        <v>218.31</v>
      </c>
      <c r="Y11" s="40">
        <v>218.75</v>
      </c>
      <c r="Z11" s="40">
        <v>217.74</v>
      </c>
      <c r="AA11" s="368">
        <v>218.54</v>
      </c>
      <c r="AB11" s="95">
        <v>75443000</v>
      </c>
      <c r="AC11" s="243">
        <v>218.54</v>
      </c>
      <c r="AD11" s="2">
        <f t="shared" si="0"/>
        <v>1.0099999999999909</v>
      </c>
      <c r="AE11" s="138">
        <f t="shared" si="1"/>
        <v>-1.46212190441386E-3</v>
      </c>
      <c r="AK11" s="234"/>
      <c r="AN11" s="234"/>
    </row>
    <row r="12" spans="1:40" x14ac:dyDescent="0.25">
      <c r="W12" s="94">
        <v>42600</v>
      </c>
      <c r="X12" s="368">
        <v>218.34</v>
      </c>
      <c r="Y12" s="40">
        <v>218.9</v>
      </c>
      <c r="Z12" s="40">
        <v>218.21</v>
      </c>
      <c r="AA12" s="368">
        <v>218.86</v>
      </c>
      <c r="AB12" s="95">
        <v>52989300</v>
      </c>
      <c r="AC12" s="243">
        <v>218.86</v>
      </c>
      <c r="AD12" s="2">
        <f t="shared" si="0"/>
        <v>0.68999999999999773</v>
      </c>
      <c r="AE12" s="138">
        <f t="shared" si="1"/>
        <v>2.2438979713330642E-3</v>
      </c>
    </row>
    <row r="13" spans="1:40" x14ac:dyDescent="0.25">
      <c r="W13" s="94">
        <v>42599</v>
      </c>
      <c r="X13" s="368">
        <v>218</v>
      </c>
      <c r="Y13" s="40">
        <v>218.53</v>
      </c>
      <c r="Z13" s="40">
        <v>217.02</v>
      </c>
      <c r="AA13" s="368">
        <v>218.37</v>
      </c>
      <c r="AB13" s="95">
        <v>75134300</v>
      </c>
      <c r="AC13" s="243">
        <v>218.37</v>
      </c>
      <c r="AD13" s="2">
        <f t="shared" si="0"/>
        <v>1.5099999999999909</v>
      </c>
      <c r="AE13" s="138">
        <f t="shared" si="1"/>
        <v>1.8810790970820168E-3</v>
      </c>
      <c r="AK13" s="234"/>
      <c r="AN13" s="234"/>
    </row>
    <row r="14" spans="1:40" x14ac:dyDescent="0.25">
      <c r="T14" s="84"/>
      <c r="U14" s="11"/>
      <c r="W14" s="94">
        <v>42598</v>
      </c>
      <c r="X14" s="368">
        <v>218.6</v>
      </c>
      <c r="Y14" s="40">
        <v>218.68</v>
      </c>
      <c r="Z14" s="40">
        <v>217.96</v>
      </c>
      <c r="AA14" s="368">
        <v>217.96</v>
      </c>
      <c r="AB14" s="95">
        <v>53213600</v>
      </c>
      <c r="AC14" s="243">
        <v>217.96</v>
      </c>
      <c r="AD14" s="2">
        <f t="shared" si="0"/>
        <v>0.71999999999999886</v>
      </c>
      <c r="AE14" s="138">
        <f t="shared" si="1"/>
        <v>-5.1576977497831411E-3</v>
      </c>
    </row>
    <row r="15" spans="1:40" x14ac:dyDescent="0.25">
      <c r="W15" s="94">
        <v>42597</v>
      </c>
      <c r="X15" s="368">
        <v>218.89</v>
      </c>
      <c r="Y15" s="40">
        <v>219.5</v>
      </c>
      <c r="Z15" s="40">
        <v>218.88</v>
      </c>
      <c r="AA15" s="368">
        <v>219.09</v>
      </c>
      <c r="AB15" s="95">
        <v>49813500</v>
      </c>
      <c r="AC15" s="243">
        <v>219.09</v>
      </c>
      <c r="AD15" s="2">
        <f t="shared" si="0"/>
        <v>0.62000000000000455</v>
      </c>
      <c r="AE15" s="138">
        <f t="shared" si="1"/>
        <v>2.8838231255150504E-3</v>
      </c>
      <c r="AK15" s="234"/>
      <c r="AN15" s="234"/>
    </row>
    <row r="16" spans="1:40" x14ac:dyDescent="0.25">
      <c r="W16" s="94">
        <v>42594</v>
      </c>
      <c r="X16" s="368">
        <v>218.29</v>
      </c>
      <c r="Y16" s="40">
        <v>218.71</v>
      </c>
      <c r="Z16" s="40">
        <v>217.99</v>
      </c>
      <c r="AA16" s="368">
        <v>218.46</v>
      </c>
      <c r="AB16" s="95">
        <v>61313500</v>
      </c>
      <c r="AC16" s="243">
        <v>218.46</v>
      </c>
      <c r="AD16" s="2">
        <f t="shared" si="0"/>
        <v>0.71999999999999886</v>
      </c>
      <c r="AE16" s="138">
        <f t="shared" si="1"/>
        <v>-8.6896867139263367E-4</v>
      </c>
    </row>
    <row r="17" spans="1:40" x14ac:dyDescent="0.25">
      <c r="W17" s="94">
        <v>42593</v>
      </c>
      <c r="X17" s="368">
        <v>218.26</v>
      </c>
      <c r="Y17" s="40">
        <v>218.94</v>
      </c>
      <c r="Z17" s="40">
        <v>217.95</v>
      </c>
      <c r="AA17" s="368">
        <v>218.65</v>
      </c>
      <c r="AB17" s="95">
        <v>72504300</v>
      </c>
      <c r="AC17" s="243">
        <v>218.65</v>
      </c>
      <c r="AD17" s="2">
        <f t="shared" si="0"/>
        <v>0.99000000000000909</v>
      </c>
      <c r="AE17" s="138">
        <f t="shared" si="1"/>
        <v>4.6406910494394271E-3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42592</v>
      </c>
      <c r="X18" s="368">
        <v>218.31</v>
      </c>
      <c r="Y18" s="40">
        <v>218.4</v>
      </c>
      <c r="Z18" s="40">
        <v>217.23</v>
      </c>
      <c r="AA18" s="368">
        <v>217.64</v>
      </c>
      <c r="AB18" s="95">
        <v>57941100</v>
      </c>
      <c r="AC18" s="243">
        <v>217.64</v>
      </c>
      <c r="AD18" s="2">
        <f t="shared" si="0"/>
        <v>1.1700000000000159</v>
      </c>
      <c r="AE18" s="138">
        <f t="shared" si="1"/>
        <v>-2.4750206251720197E-3</v>
      </c>
    </row>
    <row r="19" spans="1:40" x14ac:dyDescent="0.25">
      <c r="W19" s="94">
        <v>42591</v>
      </c>
      <c r="X19" s="368">
        <v>218.13</v>
      </c>
      <c r="Y19" s="40">
        <v>218.76</v>
      </c>
      <c r="Z19" s="40">
        <v>217.8</v>
      </c>
      <c r="AA19" s="368">
        <v>218.18</v>
      </c>
      <c r="AB19" s="95">
        <v>51251700</v>
      </c>
      <c r="AC19" s="243">
        <v>218.18</v>
      </c>
      <c r="AD19" s="2">
        <f t="shared" si="0"/>
        <v>0.95999999999997954</v>
      </c>
      <c r="AE19" s="138">
        <f t="shared" si="1"/>
        <v>5.9619353359319227E-4</v>
      </c>
      <c r="AK19" s="234"/>
      <c r="AN19" s="234"/>
    </row>
    <row r="20" spans="1:40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161</v>
      </c>
      <c r="W20" s="94">
        <v>42590</v>
      </c>
      <c r="X20" s="368">
        <v>218.4</v>
      </c>
      <c r="Y20" s="40">
        <v>218.52</v>
      </c>
      <c r="Z20" s="40">
        <v>217.74</v>
      </c>
      <c r="AA20" s="368">
        <v>218.05</v>
      </c>
      <c r="AB20" s="95">
        <v>39906500</v>
      </c>
      <c r="AC20" s="243">
        <v>218.05</v>
      </c>
      <c r="AD20" s="2">
        <f t="shared" si="0"/>
        <v>0.78000000000000114</v>
      </c>
      <c r="AE20" s="138">
        <f t="shared" si="1"/>
        <v>-5.9583829865250681E-4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42587</v>
      </c>
      <c r="X21" s="368">
        <v>216.41</v>
      </c>
      <c r="Y21" s="40">
        <v>218.23</v>
      </c>
      <c r="Z21" s="40">
        <v>216.41</v>
      </c>
      <c r="AA21" s="368">
        <v>218.18</v>
      </c>
      <c r="AB21" s="95">
        <v>71892200</v>
      </c>
      <c r="AC21" s="243">
        <v>218.18</v>
      </c>
      <c r="AD21" s="2">
        <f t="shared" si="0"/>
        <v>1.8199999999999932</v>
      </c>
      <c r="AE21" s="138">
        <f t="shared" si="1"/>
        <v>8.1789196432697775E-3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42586</v>
      </c>
      <c r="X22" s="368">
        <v>216.31</v>
      </c>
      <c r="Y22" s="40">
        <v>216.78</v>
      </c>
      <c r="Z22" s="40">
        <v>214.25</v>
      </c>
      <c r="AA22" s="368">
        <v>216.41</v>
      </c>
      <c r="AB22" s="95">
        <v>46585500</v>
      </c>
      <c r="AC22" s="243">
        <v>216.41</v>
      </c>
      <c r="AD22" s="2">
        <f t="shared" si="0"/>
        <v>2.5300000000000011</v>
      </c>
      <c r="AE22" s="138">
        <f t="shared" si="1"/>
        <v>1.0639282079747403E-3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42585</v>
      </c>
      <c r="X23" s="368">
        <v>215.48</v>
      </c>
      <c r="Y23" s="40">
        <v>216.25</v>
      </c>
      <c r="Z23" s="40">
        <v>215.13</v>
      </c>
      <c r="AA23" s="368">
        <v>216.18</v>
      </c>
      <c r="AB23" s="95">
        <v>53993600</v>
      </c>
      <c r="AC23" s="243">
        <v>216.18</v>
      </c>
      <c r="AD23" s="2">
        <f t="shared" si="0"/>
        <v>1.1200000000000045</v>
      </c>
      <c r="AE23" s="138">
        <f t="shared" si="1"/>
        <v>2.9227557411273253E-3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42584</v>
      </c>
      <c r="X24" s="368">
        <v>216.65</v>
      </c>
      <c r="Y24" s="40">
        <v>216.83</v>
      </c>
      <c r="Z24" s="40">
        <v>214.57</v>
      </c>
      <c r="AA24" s="368">
        <v>215.55</v>
      </c>
      <c r="AB24" s="95">
        <v>92295500</v>
      </c>
      <c r="AC24" s="243">
        <v>215.55</v>
      </c>
      <c r="AD24" s="2">
        <f t="shared" si="0"/>
        <v>2.2600000000000193</v>
      </c>
      <c r="AE24" s="138">
        <f t="shared" si="1"/>
        <v>-6.4073015580343728E-3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42583</v>
      </c>
      <c r="X25" s="368">
        <v>217.19</v>
      </c>
      <c r="Y25" s="40">
        <v>217.65</v>
      </c>
      <c r="Z25" s="40">
        <v>216.41</v>
      </c>
      <c r="AA25" s="368">
        <v>216.94</v>
      </c>
      <c r="AB25" s="95">
        <v>73311400</v>
      </c>
      <c r="AC25" s="243">
        <v>216.94</v>
      </c>
      <c r="AD25" s="2">
        <f t="shared" si="0"/>
        <v>1.2400000000000091</v>
      </c>
      <c r="AE25" s="138">
        <f t="shared" si="1"/>
        <v>-8.2903463522476795E-4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42580</v>
      </c>
      <c r="X26" s="368">
        <v>216.46</v>
      </c>
      <c r="Y26" s="40">
        <v>217.54</v>
      </c>
      <c r="Z26" s="40">
        <v>216.13</v>
      </c>
      <c r="AA26" s="368">
        <v>217.12</v>
      </c>
      <c r="AB26" s="95">
        <v>79519400</v>
      </c>
      <c r="AC26" s="243">
        <v>217.12</v>
      </c>
      <c r="AD26" s="2">
        <f t="shared" si="0"/>
        <v>1.4099999999999966</v>
      </c>
      <c r="AE26" s="138">
        <f t="shared" si="1"/>
        <v>1.6146145684365898E-3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42579</v>
      </c>
      <c r="X27" s="368">
        <v>216.29</v>
      </c>
      <c r="Y27" s="40">
        <v>217.11</v>
      </c>
      <c r="Z27" s="40">
        <v>215.75</v>
      </c>
      <c r="AA27" s="368">
        <v>216.77</v>
      </c>
      <c r="AB27" s="95">
        <v>65035700</v>
      </c>
      <c r="AC27" s="243">
        <v>216.77</v>
      </c>
      <c r="AD27" s="2">
        <f t="shared" si="0"/>
        <v>1.3600000000000136</v>
      </c>
      <c r="AE27" s="138">
        <f t="shared" si="1"/>
        <v>1.1546277480141143E-3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42578</v>
      </c>
      <c r="X28" s="368">
        <v>217.19</v>
      </c>
      <c r="Y28" s="40">
        <v>217.27</v>
      </c>
      <c r="Z28" s="40">
        <v>215.62</v>
      </c>
      <c r="AA28" s="368">
        <v>216.52</v>
      </c>
      <c r="AB28" s="95">
        <v>84083900</v>
      </c>
      <c r="AC28" s="243">
        <v>216.52</v>
      </c>
      <c r="AD28" s="2">
        <f t="shared" si="0"/>
        <v>1.6500000000000057</v>
      </c>
      <c r="AE28" s="138">
        <f t="shared" si="1"/>
        <v>-1.0611303344867373E-3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42577</v>
      </c>
      <c r="X29" s="368">
        <v>216.53</v>
      </c>
      <c r="Y29" s="40">
        <v>217.17</v>
      </c>
      <c r="Z29" s="40">
        <v>215.76</v>
      </c>
      <c r="AA29" s="368">
        <v>216.75</v>
      </c>
      <c r="AB29" s="95">
        <v>70080500</v>
      </c>
      <c r="AC29" s="243">
        <v>216.75</v>
      </c>
      <c r="AD29" s="2">
        <f t="shared" si="0"/>
        <v>1.4099999999999966</v>
      </c>
      <c r="AE29" s="138">
        <f t="shared" si="1"/>
        <v>4.6157396722823485E-4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42576</v>
      </c>
      <c r="X30" s="368">
        <v>217</v>
      </c>
      <c r="Y30" s="40">
        <v>217.06</v>
      </c>
      <c r="Z30" s="40">
        <v>215.97</v>
      </c>
      <c r="AA30" s="368">
        <v>216.65</v>
      </c>
      <c r="AB30" s="95">
        <v>55873100</v>
      </c>
      <c r="AC30" s="243">
        <v>216.65</v>
      </c>
      <c r="AD30" s="2">
        <f t="shared" si="0"/>
        <v>1.0900000000000034</v>
      </c>
      <c r="AE30" s="138">
        <f t="shared" si="1"/>
        <v>-2.7158902596207124E-3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42573</v>
      </c>
      <c r="X31" s="368">
        <v>216.41</v>
      </c>
      <c r="Y31" s="40">
        <v>217.3</v>
      </c>
      <c r="Z31" s="40">
        <v>216.1</v>
      </c>
      <c r="AA31" s="368">
        <v>217.24</v>
      </c>
      <c r="AB31" s="95">
        <v>62787500</v>
      </c>
      <c r="AC31" s="243">
        <v>217.24</v>
      </c>
      <c r="AD31" s="2">
        <f t="shared" si="0"/>
        <v>1.2000000000000171</v>
      </c>
      <c r="AE31" s="138">
        <f t="shared" si="1"/>
        <v>4.4851343228371476E-3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42572</v>
      </c>
      <c r="X32" s="368">
        <v>216.96</v>
      </c>
      <c r="Y32" s="40">
        <v>217.22</v>
      </c>
      <c r="Z32" s="40">
        <v>215.75</v>
      </c>
      <c r="AA32" s="368">
        <v>216.27</v>
      </c>
      <c r="AB32" s="95">
        <v>67777300</v>
      </c>
      <c r="AC32" s="243">
        <v>216.27</v>
      </c>
      <c r="AD32" s="2">
        <f t="shared" si="0"/>
        <v>1.4699999999999989</v>
      </c>
      <c r="AE32" s="138">
        <f t="shared" si="1"/>
        <v>-3.7772352480537341E-3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42571</v>
      </c>
      <c r="X33" s="368">
        <v>216.19</v>
      </c>
      <c r="Y33" s="40">
        <v>217.37</v>
      </c>
      <c r="Z33" s="40">
        <v>216.19</v>
      </c>
      <c r="AA33" s="368">
        <v>217.09</v>
      </c>
      <c r="AB33" s="95">
        <v>58159500</v>
      </c>
      <c r="AC33" s="243">
        <v>217.09</v>
      </c>
      <c r="AD33" s="2">
        <f t="shared" si="0"/>
        <v>1.1800000000000068</v>
      </c>
      <c r="AE33" s="138">
        <f t="shared" si="1"/>
        <v>4.1630047643277379E-3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42570</v>
      </c>
      <c r="X34" s="368">
        <v>215.92</v>
      </c>
      <c r="Y34" s="40">
        <v>216.23</v>
      </c>
      <c r="Z34" s="40">
        <v>215.63</v>
      </c>
      <c r="AA34" s="368">
        <v>216.19</v>
      </c>
      <c r="AB34" s="95">
        <v>54345700</v>
      </c>
      <c r="AC34" s="243">
        <v>216.19</v>
      </c>
      <c r="AD34" s="2">
        <f t="shared" si="0"/>
        <v>0.59999999999999432</v>
      </c>
      <c r="AE34" s="138">
        <f t="shared" si="1"/>
        <v>-1.0165888822143421E-3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42569</v>
      </c>
      <c r="X35" s="368">
        <v>215.97</v>
      </c>
      <c r="Y35" s="40">
        <v>216.6</v>
      </c>
      <c r="Z35" s="40">
        <v>215.67</v>
      </c>
      <c r="AA35" s="368">
        <v>216.41</v>
      </c>
      <c r="AB35" s="95">
        <v>58725900</v>
      </c>
      <c r="AC35" s="243">
        <v>216.41</v>
      </c>
      <c r="AD35" s="2">
        <f t="shared" si="0"/>
        <v>0.93000000000000682</v>
      </c>
      <c r="AE35" s="138">
        <f t="shared" si="1"/>
        <v>2.6873001899643256E-3</v>
      </c>
    </row>
    <row r="36" spans="1:31" x14ac:dyDescent="0.25">
      <c r="W36" s="94">
        <v>42566</v>
      </c>
      <c r="X36" s="368">
        <v>216.78</v>
      </c>
      <c r="Y36" s="40">
        <v>217.01</v>
      </c>
      <c r="Z36" s="40">
        <v>215.31</v>
      </c>
      <c r="AA36" s="368">
        <v>215.83</v>
      </c>
      <c r="AB36" s="95">
        <v>107155400</v>
      </c>
      <c r="AC36" s="243">
        <v>215.83</v>
      </c>
      <c r="AD36" s="2">
        <f t="shared" si="0"/>
        <v>1.6999999999999886</v>
      </c>
      <c r="AE36" s="138">
        <f t="shared" si="1"/>
        <v>-1.3418471219692751E-3</v>
      </c>
    </row>
    <row r="37" spans="1:31" x14ac:dyDescent="0.25">
      <c r="L37" t="s">
        <v>223</v>
      </c>
      <c r="M37" s="2">
        <f>M55+K55-F55</f>
        <v>160.82999999999993</v>
      </c>
      <c r="W37" s="94">
        <v>42565</v>
      </c>
      <c r="X37" s="368">
        <v>216.4</v>
      </c>
      <c r="Y37" s="40">
        <v>216.67</v>
      </c>
      <c r="Z37" s="40">
        <v>215.66</v>
      </c>
      <c r="AA37" s="368">
        <v>216.12</v>
      </c>
      <c r="AB37" s="95">
        <v>91230900</v>
      </c>
      <c r="AC37" s="243">
        <v>216.12</v>
      </c>
      <c r="AD37" s="2">
        <f t="shared" si="0"/>
        <v>1.0099999999999909</v>
      </c>
      <c r="AE37" s="138">
        <f t="shared" si="1"/>
        <v>5.5834729201564848E-3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42564</v>
      </c>
      <c r="X38" s="368">
        <v>215.44</v>
      </c>
      <c r="Y38" s="40">
        <v>215.45</v>
      </c>
      <c r="Z38" s="40">
        <v>214.35</v>
      </c>
      <c r="AA38" s="368">
        <v>214.92</v>
      </c>
      <c r="AB38" s="95">
        <v>87324100</v>
      </c>
      <c r="AC38" s="243">
        <v>214.92</v>
      </c>
      <c r="AD38" s="2">
        <f t="shared" si="0"/>
        <v>1.0999999999999943</v>
      </c>
      <c r="AE38" s="138">
        <f t="shared" si="1"/>
        <v>-1.3956734124220826E-4</v>
      </c>
    </row>
    <row r="39" spans="1:31" ht="20.25" thickBot="1" x14ac:dyDescent="0.35">
      <c r="A39" s="265" t="s">
        <v>183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545" t="s">
        <v>78</v>
      </c>
      <c r="Q39" s="545"/>
      <c r="R39" s="34"/>
      <c r="T39" s="91" t="s">
        <v>113</v>
      </c>
      <c r="W39" s="94">
        <v>42563</v>
      </c>
      <c r="X39" s="368">
        <v>214.53</v>
      </c>
      <c r="Y39" s="40">
        <v>215.3</v>
      </c>
      <c r="Z39" s="40">
        <v>213.43</v>
      </c>
      <c r="AA39" s="368">
        <v>214.95</v>
      </c>
      <c r="AB39" s="95">
        <v>101275600</v>
      </c>
      <c r="AC39" s="243">
        <v>214.95</v>
      </c>
      <c r="AD39" s="2">
        <f t="shared" si="0"/>
        <v>1.8700000000000045</v>
      </c>
      <c r="AE39" s="138">
        <f t="shared" si="1"/>
        <v>7.2633552014993441E-3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240.93388000000002</v>
      </c>
      <c r="R40" s="34"/>
      <c r="T40" s="97" t="s">
        <v>98</v>
      </c>
      <c r="U40" s="129">
        <v>217.39</v>
      </c>
      <c r="W40" s="94">
        <v>42562</v>
      </c>
      <c r="X40" s="368">
        <v>213.19</v>
      </c>
      <c r="Y40" s="40">
        <v>214.07</v>
      </c>
      <c r="Z40" s="40">
        <v>212.95</v>
      </c>
      <c r="AA40" s="368">
        <v>213.4</v>
      </c>
      <c r="AB40" s="95">
        <v>73633900</v>
      </c>
      <c r="AC40" s="243">
        <v>213.4</v>
      </c>
      <c r="AD40" s="2">
        <f t="shared" si="0"/>
        <v>1.1200000000000045</v>
      </c>
      <c r="AE40" s="138">
        <f t="shared" si="1"/>
        <v>3.5269221725839905E-3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238.74357200000003</v>
      </c>
      <c r="R41" s="34"/>
      <c r="T41" s="87" t="s">
        <v>99</v>
      </c>
      <c r="U41" s="130">
        <v>218.39</v>
      </c>
      <c r="W41" s="94">
        <v>42559</v>
      </c>
      <c r="X41" s="368">
        <v>211.05</v>
      </c>
      <c r="Y41" s="40">
        <v>212.94</v>
      </c>
      <c r="Z41" s="40">
        <v>210.78</v>
      </c>
      <c r="AA41" s="368">
        <v>212.65</v>
      </c>
      <c r="AB41" s="95">
        <v>133971000</v>
      </c>
      <c r="AC41" s="243">
        <v>212.65</v>
      </c>
      <c r="AD41" s="2">
        <f t="shared" si="0"/>
        <v>2.1599999999999966</v>
      </c>
      <c r="AE41" s="138">
        <f t="shared" si="1"/>
        <v>1.4890469145229845E-2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236.55326400000001</v>
      </c>
      <c r="R42" s="34"/>
      <c r="T42" s="87" t="s">
        <v>100</v>
      </c>
      <c r="U42" s="130" t="s">
        <v>542</v>
      </c>
      <c r="W42" s="94">
        <v>42558</v>
      </c>
      <c r="X42" s="368">
        <v>209.87</v>
      </c>
      <c r="Y42" s="40">
        <v>210.65</v>
      </c>
      <c r="Z42" s="40">
        <v>208.63</v>
      </c>
      <c r="AA42" s="368">
        <v>209.53</v>
      </c>
      <c r="AB42" s="95">
        <v>85593800</v>
      </c>
      <c r="AC42" s="243">
        <v>209.53</v>
      </c>
      <c r="AD42" s="2">
        <f t="shared" si="0"/>
        <v>2.0200000000000102</v>
      </c>
      <c r="AE42" s="138">
        <f t="shared" si="1"/>
        <v>-6.2005151197175312E-4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234.36295600000003</v>
      </c>
      <c r="R43" s="83"/>
      <c r="T43" s="87" t="s">
        <v>101</v>
      </c>
      <c r="U43" s="130" t="s">
        <v>543</v>
      </c>
      <c r="W43" s="94">
        <v>42557</v>
      </c>
      <c r="X43" s="368">
        <v>207.83</v>
      </c>
      <c r="Y43" s="40">
        <v>209.8</v>
      </c>
      <c r="Z43" s="40">
        <v>207.06</v>
      </c>
      <c r="AA43" s="368">
        <v>209.66</v>
      </c>
      <c r="AB43" s="95">
        <v>96021500</v>
      </c>
      <c r="AC43" s="243">
        <v>209.66</v>
      </c>
      <c r="AD43" s="2">
        <f t="shared" si="0"/>
        <v>2.7400000000000091</v>
      </c>
      <c r="AE43" s="138">
        <f t="shared" si="1"/>
        <v>5.9977928122449953E-3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232.17264800000001</v>
      </c>
      <c r="R44" s="83"/>
      <c r="T44" s="87" t="s">
        <v>238</v>
      </c>
      <c r="U44" s="130">
        <v>218.37</v>
      </c>
      <c r="W44" s="94">
        <v>42556</v>
      </c>
      <c r="X44" s="368">
        <v>208.95</v>
      </c>
      <c r="Y44" s="40">
        <v>209.08</v>
      </c>
      <c r="Z44" s="40">
        <v>207.71</v>
      </c>
      <c r="AA44" s="368">
        <v>208.41</v>
      </c>
      <c r="AB44" s="95">
        <v>109803700</v>
      </c>
      <c r="AC44" s="243">
        <v>208.41</v>
      </c>
      <c r="AD44" s="2">
        <f t="shared" si="0"/>
        <v>1.3700000000000045</v>
      </c>
      <c r="AE44" s="138">
        <f t="shared" si="1"/>
        <v>-7.1932164634146423E-3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229.98234000000002</v>
      </c>
      <c r="R45" s="83"/>
      <c r="T45" s="87" t="s">
        <v>239</v>
      </c>
      <c r="U45" s="130" t="s">
        <v>338</v>
      </c>
      <c r="W45" s="94">
        <v>42552</v>
      </c>
      <c r="X45" s="368">
        <v>209.48</v>
      </c>
      <c r="Y45" s="40">
        <v>210.49</v>
      </c>
      <c r="Z45" s="40">
        <v>209.29</v>
      </c>
      <c r="AA45" s="368">
        <v>209.92</v>
      </c>
      <c r="AB45" s="95">
        <v>106055300</v>
      </c>
      <c r="AC45" s="243">
        <v>209.92</v>
      </c>
      <c r="AD45" s="2">
        <f t="shared" si="0"/>
        <v>1.2000000000000171</v>
      </c>
      <c r="AE45" s="138">
        <f t="shared" si="1"/>
        <v>2.1004391827381674E-3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227.79203200000001</v>
      </c>
      <c r="R46" s="83"/>
      <c r="T46" s="87" t="s">
        <v>240</v>
      </c>
      <c r="U46" s="232">
        <v>7.6100000000000001E-2</v>
      </c>
      <c r="W46" s="94">
        <v>42551</v>
      </c>
      <c r="X46" s="368">
        <v>207.21</v>
      </c>
      <c r="Y46" s="40">
        <v>209.54</v>
      </c>
      <c r="Z46" s="40">
        <v>206.56</v>
      </c>
      <c r="AA46" s="368">
        <v>209.48</v>
      </c>
      <c r="AB46" s="95">
        <v>165021900</v>
      </c>
      <c r="AC46" s="243">
        <v>209.48</v>
      </c>
      <c r="AD46" s="2">
        <f t="shared" si="0"/>
        <v>2.9799999999999898</v>
      </c>
      <c r="AE46" s="138">
        <f t="shared" si="1"/>
        <v>1.3645601471015123E-2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225.60172400000002</v>
      </c>
      <c r="R47" s="83"/>
      <c r="T47" s="87"/>
      <c r="U47" s="130"/>
      <c r="W47" s="94">
        <v>42550</v>
      </c>
      <c r="X47" s="368">
        <v>204.84</v>
      </c>
      <c r="Y47" s="40">
        <v>206.93</v>
      </c>
      <c r="Z47" s="40">
        <v>204.72</v>
      </c>
      <c r="AA47" s="368">
        <v>206.66</v>
      </c>
      <c r="AB47" s="95">
        <v>137328600</v>
      </c>
      <c r="AC47" s="243">
        <v>206.66</v>
      </c>
      <c r="AD47" s="2">
        <f t="shared" si="0"/>
        <v>2.210000000000008</v>
      </c>
      <c r="AE47" s="138">
        <f t="shared" si="1"/>
        <v>1.7027559055118102E-2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223.411416</v>
      </c>
      <c r="R48" s="83"/>
      <c r="T48" s="87" t="s">
        <v>105</v>
      </c>
      <c r="U48" s="130" t="s">
        <v>544</v>
      </c>
      <c r="W48" s="94">
        <v>42549</v>
      </c>
      <c r="X48" s="368">
        <v>201.48</v>
      </c>
      <c r="Y48" s="40">
        <v>203.23</v>
      </c>
      <c r="Z48" s="40">
        <v>201.12</v>
      </c>
      <c r="AA48" s="368">
        <v>203.2</v>
      </c>
      <c r="AB48" s="95">
        <v>159382400</v>
      </c>
      <c r="AC48" s="243">
        <v>203.2</v>
      </c>
      <c r="AD48" s="2">
        <f t="shared" si="0"/>
        <v>2.1099999999999852</v>
      </c>
      <c r="AE48" s="138">
        <f t="shared" si="1"/>
        <v>1.8036072144288484E-2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221.22110800000002</v>
      </c>
      <c r="R49" s="83"/>
      <c r="T49" s="87" t="s">
        <v>106</v>
      </c>
      <c r="U49" s="130" t="s">
        <v>367</v>
      </c>
      <c r="W49" s="94">
        <v>42548</v>
      </c>
      <c r="X49" s="368">
        <v>201.59</v>
      </c>
      <c r="Y49" s="40">
        <v>201.6</v>
      </c>
      <c r="Z49" s="40">
        <v>198.65</v>
      </c>
      <c r="AA49" s="368">
        <v>199.6</v>
      </c>
      <c r="AB49" s="95">
        <v>230775800</v>
      </c>
      <c r="AC49" s="243">
        <v>199.6</v>
      </c>
      <c r="AD49" s="2">
        <f t="shared" si="0"/>
        <v>2.9499999999999886</v>
      </c>
      <c r="AE49" s="138">
        <f t="shared" si="1"/>
        <v>-1.790986026372765E-2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219.0308</v>
      </c>
      <c r="R50" s="83"/>
      <c r="T50" s="87" t="s">
        <v>107</v>
      </c>
      <c r="U50" s="131">
        <v>79293856</v>
      </c>
      <c r="W50" s="94">
        <v>42545</v>
      </c>
      <c r="X50" s="368">
        <v>203.63</v>
      </c>
      <c r="Y50" s="40">
        <v>210.85</v>
      </c>
      <c r="Z50" s="40">
        <v>202.72</v>
      </c>
      <c r="AA50" s="368">
        <v>203.24</v>
      </c>
      <c r="AB50" s="95">
        <v>333444400</v>
      </c>
      <c r="AC50" s="243">
        <v>203.24</v>
      </c>
      <c r="AD50" s="2">
        <f t="shared" si="0"/>
        <v>8.1299999999999955</v>
      </c>
      <c r="AE50" s="138">
        <f t="shared" si="1"/>
        <v>-3.5909112470945415E-2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216.84049199999998</v>
      </c>
      <c r="R51" s="83"/>
      <c r="T51" s="87" t="s">
        <v>110</v>
      </c>
      <c r="U51" s="131">
        <v>89518800</v>
      </c>
      <c r="W51" s="94">
        <v>42544</v>
      </c>
      <c r="X51" s="368">
        <v>209.81</v>
      </c>
      <c r="Y51" s="40">
        <v>210.87</v>
      </c>
      <c r="Z51" s="40">
        <v>209.27</v>
      </c>
      <c r="AA51" s="368">
        <v>210.81</v>
      </c>
      <c r="AB51" s="95">
        <v>102731400</v>
      </c>
      <c r="AC51" s="243">
        <v>210.81</v>
      </c>
      <c r="AD51" s="2">
        <f t="shared" si="0"/>
        <v>1.5999999999999943</v>
      </c>
      <c r="AE51" s="138">
        <f t="shared" si="1"/>
        <v>1.302258529553102E-2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214.650184</v>
      </c>
      <c r="R52" s="83"/>
      <c r="T52" s="87" t="s">
        <v>241</v>
      </c>
      <c r="U52" s="130">
        <v>19</v>
      </c>
      <c r="W52" s="94">
        <v>42543</v>
      </c>
      <c r="X52" s="368">
        <v>208.65</v>
      </c>
      <c r="Y52" s="40">
        <v>209.5</v>
      </c>
      <c r="Z52" s="40">
        <v>207.93</v>
      </c>
      <c r="AA52" s="368">
        <v>208.1</v>
      </c>
      <c r="AB52" s="95">
        <v>95560500</v>
      </c>
      <c r="AC52" s="243">
        <v>208.1</v>
      </c>
      <c r="AD52" s="2">
        <f t="shared" si="0"/>
        <v>1.5699999999999932</v>
      </c>
      <c r="AE52" s="138">
        <f t="shared" si="1"/>
        <v>-1.6311648436000414E-3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212.45987599999998</v>
      </c>
      <c r="R53" s="83"/>
      <c r="T53" s="87" t="s">
        <v>242</v>
      </c>
      <c r="U53" s="130">
        <v>2.0099999999999998</v>
      </c>
      <c r="W53" s="94">
        <v>42542</v>
      </c>
      <c r="X53" s="368">
        <v>208.3</v>
      </c>
      <c r="Y53" s="40">
        <v>208.92</v>
      </c>
      <c r="Z53" s="40">
        <v>207.78</v>
      </c>
      <c r="AA53" s="368">
        <v>208.44</v>
      </c>
      <c r="AB53" s="95">
        <v>72461700</v>
      </c>
      <c r="AC53" s="243">
        <v>208.44</v>
      </c>
      <c r="AD53" s="2">
        <f t="shared" si="0"/>
        <v>1.1399999999999864</v>
      </c>
      <c r="AE53" s="138">
        <f t="shared" si="1"/>
        <v>2.8385855184027697E-3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210.26956799999999</v>
      </c>
      <c r="R54" s="83"/>
      <c r="T54" s="87"/>
      <c r="U54" s="130"/>
      <c r="W54" s="94">
        <v>42541</v>
      </c>
      <c r="X54" s="368">
        <v>208.82</v>
      </c>
      <c r="Y54" s="40">
        <v>209.61</v>
      </c>
      <c r="Z54" s="40">
        <v>207.75</v>
      </c>
      <c r="AA54" s="368">
        <v>207.85</v>
      </c>
      <c r="AB54" s="95">
        <v>82789600</v>
      </c>
      <c r="AC54" s="243">
        <v>207.85</v>
      </c>
      <c r="AD54" s="2">
        <f t="shared" si="0"/>
        <v>1.8600000000000136</v>
      </c>
      <c r="AE54" s="138">
        <f t="shared" si="1"/>
        <v>6.4400542320355303E-3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208.07925999999998</v>
      </c>
      <c r="R55" s="83"/>
      <c r="T55" s="87"/>
      <c r="U55" s="130"/>
      <c r="W55" s="94">
        <v>42538</v>
      </c>
      <c r="X55" s="368">
        <v>207.17</v>
      </c>
      <c r="Y55" s="40">
        <v>207.2</v>
      </c>
      <c r="Z55" s="40">
        <v>205.75</v>
      </c>
      <c r="AA55" s="368">
        <v>206.52</v>
      </c>
      <c r="AB55" s="95">
        <v>117055700</v>
      </c>
      <c r="AC55" s="243">
        <v>206.52</v>
      </c>
      <c r="AD55" s="2">
        <f t="shared" si="0"/>
        <v>1.4499999999999886</v>
      </c>
      <c r="AE55" s="138" t="e">
        <f t="shared" si="1"/>
        <v>#DIV/0!</v>
      </c>
    </row>
    <row r="56" spans="1:31" x14ac:dyDescent="0.25">
      <c r="O56" s="2"/>
      <c r="P56" s="83">
        <v>0.94</v>
      </c>
      <c r="Q56" s="83">
        <f t="shared" si="5"/>
        <v>205.88895199999999</v>
      </c>
      <c r="R56" s="83"/>
      <c r="W56" s="94">
        <v>42538</v>
      </c>
      <c r="X56" s="368" t="s">
        <v>249</v>
      </c>
      <c r="Y56" s="40"/>
      <c r="Z56" s="40"/>
      <c r="AA56" s="368"/>
      <c r="AB56" s="95"/>
      <c r="AC56" s="243"/>
      <c r="AD56" s="2">
        <f t="shared" si="0"/>
        <v>0</v>
      </c>
      <c r="AE56" s="138">
        <f t="shared" si="1"/>
        <v>-1</v>
      </c>
    </row>
    <row r="57" spans="1:31" x14ac:dyDescent="0.25">
      <c r="O57" s="2"/>
      <c r="P57" s="83">
        <v>0.93</v>
      </c>
      <c r="Q57" s="83">
        <f t="shared" si="5"/>
        <v>203.698644</v>
      </c>
      <c r="R57" s="83"/>
      <c r="W57" s="94">
        <v>42537</v>
      </c>
      <c r="X57" s="368">
        <v>207.75</v>
      </c>
      <c r="Y57" s="40">
        <v>208.57</v>
      </c>
      <c r="Z57" s="40">
        <v>205.59</v>
      </c>
      <c r="AA57" s="368">
        <v>208.37</v>
      </c>
      <c r="AB57" s="95">
        <v>149533100</v>
      </c>
      <c r="AC57" s="243">
        <v>207.29</v>
      </c>
      <c r="AD57" s="2">
        <f t="shared" si="0"/>
        <v>2.9799999999999898</v>
      </c>
      <c r="AE57" s="138">
        <f t="shared" si="1"/>
        <v>2.9514224888715912E-3</v>
      </c>
    </row>
    <row r="58" spans="1:31" x14ac:dyDescent="0.25">
      <c r="O58" s="2"/>
      <c r="P58" s="83">
        <v>0.92</v>
      </c>
      <c r="Q58" s="83">
        <f t="shared" si="5"/>
        <v>201.50833600000001</v>
      </c>
      <c r="R58" s="83"/>
      <c r="W58" s="94">
        <v>42536</v>
      </c>
      <c r="X58" s="368">
        <v>208.04</v>
      </c>
      <c r="Y58" s="40">
        <v>209.36</v>
      </c>
      <c r="Z58" s="40">
        <v>207.53</v>
      </c>
      <c r="AA58" s="368">
        <v>207.75</v>
      </c>
      <c r="AB58" s="95">
        <v>109124500</v>
      </c>
      <c r="AC58" s="243">
        <v>206.68</v>
      </c>
      <c r="AD58" s="2">
        <f t="shared" si="0"/>
        <v>1.8300000000000125</v>
      </c>
      <c r="AE58" s="138">
        <f t="shared" si="1"/>
        <v>-1.3529184383456183E-3</v>
      </c>
    </row>
    <row r="59" spans="1:31" x14ac:dyDescent="0.25">
      <c r="O59" s="2"/>
      <c r="P59" s="83">
        <v>0.91</v>
      </c>
      <c r="Q59" s="83">
        <f t="shared" si="5"/>
        <v>199.318028</v>
      </c>
      <c r="R59" s="83"/>
      <c r="W59" s="94">
        <v>42535</v>
      </c>
      <c r="X59" s="368">
        <v>208</v>
      </c>
      <c r="Y59" s="40">
        <v>208.74</v>
      </c>
      <c r="Z59" s="40">
        <v>206.92</v>
      </c>
      <c r="AA59" s="368">
        <v>208.04</v>
      </c>
      <c r="AB59" s="95">
        <v>125059300</v>
      </c>
      <c r="AC59" s="243">
        <v>206.96</v>
      </c>
      <c r="AD59" s="2">
        <f t="shared" si="0"/>
        <v>1.8200000000000216</v>
      </c>
      <c r="AE59" s="138">
        <f t="shared" si="1"/>
        <v>-1.9771423060230831E-3</v>
      </c>
    </row>
    <row r="60" spans="1:31" x14ac:dyDescent="0.25">
      <c r="O60" s="2"/>
      <c r="P60" s="83">
        <v>0.9</v>
      </c>
      <c r="Q60" s="83">
        <f t="shared" si="5"/>
        <v>197.12772000000001</v>
      </c>
      <c r="R60" s="83"/>
      <c r="W60" s="94">
        <v>42534</v>
      </c>
      <c r="X60" s="368">
        <v>209.36</v>
      </c>
      <c r="Y60" s="40">
        <v>210.37</v>
      </c>
      <c r="Z60" s="40">
        <v>208.35</v>
      </c>
      <c r="AA60" s="368">
        <v>208.45</v>
      </c>
      <c r="AB60" s="95">
        <v>117751200</v>
      </c>
      <c r="AC60" s="243">
        <v>207.37</v>
      </c>
      <c r="AD60" s="2">
        <f t="shared" si="0"/>
        <v>2.0200000000000102</v>
      </c>
      <c r="AE60" s="138">
        <f t="shared" si="1"/>
        <v>-7.7040865154559546E-3</v>
      </c>
    </row>
    <row r="61" spans="1:31" x14ac:dyDescent="0.25">
      <c r="W61" s="94">
        <v>42531</v>
      </c>
      <c r="X61" s="368">
        <v>210.46</v>
      </c>
      <c r="Y61" s="40">
        <v>210.86</v>
      </c>
      <c r="Z61" s="40">
        <v>209.43</v>
      </c>
      <c r="AA61" s="368">
        <v>210.07</v>
      </c>
      <c r="AB61" s="95">
        <v>113829200</v>
      </c>
      <c r="AC61" s="243">
        <v>208.98</v>
      </c>
      <c r="AD61" s="2">
        <f t="shared" si="0"/>
        <v>1.4300000000000068</v>
      </c>
      <c r="AE61" s="138">
        <f t="shared" si="1"/>
        <v>-9.4795715233670919E-3</v>
      </c>
    </row>
    <row r="62" spans="1:31" x14ac:dyDescent="0.25">
      <c r="W62" s="94">
        <v>42530</v>
      </c>
      <c r="X62" s="368">
        <v>211.51</v>
      </c>
      <c r="Y62" s="40">
        <v>212.22</v>
      </c>
      <c r="Z62" s="40">
        <v>211.19</v>
      </c>
      <c r="AA62" s="368">
        <v>212.08</v>
      </c>
      <c r="AB62" s="95">
        <v>73786900</v>
      </c>
      <c r="AC62" s="243">
        <v>210.98</v>
      </c>
      <c r="AD62" s="2">
        <f t="shared" si="0"/>
        <v>1.0300000000000011</v>
      </c>
      <c r="AE62" s="138">
        <f t="shared" si="1"/>
        <v>-1.3726511099542149E-3</v>
      </c>
    </row>
    <row r="63" spans="1:31" x14ac:dyDescent="0.25">
      <c r="W63" s="94">
        <v>42529</v>
      </c>
      <c r="X63" s="368">
        <v>211.84</v>
      </c>
      <c r="Y63" s="40">
        <v>212.52</v>
      </c>
      <c r="Z63" s="40">
        <v>211.69</v>
      </c>
      <c r="AA63" s="368">
        <v>212.37</v>
      </c>
      <c r="AB63" s="95">
        <v>66170900</v>
      </c>
      <c r="AC63" s="243">
        <v>211.27</v>
      </c>
      <c r="AD63" s="2">
        <f t="shared" si="0"/>
        <v>0.83000000000001251</v>
      </c>
      <c r="AE63" s="138">
        <f t="shared" si="1"/>
        <v>3.2766644505650699E-3</v>
      </c>
    </row>
    <row r="64" spans="1:31" x14ac:dyDescent="0.25">
      <c r="W64" s="94">
        <v>42528</v>
      </c>
      <c r="X64" s="368">
        <v>211.53</v>
      </c>
      <c r="Y64" s="40">
        <v>212.34</v>
      </c>
      <c r="Z64" s="40">
        <v>211.5</v>
      </c>
      <c r="AA64" s="368">
        <v>211.68</v>
      </c>
      <c r="AB64" s="95">
        <v>60974800</v>
      </c>
      <c r="AC64" s="243">
        <v>210.58</v>
      </c>
      <c r="AD64" s="2">
        <f t="shared" si="0"/>
        <v>0.84000000000000341</v>
      </c>
      <c r="AE64" s="138">
        <f t="shared" si="1"/>
        <v>1.5219252354228274E-3</v>
      </c>
    </row>
    <row r="65" spans="23:31" x14ac:dyDescent="0.25">
      <c r="W65" s="94">
        <v>42527</v>
      </c>
      <c r="X65" s="368">
        <v>210.7</v>
      </c>
      <c r="Y65" s="40">
        <v>211.77</v>
      </c>
      <c r="Z65" s="40">
        <v>210.51</v>
      </c>
      <c r="AA65" s="368">
        <v>211.35</v>
      </c>
      <c r="AB65" s="95">
        <v>64887000</v>
      </c>
      <c r="AC65" s="243">
        <v>210.26</v>
      </c>
      <c r="AD65" s="2">
        <f t="shared" si="0"/>
        <v>1.2600000000000193</v>
      </c>
      <c r="AE65" s="138">
        <f t="shared" si="1"/>
        <v>5.1149672546488834E-3</v>
      </c>
    </row>
    <row r="66" spans="23:31" x14ac:dyDescent="0.25">
      <c r="W66" s="94">
        <v>42524</v>
      </c>
      <c r="X66" s="368">
        <v>210.25</v>
      </c>
      <c r="Y66" s="40">
        <v>210.69</v>
      </c>
      <c r="Z66" s="40">
        <v>208.86</v>
      </c>
      <c r="AA66" s="368">
        <v>210.28</v>
      </c>
      <c r="AB66" s="95">
        <v>101757100</v>
      </c>
      <c r="AC66" s="243">
        <v>209.19</v>
      </c>
      <c r="AD66" s="2">
        <f t="shared" si="0"/>
        <v>1.8299999999999841</v>
      </c>
      <c r="AE66" s="138">
        <f t="shared" si="1"/>
        <v>-3.0025736345439258E-3</v>
      </c>
    </row>
    <row r="67" spans="23:31" x14ac:dyDescent="0.25">
      <c r="W67" s="94">
        <v>42523</v>
      </c>
      <c r="X67" s="368">
        <v>209.8</v>
      </c>
      <c r="Y67" s="40">
        <v>210.93</v>
      </c>
      <c r="Z67" s="40">
        <v>209.24</v>
      </c>
      <c r="AA67" s="368">
        <v>210.91</v>
      </c>
      <c r="AB67" s="95">
        <v>63044700</v>
      </c>
      <c r="AC67" s="243">
        <v>209.82</v>
      </c>
      <c r="AD67" s="2">
        <f t="shared" si="0"/>
        <v>1.6899999999999977</v>
      </c>
      <c r="AE67" s="138">
        <f t="shared" si="1"/>
        <v>3.0595659240844064E-3</v>
      </c>
    </row>
    <row r="68" spans="23:31" x14ac:dyDescent="0.25">
      <c r="W68" s="94">
        <v>42522</v>
      </c>
      <c r="X68" s="10">
        <v>209.12</v>
      </c>
      <c r="Y68" s="40">
        <v>210.48</v>
      </c>
      <c r="Z68" s="40">
        <v>208.89</v>
      </c>
      <c r="AA68" s="10">
        <v>210.27</v>
      </c>
      <c r="AB68" s="95">
        <v>69936200</v>
      </c>
      <c r="AC68" s="243">
        <v>209.18</v>
      </c>
      <c r="AD68" s="2">
        <f>Y68-Z68</f>
        <v>1.5900000000000034</v>
      </c>
      <c r="AE68" s="138" t="e">
        <f>AC68/AC69-1</f>
        <v>#DIV/0!</v>
      </c>
    </row>
    <row r="69" spans="23:31" x14ac:dyDescent="0.25">
      <c r="W69" s="215" t="s">
        <v>122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36" priority="19">
      <formula>F25&gt;0</formula>
    </cfRule>
    <cfRule type="expression" dxfId="435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34" priority="11">
      <formula>F28&gt;0</formula>
    </cfRule>
    <cfRule type="expression" dxfId="433" priority="12">
      <formula>F28&lt;0</formula>
    </cfRule>
  </conditionalFormatting>
  <conditionalFormatting sqref="F28:F35">
    <cfRule type="expression" dxfId="432" priority="13">
      <formula>F28&gt;0</formula>
    </cfRule>
    <cfRule type="expression" dxfId="431" priority="14">
      <formula>F28&lt;0</formula>
    </cfRule>
  </conditionalFormatting>
  <conditionalFormatting sqref="H25:H35">
    <cfRule type="expression" dxfId="430" priority="9">
      <formula>H25&gt;0</formula>
    </cfRule>
    <cfRule type="expression" dxfId="429" priority="10">
      <formula>H25&lt;0</formula>
    </cfRule>
  </conditionalFormatting>
  <conditionalFormatting sqref="F21:F24">
    <cfRule type="expression" dxfId="428" priority="7">
      <formula>F21&gt;0</formula>
    </cfRule>
    <cfRule type="expression" dxfId="427" priority="8">
      <formula>F21&lt;0</formula>
    </cfRule>
  </conditionalFormatting>
  <conditionalFormatting sqref="H21:H24">
    <cfRule type="expression" dxfId="426" priority="5">
      <formula>H21&gt;0</formula>
    </cfRule>
    <cfRule type="expression" dxfId="425" priority="6">
      <formula>H21&lt;0</formula>
    </cfRule>
  </conditionalFormatting>
  <conditionalFormatting sqref="Q8">
    <cfRule type="expression" dxfId="424" priority="1">
      <formula>Q8&gt;0</formula>
    </cfRule>
    <cfRule type="expression" dxfId="423" priority="2">
      <formula>Q8&lt;0</formula>
    </cfRule>
  </conditionalFormatting>
  <conditionalFormatting sqref="Q7">
    <cfRule type="expression" dxfId="422" priority="3">
      <formula>Q7&gt;0</formula>
    </cfRule>
    <cfRule type="expression" dxfId="421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8554687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x14ac:dyDescent="0.25">
      <c r="A2" s="6" t="s">
        <v>178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42615</v>
      </c>
      <c r="X2" s="10">
        <v>75.25</v>
      </c>
      <c r="Y2" s="40">
        <v>75.430000000000007</v>
      </c>
      <c r="Z2" s="40">
        <v>74.209999999999994</v>
      </c>
      <c r="AA2" s="10">
        <v>74.62</v>
      </c>
      <c r="AB2" s="95">
        <v>1508800</v>
      </c>
      <c r="AC2" s="243">
        <v>74.62</v>
      </c>
      <c r="AD2" s="2">
        <f>Y2-Z2</f>
        <v>1.2200000000000131</v>
      </c>
      <c r="AE2" s="138">
        <f>AC2/AC3-1</f>
        <v>-6.259155679850803E-3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73.010000000000005</v>
      </c>
      <c r="T3" s="121"/>
      <c r="W3" s="94">
        <v>42614</v>
      </c>
      <c r="X3" s="10">
        <v>74.790000000000006</v>
      </c>
      <c r="Y3" s="40">
        <v>75.19</v>
      </c>
      <c r="Z3" s="40">
        <v>74.209999999999994</v>
      </c>
      <c r="AA3" s="10">
        <v>75.09</v>
      </c>
      <c r="AB3" s="95">
        <v>2094400</v>
      </c>
      <c r="AC3" s="243">
        <v>75.09</v>
      </c>
      <c r="AD3" s="2">
        <f>Y3-Z3</f>
        <v>0.98000000000000398</v>
      </c>
      <c r="AE3" s="138">
        <f>AC3/AC4-1</f>
        <v>3.0724018167245237E-3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73.010000000000005</v>
      </c>
      <c r="T4" s="121"/>
      <c r="W4" s="94">
        <v>42613</v>
      </c>
      <c r="X4" s="10">
        <v>74.13</v>
      </c>
      <c r="Y4" s="40">
        <v>75.239999999999995</v>
      </c>
      <c r="Z4" s="40">
        <v>73.900000000000006</v>
      </c>
      <c r="AA4" s="10">
        <v>74.86</v>
      </c>
      <c r="AB4" s="95">
        <v>2113900</v>
      </c>
      <c r="AC4" s="243">
        <v>74.86</v>
      </c>
      <c r="AD4" s="2">
        <f t="shared" ref="AD4:AD67" si="0">Y4-Z4</f>
        <v>1.3399999999999892</v>
      </c>
      <c r="AE4" s="138">
        <f t="shared" ref="AE4:AE67" si="1">AC4/AC5-1</f>
        <v>8.8948787061993162E-3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42612</v>
      </c>
      <c r="X5" s="10">
        <v>74.400000000000006</v>
      </c>
      <c r="Y5" s="40">
        <v>75.790000000000006</v>
      </c>
      <c r="Z5" s="40">
        <v>73.84</v>
      </c>
      <c r="AA5" s="10">
        <v>74.2</v>
      </c>
      <c r="AB5" s="95">
        <v>3899200</v>
      </c>
      <c r="AC5" s="243">
        <v>74.2</v>
      </c>
      <c r="AD5" s="2">
        <f t="shared" si="0"/>
        <v>1.9500000000000028</v>
      </c>
      <c r="AE5" s="138">
        <f t="shared" si="1"/>
        <v>-1.3560223344855071E-2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42611</v>
      </c>
      <c r="X6" s="10">
        <v>74.790000000000006</v>
      </c>
      <c r="Y6" s="40">
        <v>75.650000000000006</v>
      </c>
      <c r="Z6" s="40">
        <v>74.5</v>
      </c>
      <c r="AA6" s="10">
        <v>75.22</v>
      </c>
      <c r="AB6" s="95">
        <v>2021900</v>
      </c>
      <c r="AC6" s="243">
        <v>75.22</v>
      </c>
      <c r="AD6" s="2">
        <f t="shared" si="0"/>
        <v>1.1500000000000057</v>
      </c>
      <c r="AE6" s="138">
        <f t="shared" si="1"/>
        <v>5.0774986638160158E-3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P7"/>
      <c r="Q7" s="2">
        <f>Q10+Q8</f>
        <v>1368.8999999999978</v>
      </c>
      <c r="R7">
        <v>0</v>
      </c>
      <c r="T7" s="85"/>
      <c r="W7" s="94">
        <v>42608</v>
      </c>
      <c r="X7" s="10">
        <v>74.349999999999994</v>
      </c>
      <c r="Y7" s="40">
        <v>75</v>
      </c>
      <c r="Z7" s="40">
        <v>73.739999999999995</v>
      </c>
      <c r="AA7" s="10">
        <v>74.84</v>
      </c>
      <c r="AB7" s="95">
        <v>2630300</v>
      </c>
      <c r="AC7" s="243">
        <v>74.84</v>
      </c>
      <c r="AD7" s="2">
        <f t="shared" si="0"/>
        <v>1.2600000000000051</v>
      </c>
      <c r="AE7" s="138">
        <f t="shared" si="1"/>
        <v>6.8612942284407286E-3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Q8" s="2">
        <f>K18+M18-F18+Q2*Q4</f>
        <v>0</v>
      </c>
      <c r="W8" s="94">
        <v>42607</v>
      </c>
      <c r="X8" s="10">
        <v>73.16</v>
      </c>
      <c r="Y8" s="40">
        <v>74.75</v>
      </c>
      <c r="Z8" s="40">
        <v>73.11</v>
      </c>
      <c r="AA8" s="10">
        <v>74.33</v>
      </c>
      <c r="AB8" s="95">
        <v>2791300</v>
      </c>
      <c r="AC8" s="243">
        <v>74.33</v>
      </c>
      <c r="AD8" s="2">
        <f t="shared" si="0"/>
        <v>1.6400000000000006</v>
      </c>
      <c r="AE8" s="138">
        <f t="shared" si="1"/>
        <v>1.4190203301950977E-2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224</v>
      </c>
      <c r="P9"/>
      <c r="Q9" s="138">
        <f>IF(Q2=0, 0, Q8/Q6)</f>
        <v>0</v>
      </c>
      <c r="W9" s="94">
        <v>42606</v>
      </c>
      <c r="X9" s="10">
        <v>73.95</v>
      </c>
      <c r="Y9" s="40">
        <v>74.31</v>
      </c>
      <c r="Z9" s="40">
        <v>72.98</v>
      </c>
      <c r="AA9" s="10">
        <v>73.290000000000006</v>
      </c>
      <c r="AB9" s="95">
        <v>2138500</v>
      </c>
      <c r="AC9" s="243">
        <v>73.290000000000006</v>
      </c>
      <c r="AD9" s="2">
        <f t="shared" si="0"/>
        <v>1.3299999999999983</v>
      </c>
      <c r="AE9" s="138">
        <f t="shared" si="1"/>
        <v>-6.6413662239088733E-3</v>
      </c>
      <c r="AK9" s="234"/>
      <c r="AN9" s="234"/>
    </row>
    <row r="10" spans="1:40" ht="12.75" customHeight="1" x14ac:dyDescent="0.25">
      <c r="H10" s="72"/>
      <c r="O10" s="11" t="s">
        <v>223</v>
      </c>
      <c r="Q10" s="2">
        <f>M48+M61</f>
        <v>1368.8999999999978</v>
      </c>
      <c r="W10" s="94">
        <v>42605</v>
      </c>
      <c r="X10" s="10">
        <v>73.13</v>
      </c>
      <c r="Y10" s="40">
        <v>73.900000000000006</v>
      </c>
      <c r="Z10" s="40">
        <v>72.89</v>
      </c>
      <c r="AA10" s="10">
        <v>73.78</v>
      </c>
      <c r="AB10" s="95">
        <v>1771300</v>
      </c>
      <c r="AC10" s="243">
        <v>73.78</v>
      </c>
      <c r="AD10" s="2">
        <f t="shared" si="0"/>
        <v>1.0100000000000051</v>
      </c>
      <c r="AE10" s="138">
        <f t="shared" si="1"/>
        <v>1.5973561002478709E-2</v>
      </c>
    </row>
    <row r="11" spans="1:40" x14ac:dyDescent="0.25">
      <c r="H11" s="72"/>
      <c r="O11" s="11" t="s">
        <v>184</v>
      </c>
      <c r="Q11" s="138">
        <f>VALUE(TRIM(CLEAN(MID(U55, FIND("(", U55)+1, 5))))</f>
        <v>1.49E-2</v>
      </c>
      <c r="W11" s="94">
        <v>42604</v>
      </c>
      <c r="X11" s="10">
        <v>72.34</v>
      </c>
      <c r="Y11" s="40">
        <v>72.89</v>
      </c>
      <c r="Z11" s="40">
        <v>71.94</v>
      </c>
      <c r="AA11" s="10">
        <v>72.62</v>
      </c>
      <c r="AB11" s="95">
        <v>1735700</v>
      </c>
      <c r="AC11" s="243">
        <v>72.62</v>
      </c>
      <c r="AD11" s="2">
        <f t="shared" si="0"/>
        <v>0.95000000000000284</v>
      </c>
      <c r="AE11" s="138">
        <f t="shared" si="1"/>
        <v>4.564946742287912E-3</v>
      </c>
      <c r="AK11" s="234"/>
      <c r="AN11" s="234"/>
    </row>
    <row r="12" spans="1:40" x14ac:dyDescent="0.25">
      <c r="H12" s="72"/>
      <c r="W12" s="94">
        <v>42601</v>
      </c>
      <c r="X12" s="10">
        <v>71.56</v>
      </c>
      <c r="Y12" s="40">
        <v>73.400000000000006</v>
      </c>
      <c r="Z12" s="40">
        <v>71.56</v>
      </c>
      <c r="AA12" s="10">
        <v>72.290000000000006</v>
      </c>
      <c r="AB12" s="95">
        <v>3110000</v>
      </c>
      <c r="AC12" s="243">
        <v>72.290000000000006</v>
      </c>
      <c r="AD12" s="2">
        <f t="shared" si="0"/>
        <v>1.8400000000000034</v>
      </c>
      <c r="AE12" s="138">
        <f t="shared" si="1"/>
        <v>6.8245125348189717E-3</v>
      </c>
    </row>
    <row r="13" spans="1:40" x14ac:dyDescent="0.25">
      <c r="H13" s="72"/>
      <c r="W13" s="94">
        <v>42600</v>
      </c>
      <c r="X13" s="10">
        <v>70.48</v>
      </c>
      <c r="Y13" s="40">
        <v>72.06</v>
      </c>
      <c r="Z13" s="40">
        <v>70.290000000000006</v>
      </c>
      <c r="AA13" s="10">
        <v>71.8</v>
      </c>
      <c r="AB13" s="95">
        <v>3745500</v>
      </c>
      <c r="AC13" s="243">
        <v>71.8</v>
      </c>
      <c r="AD13" s="2">
        <f t="shared" si="0"/>
        <v>1.769999999999996</v>
      </c>
      <c r="AE13" s="138">
        <f t="shared" si="1"/>
        <v>2.2937740418863095E-2</v>
      </c>
      <c r="AK13" s="234"/>
      <c r="AN13" s="234"/>
    </row>
    <row r="14" spans="1:40" x14ac:dyDescent="0.25">
      <c r="H14" s="72"/>
      <c r="T14" s="84"/>
      <c r="U14" s="11"/>
      <c r="W14" s="94">
        <v>42599</v>
      </c>
      <c r="X14" s="10">
        <v>69.7</v>
      </c>
      <c r="Y14" s="40">
        <v>70.42</v>
      </c>
      <c r="Z14" s="40">
        <v>69.2</v>
      </c>
      <c r="AA14" s="10">
        <v>70.19</v>
      </c>
      <c r="AB14" s="95">
        <v>3107200</v>
      </c>
      <c r="AC14" s="243">
        <v>70.19</v>
      </c>
      <c r="AD14" s="2">
        <f t="shared" si="0"/>
        <v>1.2199999999999989</v>
      </c>
      <c r="AE14" s="138">
        <f t="shared" si="1"/>
        <v>8.4770114942529506E-3</v>
      </c>
    </row>
    <row r="15" spans="1:40" x14ac:dyDescent="0.25">
      <c r="H15" s="72"/>
      <c r="W15" s="94">
        <v>42598</v>
      </c>
      <c r="X15" s="10">
        <v>69.349999999999994</v>
      </c>
      <c r="Y15" s="40">
        <v>69.81</v>
      </c>
      <c r="Z15" s="40">
        <v>68.599999999999994</v>
      </c>
      <c r="AA15" s="10">
        <v>69.599999999999994</v>
      </c>
      <c r="AB15" s="95">
        <v>2404300</v>
      </c>
      <c r="AC15" s="243">
        <v>69.599999999999994</v>
      </c>
      <c r="AD15" s="2">
        <f t="shared" si="0"/>
        <v>1.210000000000008</v>
      </c>
      <c r="AE15" s="138">
        <f t="shared" si="1"/>
        <v>1.4388489208632116E-3</v>
      </c>
      <c r="AK15" s="234"/>
      <c r="AN15" s="234"/>
    </row>
    <row r="16" spans="1:40" x14ac:dyDescent="0.25">
      <c r="H16" s="72"/>
      <c r="W16" s="94">
        <v>42597</v>
      </c>
      <c r="X16" s="10">
        <v>67.61</v>
      </c>
      <c r="Y16" s="40">
        <v>69.59</v>
      </c>
      <c r="Z16" s="40">
        <v>67.55</v>
      </c>
      <c r="AA16" s="10">
        <v>69.5</v>
      </c>
      <c r="AB16" s="95">
        <v>2218300</v>
      </c>
      <c r="AC16" s="243">
        <v>69.5</v>
      </c>
      <c r="AD16" s="2">
        <f t="shared" si="0"/>
        <v>2.0400000000000063</v>
      </c>
      <c r="AE16" s="138">
        <f t="shared" si="1"/>
        <v>2.9172219754183271E-2</v>
      </c>
    </row>
    <row r="17" spans="1:40" x14ac:dyDescent="0.25">
      <c r="H17" s="72"/>
      <c r="W17" s="94">
        <v>42594</v>
      </c>
      <c r="X17" s="10">
        <v>67.45</v>
      </c>
      <c r="Y17" s="40">
        <v>67.849999999999994</v>
      </c>
      <c r="Z17" s="40">
        <v>67.010000000000005</v>
      </c>
      <c r="AA17" s="10">
        <v>67.53</v>
      </c>
      <c r="AB17" s="95">
        <v>1452200</v>
      </c>
      <c r="AC17" s="243">
        <v>67.53</v>
      </c>
      <c r="AD17" s="2">
        <f t="shared" si="0"/>
        <v>0.8399999999999892</v>
      </c>
      <c r="AE17" s="138">
        <f t="shared" si="1"/>
        <v>1.7801513128616886E-3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42593</v>
      </c>
      <c r="X18" s="10">
        <v>66.38</v>
      </c>
      <c r="Y18" s="40">
        <v>67.58</v>
      </c>
      <c r="Z18" s="40">
        <v>66.22</v>
      </c>
      <c r="AA18" s="10">
        <v>67.41</v>
      </c>
      <c r="AB18" s="95">
        <v>1580000</v>
      </c>
      <c r="AC18" s="243">
        <v>67.41</v>
      </c>
      <c r="AD18" s="2">
        <f t="shared" si="0"/>
        <v>1.3599999999999994</v>
      </c>
      <c r="AE18" s="138">
        <f t="shared" si="1"/>
        <v>1.5057973196807684E-2</v>
      </c>
    </row>
    <row r="19" spans="1:40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42592</v>
      </c>
      <c r="X19" s="10">
        <v>67.03</v>
      </c>
      <c r="Y19" s="40">
        <v>67.040000000000006</v>
      </c>
      <c r="Z19" s="40">
        <v>65.7</v>
      </c>
      <c r="AA19" s="10">
        <v>66.41</v>
      </c>
      <c r="AB19" s="95">
        <v>1385400</v>
      </c>
      <c r="AC19" s="243">
        <v>66.41</v>
      </c>
      <c r="AD19" s="2">
        <f t="shared" si="0"/>
        <v>1.3400000000000034</v>
      </c>
      <c r="AE19" s="138">
        <f t="shared" si="1"/>
        <v>-8.8059701492537723E-3</v>
      </c>
      <c r="AK19" s="234"/>
      <c r="AN19" s="234"/>
    </row>
    <row r="20" spans="1:40" x14ac:dyDescent="0.25">
      <c r="W20" s="94">
        <v>42591</v>
      </c>
      <c r="X20" s="10">
        <v>66.45</v>
      </c>
      <c r="Y20" s="40">
        <v>67.64</v>
      </c>
      <c r="Z20" s="40">
        <v>66.33</v>
      </c>
      <c r="AA20" s="10">
        <v>67</v>
      </c>
      <c r="AB20" s="95">
        <v>1724800</v>
      </c>
      <c r="AC20" s="243">
        <v>67</v>
      </c>
      <c r="AD20" s="2">
        <f t="shared" si="0"/>
        <v>1.3100000000000023</v>
      </c>
      <c r="AE20" s="138">
        <f t="shared" si="1"/>
        <v>1.6075219896875881E-2</v>
      </c>
    </row>
    <row r="21" spans="1:40" x14ac:dyDescent="0.25">
      <c r="W21" s="94">
        <v>42590</v>
      </c>
      <c r="X21" s="10">
        <v>66.569999999999993</v>
      </c>
      <c r="Y21" s="40">
        <v>67.22</v>
      </c>
      <c r="Z21" s="40">
        <v>65.72</v>
      </c>
      <c r="AA21" s="10">
        <v>65.94</v>
      </c>
      <c r="AB21" s="95">
        <v>1236300</v>
      </c>
      <c r="AC21" s="243">
        <v>65.94</v>
      </c>
      <c r="AD21" s="2">
        <f t="shared" si="0"/>
        <v>1.5</v>
      </c>
      <c r="AE21" s="138">
        <f t="shared" si="1"/>
        <v>-9.1660405709992343E-3</v>
      </c>
      <c r="AK21" s="234"/>
      <c r="AN21" s="234"/>
    </row>
    <row r="22" spans="1:40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4" t="s">
        <v>65</v>
      </c>
      <c r="G22" s="229" t="s">
        <v>155</v>
      </c>
      <c r="H22" s="229" t="s">
        <v>88</v>
      </c>
      <c r="I22" s="229" t="s">
        <v>161</v>
      </c>
      <c r="W22" s="94">
        <v>42587</v>
      </c>
      <c r="X22" s="10">
        <v>65.59</v>
      </c>
      <c r="Y22" s="40">
        <v>66.569999999999993</v>
      </c>
      <c r="Z22" s="40">
        <v>65.14</v>
      </c>
      <c r="AA22" s="10">
        <v>66.55</v>
      </c>
      <c r="AB22" s="95">
        <v>2178500</v>
      </c>
      <c r="AC22" s="243">
        <v>66.55</v>
      </c>
      <c r="AD22" s="2">
        <f t="shared" si="0"/>
        <v>1.4299999999999926</v>
      </c>
      <c r="AE22" s="138">
        <f t="shared" si="1"/>
        <v>2.1332105586249206E-2</v>
      </c>
    </row>
    <row r="23" spans="1:40" x14ac:dyDescent="0.25">
      <c r="B23" s="193">
        <v>42546</v>
      </c>
      <c r="C23" s="456">
        <v>60</v>
      </c>
      <c r="D23" s="458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42586</v>
      </c>
      <c r="X23" s="10">
        <v>64.45</v>
      </c>
      <c r="Y23" s="40">
        <v>65.260000000000005</v>
      </c>
      <c r="Z23" s="40">
        <v>64.02</v>
      </c>
      <c r="AA23" s="10">
        <v>65.16</v>
      </c>
      <c r="AB23" s="95">
        <v>3069800</v>
      </c>
      <c r="AC23" s="243">
        <v>65.16</v>
      </c>
      <c r="AD23" s="2">
        <f t="shared" si="0"/>
        <v>1.2400000000000091</v>
      </c>
      <c r="AE23" s="138">
        <f t="shared" si="1"/>
        <v>1.1958378630221977E-2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42585</v>
      </c>
      <c r="X24" s="10">
        <v>63.33</v>
      </c>
      <c r="Y24" s="40">
        <v>65.03</v>
      </c>
      <c r="Z24" s="40">
        <v>63.3</v>
      </c>
      <c r="AA24" s="10">
        <v>64.39</v>
      </c>
      <c r="AB24" s="95">
        <v>3477200</v>
      </c>
      <c r="AC24" s="243">
        <v>64.39</v>
      </c>
      <c r="AD24" s="2">
        <f t="shared" si="0"/>
        <v>1.730000000000004</v>
      </c>
      <c r="AE24" s="138">
        <f t="shared" si="1"/>
        <v>-9.9938499384994994E-3</v>
      </c>
    </row>
    <row r="25" spans="1:40" x14ac:dyDescent="0.25">
      <c r="B25" s="193">
        <v>42549</v>
      </c>
      <c r="C25" s="469">
        <v>120</v>
      </c>
      <c r="D25" s="482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42584</v>
      </c>
      <c r="X25" s="10">
        <v>65.569999999999993</v>
      </c>
      <c r="Y25" s="40">
        <v>65.959999999999994</v>
      </c>
      <c r="Z25" s="40">
        <v>64.430000000000007</v>
      </c>
      <c r="AA25" s="10">
        <v>65.040000000000006</v>
      </c>
      <c r="AB25" s="95">
        <v>2304100</v>
      </c>
      <c r="AC25" s="243">
        <v>65.040000000000006</v>
      </c>
      <c r="AD25" s="2">
        <f t="shared" si="0"/>
        <v>1.5299999999999869</v>
      </c>
      <c r="AE25" s="138" t="e">
        <f t="shared" si="1"/>
        <v>#DIV/0!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42584</v>
      </c>
      <c r="X26" s="10" t="s">
        <v>327</v>
      </c>
      <c r="Y26" s="40"/>
      <c r="Z26" s="40"/>
      <c r="AA26" s="10"/>
      <c r="AB26" s="95"/>
      <c r="AC26" s="243"/>
      <c r="AD26" s="2">
        <f t="shared" si="0"/>
        <v>0</v>
      </c>
      <c r="AE26" s="138">
        <f t="shared" si="1"/>
        <v>-1</v>
      </c>
    </row>
    <row r="27" spans="1:40" x14ac:dyDescent="0.25">
      <c r="B27" s="193">
        <v>42551</v>
      </c>
      <c r="C27" s="444">
        <v>60</v>
      </c>
      <c r="D27" s="463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42583</v>
      </c>
      <c r="X27" s="10">
        <v>65.92</v>
      </c>
      <c r="Y27" s="40">
        <v>66.87</v>
      </c>
      <c r="Z27" s="40">
        <v>65.8</v>
      </c>
      <c r="AA27" s="10">
        <v>66.14</v>
      </c>
      <c r="AB27" s="95">
        <v>2073400</v>
      </c>
      <c r="AC27" s="243">
        <v>65.86</v>
      </c>
      <c r="AD27" s="2">
        <f t="shared" si="0"/>
        <v>1.0700000000000074</v>
      </c>
      <c r="AE27" s="138">
        <f t="shared" si="1"/>
        <v>1.8253726802557324E-3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42580</v>
      </c>
      <c r="X28" s="10">
        <v>66.48</v>
      </c>
      <c r="Y28" s="40">
        <v>66.7</v>
      </c>
      <c r="Z28" s="40">
        <v>65.5</v>
      </c>
      <c r="AA28" s="10">
        <v>66.02</v>
      </c>
      <c r="AB28" s="95">
        <v>1577000</v>
      </c>
      <c r="AC28" s="243">
        <v>65.739999999999995</v>
      </c>
      <c r="AD28" s="2">
        <f t="shared" si="0"/>
        <v>1.2000000000000028</v>
      </c>
      <c r="AE28" s="138">
        <f t="shared" si="1"/>
        <v>-6.7986100619429335E-3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42579</v>
      </c>
      <c r="X29" s="10">
        <v>66.17</v>
      </c>
      <c r="Y29" s="40">
        <v>66.59</v>
      </c>
      <c r="Z29" s="40">
        <v>65.2</v>
      </c>
      <c r="AA29" s="10">
        <v>66.47</v>
      </c>
      <c r="AB29" s="95">
        <v>2332100</v>
      </c>
      <c r="AC29" s="243">
        <v>66.19</v>
      </c>
      <c r="AD29" s="2">
        <f t="shared" si="0"/>
        <v>1.3900000000000006</v>
      </c>
      <c r="AE29" s="138">
        <f t="shared" si="1"/>
        <v>0</v>
      </c>
    </row>
    <row r="30" spans="1:40" x14ac:dyDescent="0.25">
      <c r="B30" s="193">
        <v>42557</v>
      </c>
      <c r="C30" s="429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42578</v>
      </c>
      <c r="X30" s="10">
        <v>68.14</v>
      </c>
      <c r="Y30" s="40">
        <v>68.19</v>
      </c>
      <c r="Z30" s="40">
        <v>66.22</v>
      </c>
      <c r="AA30" s="10">
        <v>66.47</v>
      </c>
      <c r="AB30" s="95">
        <v>4701500</v>
      </c>
      <c r="AC30" s="243">
        <v>66.19</v>
      </c>
      <c r="AD30" s="2">
        <f t="shared" si="0"/>
        <v>1.9699999999999989</v>
      </c>
      <c r="AE30" s="138">
        <f t="shared" si="1"/>
        <v>9.147735935356005E-3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42577</v>
      </c>
      <c r="X31" s="10">
        <v>65.36</v>
      </c>
      <c r="Y31" s="40">
        <v>66.38</v>
      </c>
      <c r="Z31" s="40">
        <v>64.05</v>
      </c>
      <c r="AA31" s="10">
        <v>65.87</v>
      </c>
      <c r="AB31" s="95">
        <v>4316900</v>
      </c>
      <c r="AC31" s="243">
        <v>65.59</v>
      </c>
      <c r="AD31" s="2">
        <f t="shared" si="0"/>
        <v>2.3299999999999983</v>
      </c>
      <c r="AE31" s="138">
        <f t="shared" si="1"/>
        <v>1.422607082109173E-2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42576</v>
      </c>
      <c r="X32" s="10">
        <v>64.989999999999995</v>
      </c>
      <c r="Y32" s="40">
        <v>65.52</v>
      </c>
      <c r="Z32" s="40">
        <v>64.680000000000007</v>
      </c>
      <c r="AA32" s="10">
        <v>64.94</v>
      </c>
      <c r="AB32" s="95">
        <v>4223700</v>
      </c>
      <c r="AC32" s="243">
        <v>64.67</v>
      </c>
      <c r="AD32" s="2">
        <f t="shared" si="0"/>
        <v>0.8399999999999892</v>
      </c>
      <c r="AE32" s="138">
        <f t="shared" si="1"/>
        <v>2.014254725751341E-3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42573</v>
      </c>
      <c r="X33" s="10">
        <v>66.739999999999995</v>
      </c>
      <c r="Y33" s="40">
        <v>67.150000000000006</v>
      </c>
      <c r="Z33" s="40">
        <v>62.4</v>
      </c>
      <c r="AA33" s="10">
        <v>64.81</v>
      </c>
      <c r="AB33" s="95">
        <v>12772200</v>
      </c>
      <c r="AC33" s="243">
        <v>64.540000000000006</v>
      </c>
      <c r="AD33" s="2">
        <f t="shared" si="0"/>
        <v>4.7500000000000071</v>
      </c>
      <c r="AE33" s="138">
        <f t="shared" si="1"/>
        <v>-8.6094590767487933E-2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42572</v>
      </c>
      <c r="X34" s="10">
        <v>70</v>
      </c>
      <c r="Y34" s="40">
        <v>71.33</v>
      </c>
      <c r="Z34" s="40">
        <v>69.760000000000005</v>
      </c>
      <c r="AA34" s="10">
        <v>70.92</v>
      </c>
      <c r="AB34" s="95">
        <v>5387400</v>
      </c>
      <c r="AC34" s="243">
        <v>70.62</v>
      </c>
      <c r="AD34" s="2">
        <f t="shared" si="0"/>
        <v>1.5699999999999932</v>
      </c>
      <c r="AE34" s="138">
        <f t="shared" si="1"/>
        <v>2.0520231213872808E-2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42571</v>
      </c>
      <c r="X35" s="10">
        <v>68.47</v>
      </c>
      <c r="Y35" s="40">
        <v>69.8</v>
      </c>
      <c r="Z35" s="40">
        <v>67.959999999999994</v>
      </c>
      <c r="AA35" s="10">
        <v>69.489999999999995</v>
      </c>
      <c r="AB35" s="95">
        <v>3220800</v>
      </c>
      <c r="AC35" s="243">
        <v>69.2</v>
      </c>
      <c r="AD35" s="2">
        <f t="shared" si="0"/>
        <v>1.8400000000000034</v>
      </c>
      <c r="AE35" s="138">
        <f t="shared" si="1"/>
        <v>1.7048794826572511E-2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303</v>
      </c>
      <c r="O36" s="11"/>
      <c r="P36" s="259" t="s">
        <v>78</v>
      </c>
      <c r="Q36" s="259"/>
      <c r="R36" s="34"/>
      <c r="W36" s="94">
        <v>42570</v>
      </c>
      <c r="X36" s="10">
        <v>68.33</v>
      </c>
      <c r="Y36" s="40">
        <v>68.55</v>
      </c>
      <c r="Z36" s="40">
        <v>67.81</v>
      </c>
      <c r="AA36" s="10">
        <v>68.33</v>
      </c>
      <c r="AB36" s="95">
        <v>1464400</v>
      </c>
      <c r="AC36" s="243">
        <v>68.040000000000006</v>
      </c>
      <c r="AD36" s="2">
        <f t="shared" si="0"/>
        <v>0.73999999999999488</v>
      </c>
      <c r="AE36" s="138">
        <f t="shared" si="1"/>
        <v>-5.4085659991227608E-3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80.311000000000007</v>
      </c>
      <c r="R37" s="34"/>
      <c r="W37" s="94">
        <v>42569</v>
      </c>
      <c r="X37" s="10">
        <v>68.180000000000007</v>
      </c>
      <c r="Y37" s="40">
        <v>68.95</v>
      </c>
      <c r="Z37" s="40">
        <v>67.709999999999994</v>
      </c>
      <c r="AA37" s="10">
        <v>68.7</v>
      </c>
      <c r="AB37" s="95">
        <v>1951400</v>
      </c>
      <c r="AC37" s="243">
        <v>68.41</v>
      </c>
      <c r="AD37" s="2">
        <f t="shared" si="0"/>
        <v>1.2400000000000091</v>
      </c>
      <c r="AE37" s="138">
        <f t="shared" si="1"/>
        <v>1.9523099850968784E-2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311</v>
      </c>
      <c r="O38" s="2"/>
      <c r="P38" s="83">
        <v>1.0900000000000001</v>
      </c>
      <c r="Q38" s="83">
        <f t="shared" ref="Q38:Q57" si="48">P38*$Q$4</f>
        <v>79.580900000000014</v>
      </c>
      <c r="R38" s="34"/>
      <c r="W38" s="94">
        <v>42566</v>
      </c>
      <c r="X38" s="10">
        <v>67.72</v>
      </c>
      <c r="Y38" s="40">
        <v>67.739999999999995</v>
      </c>
      <c r="Z38" s="40">
        <v>67.02</v>
      </c>
      <c r="AA38" s="10">
        <v>67.39</v>
      </c>
      <c r="AB38" s="95">
        <v>1791400</v>
      </c>
      <c r="AC38" s="243">
        <v>67.099999999999994</v>
      </c>
      <c r="AD38" s="2">
        <f t="shared" si="0"/>
        <v>0.71999999999999886</v>
      </c>
      <c r="AE38" s="138">
        <f t="shared" si="1"/>
        <v>0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78.850800000000007</v>
      </c>
      <c r="R39" s="34"/>
      <c r="T39" s="91" t="s">
        <v>113</v>
      </c>
      <c r="W39" s="94">
        <v>42565</v>
      </c>
      <c r="X39" s="10">
        <v>66.31</v>
      </c>
      <c r="Y39" s="40">
        <v>67.599999999999994</v>
      </c>
      <c r="Z39" s="40">
        <v>65.48</v>
      </c>
      <c r="AA39" s="10">
        <v>67.39</v>
      </c>
      <c r="AB39" s="95">
        <v>2088400</v>
      </c>
      <c r="AC39" s="243">
        <v>67.099999999999994</v>
      </c>
      <c r="AD39" s="2">
        <f t="shared" si="0"/>
        <v>2.1199999999999903</v>
      </c>
      <c r="AE39" s="138">
        <f t="shared" si="1"/>
        <v>3.1197172276010487E-2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78.120700000000014</v>
      </c>
      <c r="R40" s="83"/>
      <c r="T40" s="97" t="s">
        <v>98</v>
      </c>
      <c r="U40" s="129">
        <v>75.09</v>
      </c>
      <c r="W40" s="94">
        <v>42564</v>
      </c>
      <c r="X40" s="10">
        <v>66.44</v>
      </c>
      <c r="Y40" s="40">
        <v>66.48</v>
      </c>
      <c r="Z40" s="40">
        <v>65.08</v>
      </c>
      <c r="AA40" s="10">
        <v>65.349999999999994</v>
      </c>
      <c r="AB40" s="95">
        <v>1940300</v>
      </c>
      <c r="AC40" s="243">
        <v>65.069999999999993</v>
      </c>
      <c r="AD40" s="2">
        <f t="shared" si="0"/>
        <v>1.4000000000000057</v>
      </c>
      <c r="AE40" s="138">
        <f t="shared" si="1"/>
        <v>-6.8681318681319548E-3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77.390600000000006</v>
      </c>
      <c r="R41" s="83"/>
      <c r="T41" s="87" t="s">
        <v>99</v>
      </c>
      <c r="U41" s="130">
        <v>75.25</v>
      </c>
      <c r="W41" s="94">
        <v>42563</v>
      </c>
      <c r="X41" s="10">
        <v>65.489999999999995</v>
      </c>
      <c r="Y41" s="40">
        <v>66.42</v>
      </c>
      <c r="Z41" s="40">
        <v>65.209999999999994</v>
      </c>
      <c r="AA41" s="10">
        <v>65.8</v>
      </c>
      <c r="AB41" s="95">
        <v>2073700</v>
      </c>
      <c r="AC41" s="243">
        <v>65.52</v>
      </c>
      <c r="AD41" s="2">
        <f t="shared" si="0"/>
        <v>1.210000000000008</v>
      </c>
      <c r="AE41" s="138">
        <f t="shared" si="1"/>
        <v>1.7865465278856574E-2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76.660500000000013</v>
      </c>
      <c r="R42" s="83"/>
      <c r="T42" s="87" t="s">
        <v>100</v>
      </c>
      <c r="U42" s="130" t="s">
        <v>409</v>
      </c>
      <c r="W42" s="94">
        <v>42562</v>
      </c>
      <c r="X42" s="10">
        <v>63.6</v>
      </c>
      <c r="Y42" s="40">
        <v>65.2</v>
      </c>
      <c r="Z42" s="40">
        <v>63.57</v>
      </c>
      <c r="AA42" s="10">
        <v>64.64</v>
      </c>
      <c r="AB42" s="95">
        <v>2179200</v>
      </c>
      <c r="AC42" s="243">
        <v>64.37</v>
      </c>
      <c r="AD42" s="2">
        <f t="shared" si="0"/>
        <v>1.6300000000000026</v>
      </c>
      <c r="AE42" s="138">
        <f t="shared" si="1"/>
        <v>2.761813537675617E-2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75.930400000000006</v>
      </c>
      <c r="R43" s="83"/>
      <c r="T43" s="87" t="s">
        <v>101</v>
      </c>
      <c r="U43" s="130" t="s">
        <v>410</v>
      </c>
      <c r="W43" s="94">
        <v>42559</v>
      </c>
      <c r="X43" s="10">
        <v>61.67</v>
      </c>
      <c r="Y43" s="40">
        <v>63.15</v>
      </c>
      <c r="Z43" s="40">
        <v>61.52</v>
      </c>
      <c r="AA43" s="10">
        <v>62.91</v>
      </c>
      <c r="AB43" s="95">
        <v>2299100</v>
      </c>
      <c r="AC43" s="243">
        <v>62.64</v>
      </c>
      <c r="AD43" s="2">
        <f t="shared" si="0"/>
        <v>1.6299999999999955</v>
      </c>
      <c r="AE43" s="138">
        <f t="shared" si="1"/>
        <v>3.3151904997525961E-2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75.200300000000013</v>
      </c>
      <c r="R44" s="83"/>
      <c r="T44" s="87" t="s">
        <v>102</v>
      </c>
      <c r="U44" s="130">
        <v>83.17</v>
      </c>
      <c r="W44" s="94">
        <v>42558</v>
      </c>
      <c r="X44" s="10">
        <v>59.39</v>
      </c>
      <c r="Y44" s="40">
        <v>61.2</v>
      </c>
      <c r="Z44" s="40">
        <v>59.34</v>
      </c>
      <c r="AA44" s="10">
        <v>60.89</v>
      </c>
      <c r="AB44" s="95">
        <v>2860000</v>
      </c>
      <c r="AC44" s="243">
        <v>60.63</v>
      </c>
      <c r="AD44" s="2">
        <f t="shared" si="0"/>
        <v>1.8599999999999994</v>
      </c>
      <c r="AE44" s="138">
        <f t="shared" si="1"/>
        <v>2.9197080291970989E-2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74.470200000000006</v>
      </c>
      <c r="R45" s="83"/>
      <c r="T45" s="87" t="s">
        <v>103</v>
      </c>
      <c r="U45" s="130">
        <v>0.69600899999999999</v>
      </c>
      <c r="W45" s="94">
        <v>42557</v>
      </c>
      <c r="X45" s="10">
        <v>58.25</v>
      </c>
      <c r="Y45" s="40">
        <v>59.26</v>
      </c>
      <c r="Z45" s="40">
        <v>57.19</v>
      </c>
      <c r="AA45" s="10">
        <v>59.16</v>
      </c>
      <c r="AB45" s="95">
        <v>3848000</v>
      </c>
      <c r="AC45" s="243">
        <v>58.91</v>
      </c>
      <c r="AD45" s="2">
        <f t="shared" si="0"/>
        <v>2.0700000000000003</v>
      </c>
      <c r="AE45" s="138">
        <f t="shared" si="1"/>
        <v>5.8050196346250971E-3</v>
      </c>
    </row>
    <row r="46" spans="1:31" x14ac:dyDescent="0.25">
      <c r="O46" s="2"/>
      <c r="P46" s="83">
        <v>1.01</v>
      </c>
      <c r="Q46" s="83">
        <f t="shared" si="48"/>
        <v>73.740100000000012</v>
      </c>
      <c r="R46" s="83"/>
      <c r="T46" s="87" t="s">
        <v>123</v>
      </c>
      <c r="U46" s="94" t="s">
        <v>331</v>
      </c>
      <c r="W46" s="94">
        <v>42556</v>
      </c>
      <c r="X46" s="10">
        <v>60.67</v>
      </c>
      <c r="Y46" s="40">
        <v>60.74</v>
      </c>
      <c r="Z46" s="40">
        <v>58.08</v>
      </c>
      <c r="AA46" s="10">
        <v>58.82</v>
      </c>
      <c r="AB46" s="95">
        <v>3668100</v>
      </c>
      <c r="AC46" s="243">
        <v>58.57</v>
      </c>
      <c r="AD46" s="2">
        <f t="shared" si="0"/>
        <v>2.6600000000000037</v>
      </c>
      <c r="AE46" s="138">
        <f t="shared" si="1"/>
        <v>-6.0324081501684557E-2</v>
      </c>
    </row>
    <row r="47" spans="1:31" x14ac:dyDescent="0.25">
      <c r="O47" s="2"/>
      <c r="P47" s="83">
        <v>1</v>
      </c>
      <c r="Q47" s="83">
        <f t="shared" si="48"/>
        <v>73.010000000000005</v>
      </c>
      <c r="R47" s="83"/>
      <c r="T47" s="87"/>
      <c r="U47" s="130"/>
      <c r="W47" s="94">
        <v>42552</v>
      </c>
      <c r="X47" s="10">
        <v>62.48</v>
      </c>
      <c r="Y47" s="40">
        <v>63.22</v>
      </c>
      <c r="Z47" s="40">
        <v>61.87</v>
      </c>
      <c r="AA47" s="10">
        <v>62.6</v>
      </c>
      <c r="AB47" s="95">
        <v>2110200</v>
      </c>
      <c r="AC47" s="243">
        <v>62.33</v>
      </c>
      <c r="AD47" s="2">
        <f t="shared" si="0"/>
        <v>1.3500000000000014</v>
      </c>
      <c r="AE47" s="138">
        <f t="shared" si="1"/>
        <v>-1.079193778765275E-2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4">
        <f>K59+M59-F59</f>
        <v>414.59000000000015</v>
      </c>
      <c r="O48" s="2"/>
      <c r="P48" s="83">
        <v>0.99</v>
      </c>
      <c r="Q48" s="83">
        <f t="shared" si="48"/>
        <v>72.279899999999998</v>
      </c>
      <c r="R48" s="83"/>
      <c r="T48" s="87" t="s">
        <v>105</v>
      </c>
      <c r="U48" s="130" t="s">
        <v>411</v>
      </c>
      <c r="W48" s="94">
        <v>42551</v>
      </c>
      <c r="X48" s="10">
        <v>62.03</v>
      </c>
      <c r="Y48" s="40">
        <v>63.31</v>
      </c>
      <c r="Z48" s="40">
        <v>61.68</v>
      </c>
      <c r="AA48" s="10">
        <v>63.28</v>
      </c>
      <c r="AB48" s="95">
        <v>3375700</v>
      </c>
      <c r="AC48" s="243">
        <v>63.01</v>
      </c>
      <c r="AD48" s="2">
        <f t="shared" si="0"/>
        <v>1.6300000000000026</v>
      </c>
      <c r="AE48" s="138">
        <f t="shared" si="1"/>
        <v>2.5052871319342751E-2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71.549800000000005</v>
      </c>
      <c r="R49" s="83"/>
      <c r="T49" s="87" t="s">
        <v>106</v>
      </c>
      <c r="U49" s="130" t="s">
        <v>323</v>
      </c>
      <c r="W49" s="94">
        <v>42550</v>
      </c>
      <c r="X49" s="10">
        <v>61.08</v>
      </c>
      <c r="Y49" s="40">
        <v>62.23</v>
      </c>
      <c r="Z49" s="40">
        <v>60.75</v>
      </c>
      <c r="AA49" s="10">
        <v>61.73</v>
      </c>
      <c r="AB49" s="95">
        <v>2155700</v>
      </c>
      <c r="AC49" s="243">
        <v>61.47</v>
      </c>
      <c r="AD49" s="2">
        <f t="shared" si="0"/>
        <v>1.4799999999999969</v>
      </c>
      <c r="AE49" s="138">
        <f t="shared" si="1"/>
        <v>2.4499999999999966E-2</v>
      </c>
    </row>
    <row r="50" spans="1:31" x14ac:dyDescent="0.25">
      <c r="A50" s="265" t="s">
        <v>178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70.819699999999997</v>
      </c>
      <c r="R50" s="83"/>
      <c r="T50" s="87" t="s">
        <v>107</v>
      </c>
      <c r="U50" s="131">
        <v>1509550</v>
      </c>
      <c r="W50" s="94">
        <v>42549</v>
      </c>
      <c r="X50" s="10">
        <v>59.29</v>
      </c>
      <c r="Y50" s="40">
        <v>60.77</v>
      </c>
      <c r="Z50" s="40">
        <v>59.13</v>
      </c>
      <c r="AA50" s="10">
        <v>60.26</v>
      </c>
      <c r="AB50" s="95">
        <v>3095500</v>
      </c>
      <c r="AC50" s="243">
        <v>60</v>
      </c>
      <c r="AD50" s="2">
        <f t="shared" si="0"/>
        <v>1.6400000000000006</v>
      </c>
      <c r="AE50" s="138">
        <f t="shared" si="1"/>
        <v>3.8781163434903121E-2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70.089600000000004</v>
      </c>
      <c r="R51" s="83"/>
      <c r="T51" s="87" t="s">
        <v>110</v>
      </c>
      <c r="U51" s="131">
        <v>2712200</v>
      </c>
      <c r="W51" s="94">
        <v>42548</v>
      </c>
      <c r="X51" s="10">
        <v>60.16</v>
      </c>
      <c r="Y51" s="40">
        <v>60.8</v>
      </c>
      <c r="Z51" s="40">
        <v>57.11</v>
      </c>
      <c r="AA51" s="10">
        <v>58.01</v>
      </c>
      <c r="AB51" s="95">
        <v>5188700</v>
      </c>
      <c r="AC51" s="243">
        <v>57.76</v>
      </c>
      <c r="AD51" s="2">
        <f t="shared" si="0"/>
        <v>3.6899999999999977</v>
      </c>
      <c r="AE51" s="138">
        <f t="shared" si="1"/>
        <v>-5.8516707416462976E-2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69.359499999999997</v>
      </c>
      <c r="R52" s="83"/>
      <c r="T52" s="87" t="s">
        <v>108</v>
      </c>
      <c r="U52" s="130" t="s">
        <v>412</v>
      </c>
      <c r="W52" s="94">
        <v>42545</v>
      </c>
      <c r="X52" s="10">
        <v>64</v>
      </c>
      <c r="Y52" s="40">
        <v>65.09</v>
      </c>
      <c r="Z52" s="40">
        <v>61.37</v>
      </c>
      <c r="AA52" s="10">
        <v>61.61</v>
      </c>
      <c r="AB52" s="95">
        <v>3913500</v>
      </c>
      <c r="AC52" s="243">
        <v>61.35</v>
      </c>
      <c r="AD52" s="2">
        <f t="shared" si="0"/>
        <v>3.720000000000006</v>
      </c>
      <c r="AE52" s="138">
        <f t="shared" si="1"/>
        <v>-8.3370685791125165E-2</v>
      </c>
    </row>
    <row r="53" spans="1:31" x14ac:dyDescent="0.25">
      <c r="A53" s="261"/>
      <c r="B53" s="266">
        <v>42402</v>
      </c>
      <c r="C53" s="275">
        <v>30</v>
      </c>
      <c r="D53" s="373">
        <v>67.2</v>
      </c>
      <c r="E53" s="373">
        <v>0</v>
      </c>
      <c r="F53" s="373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68.629400000000004</v>
      </c>
      <c r="R53" s="83"/>
      <c r="T53" s="87" t="s">
        <v>111</v>
      </c>
      <c r="U53" s="130">
        <v>14.78</v>
      </c>
      <c r="W53" s="94">
        <v>42544</v>
      </c>
      <c r="X53" s="10">
        <v>66.23</v>
      </c>
      <c r="Y53" s="40">
        <v>67.23</v>
      </c>
      <c r="Z53" s="40">
        <v>65.83</v>
      </c>
      <c r="AA53" s="10">
        <v>67.209999999999994</v>
      </c>
      <c r="AB53" s="95">
        <v>1462900</v>
      </c>
      <c r="AC53" s="243">
        <v>66.930000000000007</v>
      </c>
      <c r="AD53" s="2">
        <f t="shared" si="0"/>
        <v>1.4000000000000057</v>
      </c>
      <c r="AE53" s="138">
        <f t="shared" si="1"/>
        <v>2.8584601198709203E-2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67.899300000000011</v>
      </c>
      <c r="R54" s="83"/>
      <c r="T54" s="87" t="s">
        <v>112</v>
      </c>
      <c r="U54" s="130">
        <v>5.05</v>
      </c>
      <c r="W54" s="94">
        <v>42543</v>
      </c>
      <c r="X54" s="10">
        <v>65.41</v>
      </c>
      <c r="Y54" s="40">
        <v>66.77</v>
      </c>
      <c r="Z54" s="40">
        <v>65.290000000000006</v>
      </c>
      <c r="AA54" s="10">
        <v>65.349999999999994</v>
      </c>
      <c r="AB54" s="95">
        <v>1833700</v>
      </c>
      <c r="AC54" s="243">
        <v>65.069999999999993</v>
      </c>
      <c r="AD54" s="2">
        <f t="shared" si="0"/>
        <v>1.4799999999999898</v>
      </c>
      <c r="AE54" s="138">
        <f t="shared" si="1"/>
        <v>-1.6876342436332736E-3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67.169200000000004</v>
      </c>
      <c r="R55" s="83"/>
      <c r="T55" s="87" t="s">
        <v>109</v>
      </c>
      <c r="U55" s="130" t="s">
        <v>574</v>
      </c>
      <c r="W55" s="94">
        <v>42542</v>
      </c>
      <c r="X55" s="10">
        <v>66.14</v>
      </c>
      <c r="Y55" s="40">
        <v>67.099999999999994</v>
      </c>
      <c r="Z55" s="40">
        <v>65.34</v>
      </c>
      <c r="AA55" s="10">
        <v>65.459999999999994</v>
      </c>
      <c r="AB55" s="95">
        <v>1638400</v>
      </c>
      <c r="AC55" s="243">
        <v>65.180000000000007</v>
      </c>
      <c r="AD55" s="2">
        <f t="shared" si="0"/>
        <v>1.7599999999999909</v>
      </c>
      <c r="AE55" s="138">
        <f t="shared" si="1"/>
        <v>-7.4615501751179591E-3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66.43910000000001</v>
      </c>
      <c r="R56" s="83"/>
      <c r="W56" s="94">
        <v>42541</v>
      </c>
      <c r="X56" s="10">
        <v>64.95</v>
      </c>
      <c r="Y56" s="40">
        <v>66.62</v>
      </c>
      <c r="Z56" s="40">
        <v>64.739999999999995</v>
      </c>
      <c r="AA56" s="10">
        <v>65.95</v>
      </c>
      <c r="AB56" s="95">
        <v>3590100</v>
      </c>
      <c r="AC56" s="243">
        <v>65.67</v>
      </c>
      <c r="AD56" s="2">
        <f t="shared" si="0"/>
        <v>1.8800000000000097</v>
      </c>
      <c r="AE56" s="138">
        <f t="shared" si="1"/>
        <v>3.0926216640502435E-2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65.709000000000003</v>
      </c>
      <c r="R57" s="83"/>
      <c r="W57" s="94">
        <v>42538</v>
      </c>
      <c r="X57" s="10">
        <v>64.739999999999995</v>
      </c>
      <c r="Y57" s="40">
        <v>64.739999999999995</v>
      </c>
      <c r="Z57" s="40">
        <v>63.31</v>
      </c>
      <c r="AA57" s="10">
        <v>63.97</v>
      </c>
      <c r="AB57" s="95">
        <v>2401400</v>
      </c>
      <c r="AC57" s="243">
        <v>63.7</v>
      </c>
      <c r="AD57" s="2">
        <f t="shared" si="0"/>
        <v>1.4299999999999926</v>
      </c>
      <c r="AE57" s="138">
        <f t="shared" si="1"/>
        <v>-1.2556192838319657E-2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42537</v>
      </c>
      <c r="X58" s="10">
        <v>64.25</v>
      </c>
      <c r="Y58" s="40">
        <v>64.94</v>
      </c>
      <c r="Z58" s="40">
        <v>63.36</v>
      </c>
      <c r="AA58" s="10">
        <v>64.78</v>
      </c>
      <c r="AB58" s="95">
        <v>1733800</v>
      </c>
      <c r="AC58" s="243">
        <v>64.510000000000005</v>
      </c>
      <c r="AD58" s="2">
        <f t="shared" si="0"/>
        <v>1.5799999999999983</v>
      </c>
      <c r="AE58" s="138">
        <f t="shared" si="1"/>
        <v>-3.0907124092101057E-3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42536</v>
      </c>
      <c r="X59" s="10">
        <v>65.19</v>
      </c>
      <c r="Y59" s="40">
        <v>65.510000000000005</v>
      </c>
      <c r="Z59" s="40">
        <v>64.760000000000005</v>
      </c>
      <c r="AA59" s="10">
        <v>64.989999999999995</v>
      </c>
      <c r="AB59" s="95">
        <v>1597100</v>
      </c>
      <c r="AC59" s="243">
        <v>64.709999999999994</v>
      </c>
      <c r="AD59" s="2">
        <f t="shared" si="0"/>
        <v>0.75</v>
      </c>
      <c r="AE59" s="138">
        <f t="shared" si="1"/>
        <v>-3.0897574540411643E-4</v>
      </c>
    </row>
    <row r="60" spans="1:31" x14ac:dyDescent="0.25">
      <c r="W60" s="94">
        <v>42535</v>
      </c>
      <c r="X60" s="10">
        <v>64.75</v>
      </c>
      <c r="Y60" s="40">
        <v>65.19</v>
      </c>
      <c r="Z60" s="40">
        <v>64.010000000000005</v>
      </c>
      <c r="AA60" s="10">
        <v>65.010000000000005</v>
      </c>
      <c r="AB60" s="95">
        <v>1570200</v>
      </c>
      <c r="AC60" s="243">
        <v>64.73</v>
      </c>
      <c r="AD60" s="2">
        <f t="shared" si="0"/>
        <v>1.1799999999999926</v>
      </c>
      <c r="AE60" s="138">
        <f t="shared" si="1"/>
        <v>7.7303648732218733E-4</v>
      </c>
    </row>
    <row r="61" spans="1:31" x14ac:dyDescent="0.25">
      <c r="L61" t="s">
        <v>65</v>
      </c>
      <c r="M61" s="468">
        <f>K79+M79-F79</f>
        <v>954.30999999999767</v>
      </c>
      <c r="W61" s="94">
        <v>42534</v>
      </c>
      <c r="X61" s="10">
        <v>65.02</v>
      </c>
      <c r="Y61" s="40">
        <v>66.13</v>
      </c>
      <c r="Z61" s="40">
        <v>64.819999999999993</v>
      </c>
      <c r="AA61" s="10">
        <v>64.959999999999994</v>
      </c>
      <c r="AB61" s="95">
        <v>1253000</v>
      </c>
      <c r="AC61" s="243">
        <v>64.680000000000007</v>
      </c>
      <c r="AD61" s="2">
        <f t="shared" si="0"/>
        <v>1.3100000000000023</v>
      </c>
      <c r="AE61" s="138">
        <f t="shared" si="1"/>
        <v>-9.0393749042437799E-3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42531</v>
      </c>
      <c r="X62" s="10">
        <v>66.91</v>
      </c>
      <c r="Y62" s="40">
        <v>67.08</v>
      </c>
      <c r="Z62" s="40">
        <v>65.42</v>
      </c>
      <c r="AA62" s="10">
        <v>65.55</v>
      </c>
      <c r="AB62" s="95">
        <v>2417000</v>
      </c>
      <c r="AC62" s="243">
        <v>65.27</v>
      </c>
      <c r="AD62" s="2">
        <f t="shared" si="0"/>
        <v>1.6599999999999966</v>
      </c>
      <c r="AE62" s="138">
        <f t="shared" si="1"/>
        <v>-3.5608747044917455E-2</v>
      </c>
    </row>
    <row r="63" spans="1:31" x14ac:dyDescent="0.25">
      <c r="A63" s="265" t="s">
        <v>178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42530</v>
      </c>
      <c r="X63" s="10">
        <v>66.5</v>
      </c>
      <c r="Y63" s="40">
        <v>68.09</v>
      </c>
      <c r="Z63" s="40">
        <v>66.349999999999994</v>
      </c>
      <c r="AA63" s="10">
        <v>67.97</v>
      </c>
      <c r="AB63" s="95">
        <v>2504900</v>
      </c>
      <c r="AC63" s="243">
        <v>67.680000000000007</v>
      </c>
      <c r="AD63" s="2">
        <f t="shared" si="0"/>
        <v>1.7400000000000091</v>
      </c>
      <c r="AE63" s="138">
        <f t="shared" si="1"/>
        <v>-6.0214422088411546E-3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42529</v>
      </c>
      <c r="X64" s="10">
        <v>68.53</v>
      </c>
      <c r="Y64" s="40">
        <v>68.98</v>
      </c>
      <c r="Z64" s="40">
        <v>67.709999999999994</v>
      </c>
      <c r="AA64" s="10">
        <v>68.38</v>
      </c>
      <c r="AB64" s="95">
        <v>2093000</v>
      </c>
      <c r="AC64" s="243">
        <v>68.09</v>
      </c>
      <c r="AD64" s="2">
        <f t="shared" si="0"/>
        <v>1.2700000000000102</v>
      </c>
      <c r="AE64" s="138">
        <f t="shared" si="1"/>
        <v>-4.2410061421467304E-3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42528</v>
      </c>
      <c r="X65" s="10">
        <v>66.39</v>
      </c>
      <c r="Y65" s="40">
        <v>68.959999999999994</v>
      </c>
      <c r="Z65" s="40">
        <v>66.17</v>
      </c>
      <c r="AA65" s="10">
        <v>68.67</v>
      </c>
      <c r="AB65" s="95">
        <v>3066200</v>
      </c>
      <c r="AC65" s="243">
        <v>68.38</v>
      </c>
      <c r="AD65" s="2">
        <f t="shared" si="0"/>
        <v>2.789999999999992</v>
      </c>
      <c r="AE65" s="138">
        <f t="shared" si="1"/>
        <v>3.8736138538660203E-2</v>
      </c>
    </row>
    <row r="66" spans="1:31" x14ac:dyDescent="0.25">
      <c r="A66" s="261"/>
      <c r="B66" s="266">
        <v>42573</v>
      </c>
      <c r="C66" s="275">
        <v>20</v>
      </c>
      <c r="D66" s="373">
        <v>63.68</v>
      </c>
      <c r="E66" s="373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42527</v>
      </c>
      <c r="X66" s="10">
        <v>66.94</v>
      </c>
      <c r="Y66" s="40">
        <v>67.260000000000005</v>
      </c>
      <c r="Z66" s="40">
        <v>66.06</v>
      </c>
      <c r="AA66" s="10">
        <v>66.11</v>
      </c>
      <c r="AB66" s="95">
        <v>1938300</v>
      </c>
      <c r="AC66" s="243">
        <v>65.83</v>
      </c>
      <c r="AD66" s="2">
        <f t="shared" si="0"/>
        <v>1.2000000000000028</v>
      </c>
      <c r="AE66" s="138">
        <f t="shared" si="1"/>
        <v>-1.2451245124512456E-2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42524</v>
      </c>
      <c r="X67" s="10">
        <v>67.739999999999995</v>
      </c>
      <c r="Y67" s="40">
        <v>68.5</v>
      </c>
      <c r="Z67" s="40">
        <v>66.27</v>
      </c>
      <c r="AA67" s="10">
        <v>66.94</v>
      </c>
      <c r="AB67" s="95">
        <v>3682600</v>
      </c>
      <c r="AC67" s="243">
        <v>66.66</v>
      </c>
      <c r="AD67" s="2">
        <f t="shared" si="0"/>
        <v>2.230000000000004</v>
      </c>
      <c r="AE67" s="138">
        <f t="shared" si="1"/>
        <v>5.4298642533936459E-3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42523</v>
      </c>
      <c r="X68" s="10">
        <v>67.03</v>
      </c>
      <c r="Y68" s="40">
        <v>67.56</v>
      </c>
      <c r="Z68" s="40">
        <v>66.260000000000005</v>
      </c>
      <c r="AA68" s="10">
        <v>66.58</v>
      </c>
      <c r="AB68" s="95">
        <v>2172300</v>
      </c>
      <c r="AC68" s="243">
        <v>66.3</v>
      </c>
      <c r="AD68" s="2">
        <f>Y68-Z68</f>
        <v>1.2999999999999972</v>
      </c>
      <c r="AE68" s="138" t="e">
        <f>AC68/#REF!-1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215" t="s">
        <v>122</v>
      </c>
      <c r="X69" s="96"/>
      <c r="Y69" s="243"/>
      <c r="Z69" s="243"/>
      <c r="AA69" s="96"/>
      <c r="AB69" s="216"/>
      <c r="AC69" s="243"/>
      <c r="AD69" s="2" t="e">
        <f>#REF!-#REF!</f>
        <v>#REF!</v>
      </c>
      <c r="AE69" s="138" t="e">
        <f>#REF!/AC69-1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88" t="s">
        <v>204</v>
      </c>
      <c r="B80" s="489"/>
      <c r="C80" s="490">
        <f>SumByColor($A$19,C63:C78)</f>
        <v>0</v>
      </c>
      <c r="D80" s="490"/>
      <c r="E80" s="490"/>
      <c r="F80" s="491">
        <f>SumByColor($A$19,F63:F78)</f>
        <v>0</v>
      </c>
      <c r="G80" s="490"/>
      <c r="H80" s="490">
        <f>SumByColor($A$19,H63:H78)</f>
        <v>0</v>
      </c>
      <c r="I80" s="490"/>
      <c r="J80" s="490"/>
      <c r="K80" s="491">
        <f>SumByColor($A$19,K63:K78)</f>
        <v>0</v>
      </c>
      <c r="L80" s="490"/>
      <c r="M80" s="491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420" priority="27">
      <formula>F40&gt;0</formula>
    </cfRule>
    <cfRule type="expression" dxfId="419" priority="28">
      <formula>F40&lt;0</formula>
    </cfRule>
  </conditionalFormatting>
  <conditionalFormatting sqref="F40:F45">
    <cfRule type="expression" dxfId="418" priority="29">
      <formula>F40&gt;0</formula>
    </cfRule>
    <cfRule type="expression" dxfId="417" priority="30">
      <formula>F40&lt;0</formula>
    </cfRule>
  </conditionalFormatting>
  <conditionalFormatting sqref="H40:H45">
    <cfRule type="expression" dxfId="416" priority="25">
      <formula>H40&gt;0</formula>
    </cfRule>
    <cfRule type="expression" dxfId="415" priority="26">
      <formula>H40&lt;0</formula>
    </cfRule>
  </conditionalFormatting>
  <conditionalFormatting sqref="F23:F39">
    <cfRule type="expression" dxfId="414" priority="11">
      <formula>F23&gt;0</formula>
    </cfRule>
    <cfRule type="expression" dxfId="413" priority="12">
      <formula>F23&lt;0</formula>
    </cfRule>
  </conditionalFormatting>
  <conditionalFormatting sqref="H23:H39">
    <cfRule type="expression" dxfId="412" priority="9">
      <formula>H23&gt;0</formula>
    </cfRule>
    <cfRule type="expression" dxfId="411" priority="10">
      <formula>H23&lt;0</formula>
    </cfRule>
  </conditionalFormatting>
  <conditionalFormatting sqref="Q7">
    <cfRule type="expression" dxfId="410" priority="7">
      <formula>Q7&gt;0</formula>
    </cfRule>
    <cfRule type="expression" dxfId="409" priority="8">
      <formula>Q7&lt;0</formula>
    </cfRule>
  </conditionalFormatting>
  <conditionalFormatting sqref="Q8">
    <cfRule type="expression" dxfId="408" priority="5">
      <formula>Q8&gt;0</formula>
    </cfRule>
    <cfRule type="expression" dxfId="407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42615</v>
      </c>
      <c r="X2" s="41">
        <v>65.12</v>
      </c>
      <c r="Y2" s="41">
        <v>65.81</v>
      </c>
      <c r="Z2" s="41">
        <v>64.900000000000006</v>
      </c>
      <c r="AA2" s="41">
        <v>65.459999999999994</v>
      </c>
      <c r="AB2" s="104">
        <v>884700</v>
      </c>
      <c r="AC2" s="9">
        <v>65.459999999999994</v>
      </c>
      <c r="AD2" s="2">
        <f>Y2-Z2</f>
        <v>0.90999999999999659</v>
      </c>
      <c r="AE2" s="138">
        <f>AC2/AC3-1</f>
        <v>1.2215865161589567E-2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65.44</v>
      </c>
      <c r="W3" s="123">
        <v>42614</v>
      </c>
      <c r="X3" s="41">
        <v>64.19</v>
      </c>
      <c r="Y3" s="41">
        <v>64.67</v>
      </c>
      <c r="Z3" s="41">
        <v>63.98</v>
      </c>
      <c r="AA3" s="41">
        <v>64.67</v>
      </c>
      <c r="AB3" s="104">
        <v>637700</v>
      </c>
      <c r="AC3" s="9">
        <v>64.67</v>
      </c>
      <c r="AD3" s="2">
        <f t="shared" ref="AD3:AD66" si="0">Y3-Z3</f>
        <v>0.69000000000000483</v>
      </c>
      <c r="AE3" s="138">
        <f t="shared" ref="AE3:AE66" si="1">AC3/AC4-1</f>
        <v>5.5978852433524739E-3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65.44</v>
      </c>
      <c r="T4" s="1"/>
      <c r="W4" s="123">
        <v>42613</v>
      </c>
      <c r="X4" s="41">
        <v>64.63</v>
      </c>
      <c r="Y4" s="41">
        <v>64.72</v>
      </c>
      <c r="Z4" s="41">
        <v>63.99</v>
      </c>
      <c r="AA4" s="41">
        <v>64.31</v>
      </c>
      <c r="AB4" s="104">
        <v>692300</v>
      </c>
      <c r="AC4" s="9">
        <v>64.31</v>
      </c>
      <c r="AD4" s="2">
        <f t="shared" si="0"/>
        <v>0.72999999999999687</v>
      </c>
      <c r="AE4" s="138">
        <f t="shared" si="1"/>
        <v>-9.5487448020946664E-3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42612</v>
      </c>
      <c r="X5" s="41">
        <v>65.150000000000006</v>
      </c>
      <c r="Y5" s="41">
        <v>65.53</v>
      </c>
      <c r="Z5" s="41">
        <v>64.790000000000006</v>
      </c>
      <c r="AA5" s="41">
        <v>64.930000000000007</v>
      </c>
      <c r="AB5" s="104">
        <v>479700</v>
      </c>
      <c r="AC5" s="9">
        <v>64.930000000000007</v>
      </c>
      <c r="AD5" s="2">
        <f t="shared" si="0"/>
        <v>0.73999999999999488</v>
      </c>
      <c r="AE5" s="138">
        <f t="shared" si="1"/>
        <v>-6.8828387886201714E-3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42611</v>
      </c>
      <c r="X6" s="41">
        <v>64.98</v>
      </c>
      <c r="Y6" s="41">
        <v>65.73</v>
      </c>
      <c r="Z6" s="41">
        <v>64.86</v>
      </c>
      <c r="AA6" s="41">
        <v>65.38</v>
      </c>
      <c r="AB6" s="104">
        <v>798800</v>
      </c>
      <c r="AC6" s="9">
        <v>65.38</v>
      </c>
      <c r="AD6" s="2">
        <f t="shared" si="0"/>
        <v>0.87000000000000455</v>
      </c>
      <c r="AE6" s="138">
        <f t="shared" si="1"/>
        <v>4.3010752688172893E-3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187</v>
      </c>
      <c r="Q7" s="2">
        <f>Q10+Q8</f>
        <v>121.94999999999982</v>
      </c>
      <c r="R7">
        <v>0</v>
      </c>
      <c r="W7" s="123">
        <v>42608</v>
      </c>
      <c r="X7" s="41">
        <v>65.2</v>
      </c>
      <c r="Y7" s="41">
        <v>65.8</v>
      </c>
      <c r="Z7" s="41">
        <v>64.63</v>
      </c>
      <c r="AA7" s="41">
        <v>65.099999999999994</v>
      </c>
      <c r="AB7" s="104">
        <v>804500</v>
      </c>
      <c r="AC7" s="9">
        <v>65.099999999999994</v>
      </c>
      <c r="AD7" s="2">
        <f t="shared" si="0"/>
        <v>1.1700000000000017</v>
      </c>
      <c r="AE7" s="138">
        <f t="shared" si="1"/>
        <v>2.1551724137931494E-3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190</v>
      </c>
      <c r="P8" s="34"/>
      <c r="Q8" s="2">
        <f>K18+M18-F18+Q2*Q4</f>
        <v>0</v>
      </c>
      <c r="R8" s="166"/>
      <c r="W8" s="123">
        <v>42607</v>
      </c>
      <c r="X8" s="41">
        <v>64.760000000000005</v>
      </c>
      <c r="Y8" s="41">
        <v>65.16</v>
      </c>
      <c r="Z8" s="41">
        <v>64.510000000000005</v>
      </c>
      <c r="AA8" s="41">
        <v>64.959999999999994</v>
      </c>
      <c r="AB8" s="104">
        <v>528300</v>
      </c>
      <c r="AC8" s="9">
        <v>64.959999999999994</v>
      </c>
      <c r="AD8" s="2">
        <f t="shared" si="0"/>
        <v>0.64999999999999147</v>
      </c>
      <c r="AE8" s="138">
        <f t="shared" si="1"/>
        <v>0</v>
      </c>
      <c r="AL8" s="234"/>
      <c r="AO8" s="234"/>
    </row>
    <row r="9" spans="1:42" x14ac:dyDescent="0.25">
      <c r="O9" s="11" t="s">
        <v>224</v>
      </c>
      <c r="Q9" s="138">
        <f>IF(Q2=0, 0, Q8/Q6)</f>
        <v>0</v>
      </c>
      <c r="W9" s="123">
        <v>42606</v>
      </c>
      <c r="X9" s="41">
        <v>64.95</v>
      </c>
      <c r="Y9" s="41">
        <v>65.489999999999995</v>
      </c>
      <c r="Z9" s="41">
        <v>64.88</v>
      </c>
      <c r="AA9" s="41">
        <v>64.959999999999994</v>
      </c>
      <c r="AB9" s="104">
        <v>501800</v>
      </c>
      <c r="AC9" s="9">
        <v>64.959999999999994</v>
      </c>
      <c r="AD9" s="2">
        <f t="shared" si="0"/>
        <v>0.60999999999999943</v>
      </c>
      <c r="AE9" s="138">
        <f t="shared" si="1"/>
        <v>-3.0693677102516803E-3</v>
      </c>
      <c r="AL9" s="234"/>
      <c r="AO9" s="234"/>
    </row>
    <row r="10" spans="1:42" x14ac:dyDescent="0.25">
      <c r="O10" s="11" t="s">
        <v>223</v>
      </c>
      <c r="P10" s="34"/>
      <c r="Q10" s="2">
        <f>M36</f>
        <v>121.94999999999982</v>
      </c>
      <c r="W10" s="123">
        <v>42605</v>
      </c>
      <c r="X10" s="41">
        <v>65.27</v>
      </c>
      <c r="Y10" s="41">
        <v>65.400000000000006</v>
      </c>
      <c r="Z10" s="41">
        <v>64.739999999999995</v>
      </c>
      <c r="AA10" s="41">
        <v>65.16</v>
      </c>
      <c r="AB10" s="104">
        <v>510500</v>
      </c>
      <c r="AC10" s="9">
        <v>65.16</v>
      </c>
      <c r="AD10" s="2">
        <f t="shared" si="0"/>
        <v>0.6600000000000108</v>
      </c>
      <c r="AE10" s="138">
        <f t="shared" si="1"/>
        <v>3.696857670979492E-3</v>
      </c>
      <c r="AL10" s="234"/>
      <c r="AO10" s="234"/>
    </row>
    <row r="11" spans="1:42" x14ac:dyDescent="0.25">
      <c r="O11" s="11" t="s">
        <v>184</v>
      </c>
      <c r="P11" s="34"/>
      <c r="Q11" s="138">
        <f>IF(U58="N/A (N/A)", 0, VALUE(TRIM(CLEAN(MID(U58, FIND("(", U58)+1, 5)))))</f>
        <v>1.7399999999999999E-2</v>
      </c>
      <c r="T11" s="11"/>
      <c r="W11" s="123">
        <v>42604</v>
      </c>
      <c r="X11" s="41">
        <v>64.36</v>
      </c>
      <c r="Y11" s="41">
        <v>65.11</v>
      </c>
      <c r="Z11" s="41">
        <v>64.33</v>
      </c>
      <c r="AA11" s="41">
        <v>64.92</v>
      </c>
      <c r="AB11" s="104">
        <v>506900</v>
      </c>
      <c r="AC11" s="9">
        <v>64.92</v>
      </c>
      <c r="AD11" s="2">
        <f t="shared" si="0"/>
        <v>0.78000000000000114</v>
      </c>
      <c r="AE11" s="138">
        <f t="shared" si="1"/>
        <v>1.6972689399783469E-3</v>
      </c>
      <c r="AL11" s="234"/>
      <c r="AO11" s="234"/>
    </row>
    <row r="12" spans="1:42" x14ac:dyDescent="0.25">
      <c r="W12" s="123">
        <v>42601</v>
      </c>
      <c r="X12" s="41">
        <v>64.41</v>
      </c>
      <c r="Y12" s="41">
        <v>64.98</v>
      </c>
      <c r="Z12" s="41">
        <v>64.239999999999995</v>
      </c>
      <c r="AA12" s="41">
        <v>64.81</v>
      </c>
      <c r="AB12" s="104">
        <v>723800</v>
      </c>
      <c r="AC12" s="9">
        <v>64.81</v>
      </c>
      <c r="AD12" s="2">
        <f t="shared" si="0"/>
        <v>0.74000000000000909</v>
      </c>
      <c r="AE12" s="138">
        <f t="shared" si="1"/>
        <v>1.0812480691999582E-3</v>
      </c>
      <c r="AL12" s="234"/>
      <c r="AO12" s="234"/>
    </row>
    <row r="13" spans="1:42" x14ac:dyDescent="0.25">
      <c r="W13" s="123">
        <v>42600</v>
      </c>
      <c r="X13" s="41">
        <v>64.290000000000006</v>
      </c>
      <c r="Y13" s="41">
        <v>64.98</v>
      </c>
      <c r="Z13" s="41">
        <v>64.260000000000005</v>
      </c>
      <c r="AA13" s="41">
        <v>64.739999999999995</v>
      </c>
      <c r="AB13" s="104">
        <v>586000</v>
      </c>
      <c r="AC13" s="9">
        <v>64.739999999999995</v>
      </c>
      <c r="AD13" s="2">
        <f t="shared" si="0"/>
        <v>0.71999999999999886</v>
      </c>
      <c r="AE13" s="138">
        <f t="shared" si="1"/>
        <v>7.7833125778330459E-3</v>
      </c>
    </row>
    <row r="14" spans="1:42" x14ac:dyDescent="0.25">
      <c r="W14" s="123">
        <v>42599</v>
      </c>
      <c r="X14" s="41">
        <v>63.36</v>
      </c>
      <c r="Y14" s="41">
        <v>64.430000000000007</v>
      </c>
      <c r="Z14" s="41">
        <v>63.2</v>
      </c>
      <c r="AA14" s="41">
        <v>64.239999999999995</v>
      </c>
      <c r="AB14" s="104">
        <v>644400</v>
      </c>
      <c r="AC14" s="9">
        <v>64.239999999999995</v>
      </c>
      <c r="AD14" s="2">
        <f t="shared" si="0"/>
        <v>1.230000000000004</v>
      </c>
      <c r="AE14" s="138">
        <f t="shared" si="1"/>
        <v>1.261034047919285E-2</v>
      </c>
    </row>
    <row r="15" spans="1:42" x14ac:dyDescent="0.25">
      <c r="V15" s="2"/>
      <c r="W15" s="123">
        <v>42598</v>
      </c>
      <c r="X15" s="41">
        <v>63.4</v>
      </c>
      <c r="Y15" s="41">
        <v>63.71</v>
      </c>
      <c r="Z15" s="41">
        <v>63.22</v>
      </c>
      <c r="AA15" s="41">
        <v>63.44</v>
      </c>
      <c r="AB15" s="104">
        <v>601800</v>
      </c>
      <c r="AC15" s="9">
        <v>63.44</v>
      </c>
      <c r="AD15" s="2">
        <f t="shared" si="0"/>
        <v>0.49000000000000199</v>
      </c>
      <c r="AE15" s="138">
        <f t="shared" si="1"/>
        <v>1.2626262626262985E-3</v>
      </c>
      <c r="AL15" s="234"/>
      <c r="AO15" s="234"/>
      <c r="AP15" s="234"/>
    </row>
    <row r="16" spans="1:42" x14ac:dyDescent="0.25">
      <c r="V16" s="2"/>
      <c r="W16" s="123">
        <v>42597</v>
      </c>
      <c r="X16" s="41">
        <v>63.18</v>
      </c>
      <c r="Y16" s="41">
        <v>63.82</v>
      </c>
      <c r="Z16" s="41">
        <v>63.14</v>
      </c>
      <c r="AA16" s="41">
        <v>63.36</v>
      </c>
      <c r="AB16" s="104">
        <v>519300</v>
      </c>
      <c r="AC16" s="9">
        <v>63.36</v>
      </c>
      <c r="AD16" s="2">
        <f t="shared" si="0"/>
        <v>0.67999999999999972</v>
      </c>
      <c r="AE16" s="138">
        <f t="shared" si="1"/>
        <v>4.2796005706133844E-3</v>
      </c>
    </row>
    <row r="17" spans="1:42" x14ac:dyDescent="0.25">
      <c r="V17" s="2"/>
      <c r="W17" s="123">
        <v>42594</v>
      </c>
      <c r="X17" s="41">
        <v>63.38</v>
      </c>
      <c r="Y17" s="41">
        <v>63.53</v>
      </c>
      <c r="Z17" s="41">
        <v>62.81</v>
      </c>
      <c r="AA17" s="41">
        <v>63.09</v>
      </c>
      <c r="AB17" s="104">
        <v>620700</v>
      </c>
      <c r="AC17" s="9">
        <v>63.09</v>
      </c>
      <c r="AD17" s="2">
        <f t="shared" si="0"/>
        <v>0.71999999999999886</v>
      </c>
      <c r="AE17" s="138">
        <f t="shared" si="1"/>
        <v>-6.9258617975759273E-3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42593</v>
      </c>
      <c r="X18" s="41">
        <v>63.45</v>
      </c>
      <c r="Y18" s="41">
        <v>63.8</v>
      </c>
      <c r="Z18" s="41">
        <v>62.91</v>
      </c>
      <c r="AA18" s="41">
        <v>63.53</v>
      </c>
      <c r="AB18" s="104">
        <v>614300</v>
      </c>
      <c r="AC18" s="9">
        <v>63.53</v>
      </c>
      <c r="AD18" s="2">
        <f t="shared" si="0"/>
        <v>0.89000000000000057</v>
      </c>
      <c r="AE18" s="138">
        <f t="shared" si="1"/>
        <v>1.3237639553429048E-2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42592</v>
      </c>
      <c r="X19" s="41">
        <v>63.11</v>
      </c>
      <c r="Y19" s="41">
        <v>63.36</v>
      </c>
      <c r="Z19" s="41">
        <v>62.45</v>
      </c>
      <c r="AA19" s="41">
        <v>62.7</v>
      </c>
      <c r="AB19" s="104">
        <v>856200</v>
      </c>
      <c r="AC19" s="9">
        <v>62.7</v>
      </c>
      <c r="AD19" s="2">
        <f t="shared" si="0"/>
        <v>0.90999999999999659</v>
      </c>
      <c r="AE19" s="138">
        <f t="shared" si="1"/>
        <v>-6.3755180108382437E-4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42591</v>
      </c>
      <c r="X20" s="41">
        <v>62.47</v>
      </c>
      <c r="Y20" s="41">
        <v>63.32</v>
      </c>
      <c r="Z20" s="41">
        <v>62.47</v>
      </c>
      <c r="AA20" s="41">
        <v>62.74</v>
      </c>
      <c r="AB20" s="104">
        <v>894600</v>
      </c>
      <c r="AC20" s="9">
        <v>62.74</v>
      </c>
      <c r="AD20" s="2">
        <f t="shared" si="0"/>
        <v>0.85000000000000142</v>
      </c>
      <c r="AE20" s="138">
        <f t="shared" si="1"/>
        <v>7.2242735591587781E-3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42590</v>
      </c>
      <c r="X21" s="41">
        <v>62.1</v>
      </c>
      <c r="Y21" s="41">
        <v>62.45</v>
      </c>
      <c r="Z21" s="41">
        <v>61.95</v>
      </c>
      <c r="AA21" s="41">
        <v>62.29</v>
      </c>
      <c r="AB21" s="104">
        <v>770200</v>
      </c>
      <c r="AC21" s="9">
        <v>62.29</v>
      </c>
      <c r="AD21" s="2">
        <f t="shared" si="0"/>
        <v>0.5</v>
      </c>
      <c r="AE21" s="138">
        <f t="shared" si="1"/>
        <v>5.4882970137206666E-3</v>
      </c>
    </row>
    <row r="22" spans="1:42" x14ac:dyDescent="0.25">
      <c r="B22" s="191" t="s">
        <v>114</v>
      </c>
      <c r="C22" s="191" t="s">
        <v>150</v>
      </c>
      <c r="D22" s="199" t="s">
        <v>149</v>
      </c>
      <c r="E22" s="195" t="s">
        <v>151</v>
      </c>
      <c r="F22" s="195" t="s">
        <v>65</v>
      </c>
      <c r="G22" s="229" t="s">
        <v>155</v>
      </c>
      <c r="H22" s="195" t="s">
        <v>88</v>
      </c>
      <c r="I22" s="241" t="s">
        <v>161</v>
      </c>
      <c r="J22" s="3"/>
      <c r="K22" s="3"/>
      <c r="L22" s="4"/>
      <c r="W22" s="123">
        <v>42587</v>
      </c>
      <c r="X22" s="41">
        <v>61.63</v>
      </c>
      <c r="Y22" s="41">
        <v>62.21</v>
      </c>
      <c r="Z22" s="41">
        <v>61.54</v>
      </c>
      <c r="AA22" s="41">
        <v>61.95</v>
      </c>
      <c r="AB22" s="104">
        <v>903700</v>
      </c>
      <c r="AC22" s="9">
        <v>61.95</v>
      </c>
      <c r="AD22" s="2">
        <f t="shared" si="0"/>
        <v>0.67000000000000171</v>
      </c>
      <c r="AE22" s="138">
        <f t="shared" si="1"/>
        <v>2.4271844660195274E-3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42586</v>
      </c>
      <c r="X23" s="41">
        <v>62.05</v>
      </c>
      <c r="Y23" s="41">
        <v>62.16</v>
      </c>
      <c r="Z23" s="41">
        <v>61.4</v>
      </c>
      <c r="AA23" s="41">
        <v>61.8</v>
      </c>
      <c r="AB23" s="104">
        <v>762200</v>
      </c>
      <c r="AC23" s="9">
        <v>61.8</v>
      </c>
      <c r="AD23" s="2">
        <f t="shared" si="0"/>
        <v>0.75999999999999801</v>
      </c>
      <c r="AE23" s="138">
        <f t="shared" si="1"/>
        <v>-7.3883713459684808E-3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42585</v>
      </c>
      <c r="X24" s="41">
        <v>61.88</v>
      </c>
      <c r="Y24" s="41">
        <v>62.66</v>
      </c>
      <c r="Z24" s="41">
        <v>61.71</v>
      </c>
      <c r="AA24" s="41">
        <v>62.26</v>
      </c>
      <c r="AB24" s="104">
        <v>982400</v>
      </c>
      <c r="AC24" s="9">
        <v>62.26</v>
      </c>
      <c r="AD24" s="2">
        <f t="shared" si="0"/>
        <v>0.94999999999999574</v>
      </c>
      <c r="AE24" s="138">
        <f t="shared" si="1"/>
        <v>7.1174377224199059E-3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42584</v>
      </c>
      <c r="X25" s="41">
        <v>63.77</v>
      </c>
      <c r="Y25" s="41">
        <v>64.27</v>
      </c>
      <c r="Z25" s="41">
        <v>61.71</v>
      </c>
      <c r="AA25" s="41">
        <v>61.82</v>
      </c>
      <c r="AB25" s="104">
        <v>1317800</v>
      </c>
      <c r="AC25" s="9">
        <v>61.82</v>
      </c>
      <c r="AD25" s="2">
        <f t="shared" si="0"/>
        <v>2.5599999999999952</v>
      </c>
      <c r="AE25" s="138">
        <f t="shared" si="1"/>
        <v>-1.4192313825546199E-2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42583</v>
      </c>
      <c r="X26" s="41">
        <v>62.8</v>
      </c>
      <c r="Y26" s="41">
        <v>63.14</v>
      </c>
      <c r="Z26" s="41">
        <v>61.9</v>
      </c>
      <c r="AA26" s="41">
        <v>62.71</v>
      </c>
      <c r="AB26" s="104">
        <v>878200</v>
      </c>
      <c r="AC26" s="9">
        <v>62.71</v>
      </c>
      <c r="AD26" s="2">
        <f t="shared" si="0"/>
        <v>1.240000000000002</v>
      </c>
      <c r="AE26" s="138">
        <f t="shared" si="1"/>
        <v>-7.9101408005062268E-3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42580</v>
      </c>
      <c r="X27" s="41">
        <v>63.7</v>
      </c>
      <c r="Y27" s="41">
        <v>63.89</v>
      </c>
      <c r="Z27" s="41">
        <v>63.18</v>
      </c>
      <c r="AA27" s="41">
        <v>63.21</v>
      </c>
      <c r="AB27" s="104">
        <v>981800</v>
      </c>
      <c r="AC27" s="9">
        <v>63.21</v>
      </c>
      <c r="AD27" s="2">
        <f t="shared" si="0"/>
        <v>0.71000000000000085</v>
      </c>
      <c r="AE27" s="138">
        <f t="shared" si="1"/>
        <v>-5.5066079295154058E-3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42579</v>
      </c>
      <c r="X28" s="41">
        <v>63.74</v>
      </c>
      <c r="Y28" s="41">
        <v>64.22</v>
      </c>
      <c r="Z28" s="41">
        <v>63.48</v>
      </c>
      <c r="AA28" s="41">
        <v>63.56</v>
      </c>
      <c r="AB28" s="104">
        <v>792100</v>
      </c>
      <c r="AC28" s="9">
        <v>63.56</v>
      </c>
      <c r="AD28" s="2">
        <f t="shared" si="0"/>
        <v>0.74000000000000199</v>
      </c>
      <c r="AE28" s="138">
        <f t="shared" si="1"/>
        <v>-1.4139827179889819E-3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42578</v>
      </c>
      <c r="X29" s="41">
        <v>63.41</v>
      </c>
      <c r="Y29" s="41">
        <v>64.099999999999994</v>
      </c>
      <c r="Z29" s="41">
        <v>63.29</v>
      </c>
      <c r="AA29" s="41">
        <v>63.65</v>
      </c>
      <c r="AB29" s="104">
        <v>1232100</v>
      </c>
      <c r="AC29" s="9">
        <v>63.65</v>
      </c>
      <c r="AD29" s="2">
        <f t="shared" si="0"/>
        <v>0.80999999999999517</v>
      </c>
      <c r="AE29" s="138">
        <f t="shared" si="1"/>
        <v>5.0528975209220839E-3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42577</v>
      </c>
      <c r="X30" s="41">
        <v>64.400000000000006</v>
      </c>
      <c r="Y30" s="41">
        <v>64.73</v>
      </c>
      <c r="Z30" s="41">
        <v>62.67</v>
      </c>
      <c r="AA30" s="41">
        <v>63.33</v>
      </c>
      <c r="AB30" s="104">
        <v>1708100</v>
      </c>
      <c r="AC30" s="9">
        <v>63.33</v>
      </c>
      <c r="AD30" s="2">
        <f t="shared" si="0"/>
        <v>2.0600000000000023</v>
      </c>
      <c r="AE30" s="138">
        <f t="shared" si="1"/>
        <v>-2.2057665038600627E-3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42576</v>
      </c>
      <c r="X31" s="41">
        <v>63.02</v>
      </c>
      <c r="Y31" s="41">
        <v>63.54</v>
      </c>
      <c r="Z31" s="41">
        <v>62.7</v>
      </c>
      <c r="AA31" s="41">
        <v>63.47</v>
      </c>
      <c r="AB31" s="104">
        <v>2205500</v>
      </c>
      <c r="AC31" s="9">
        <v>63.47</v>
      </c>
      <c r="AD31" s="2">
        <f t="shared" si="0"/>
        <v>0.83999999999999631</v>
      </c>
      <c r="AE31" s="138">
        <f t="shared" si="1"/>
        <v>2.2106426654033839E-3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42573</v>
      </c>
      <c r="X32" s="41">
        <v>63.17</v>
      </c>
      <c r="Y32" s="41">
        <v>63.38</v>
      </c>
      <c r="Z32" s="41">
        <v>62.77</v>
      </c>
      <c r="AA32" s="41">
        <v>63.33</v>
      </c>
      <c r="AB32" s="104">
        <v>736700</v>
      </c>
      <c r="AC32" s="9">
        <v>63.33</v>
      </c>
      <c r="AD32" s="2">
        <f t="shared" si="0"/>
        <v>0.60999999999999943</v>
      </c>
      <c r="AE32" s="138">
        <f t="shared" si="1"/>
        <v>5.8767471410419159E-3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42572</v>
      </c>
      <c r="X33" s="41">
        <v>63.31</v>
      </c>
      <c r="Y33" s="41">
        <v>63.57</v>
      </c>
      <c r="Z33" s="41">
        <v>62.53</v>
      </c>
      <c r="AA33" s="41">
        <v>62.96</v>
      </c>
      <c r="AB33" s="104">
        <v>810400</v>
      </c>
      <c r="AC33" s="9">
        <v>62.96</v>
      </c>
      <c r="AD33" s="2">
        <f t="shared" si="0"/>
        <v>1.0399999999999991</v>
      </c>
      <c r="AE33" s="138">
        <f t="shared" si="1"/>
        <v>-1.0529624391010572E-2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42571</v>
      </c>
      <c r="X34" s="41">
        <v>62.43</v>
      </c>
      <c r="Y34" s="41">
        <v>63.77</v>
      </c>
      <c r="Z34" s="41">
        <v>62.35</v>
      </c>
      <c r="AA34" s="41">
        <v>63.63</v>
      </c>
      <c r="AB34" s="104">
        <v>1184700</v>
      </c>
      <c r="AC34" s="9">
        <v>63.63</v>
      </c>
      <c r="AD34" s="2">
        <f t="shared" si="0"/>
        <v>1.4200000000000017</v>
      </c>
      <c r="AE34" s="138">
        <f t="shared" si="1"/>
        <v>1.6778523489932917E-2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42570</v>
      </c>
      <c r="X35" s="41">
        <v>62.3</v>
      </c>
      <c r="Y35" s="41">
        <v>62.7</v>
      </c>
      <c r="Z35" s="41">
        <v>62.14</v>
      </c>
      <c r="AA35" s="41">
        <v>62.58</v>
      </c>
      <c r="AB35" s="104">
        <v>1092300</v>
      </c>
      <c r="AC35" s="9">
        <v>62.58</v>
      </c>
      <c r="AD35" s="2">
        <f t="shared" si="0"/>
        <v>0.56000000000000227</v>
      </c>
      <c r="AE35" s="138">
        <f t="shared" si="1"/>
        <v>-2.2321428571429047E-3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223</v>
      </c>
      <c r="M36" s="2">
        <f>K54+M54-F54</f>
        <v>121.94999999999982</v>
      </c>
      <c r="W36" s="123">
        <v>42569</v>
      </c>
      <c r="X36" s="41">
        <v>62.08</v>
      </c>
      <c r="Y36" s="41">
        <v>62.88</v>
      </c>
      <c r="Z36" s="41">
        <v>62.04</v>
      </c>
      <c r="AA36" s="41">
        <v>62.72</v>
      </c>
      <c r="AB36" s="104">
        <v>782300</v>
      </c>
      <c r="AC36" s="9">
        <v>62.72</v>
      </c>
      <c r="AD36" s="2">
        <f t="shared" si="0"/>
        <v>0.84000000000000341</v>
      </c>
      <c r="AE36" s="138">
        <f t="shared" si="1"/>
        <v>6.9031947343072275E-3</v>
      </c>
    </row>
    <row r="37" spans="1:41" x14ac:dyDescent="0.25">
      <c r="A37" s="390" t="s">
        <v>1</v>
      </c>
      <c r="B37" s="390" t="s">
        <v>2</v>
      </c>
      <c r="C37" s="390" t="s">
        <v>4</v>
      </c>
      <c r="D37" s="391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1" t="s">
        <v>7</v>
      </c>
      <c r="J37" s="392" t="s">
        <v>95</v>
      </c>
      <c r="K37" s="392" t="s">
        <v>61</v>
      </c>
      <c r="L37" s="22" t="s">
        <v>37</v>
      </c>
      <c r="M37" s="22" t="s">
        <v>38</v>
      </c>
      <c r="W37" s="123">
        <v>42566</v>
      </c>
      <c r="X37" s="41">
        <v>62.52</v>
      </c>
      <c r="Y37" s="41">
        <v>62.85</v>
      </c>
      <c r="Z37" s="41">
        <v>62.01</v>
      </c>
      <c r="AA37" s="41">
        <v>62.29</v>
      </c>
      <c r="AB37" s="104">
        <v>633400</v>
      </c>
      <c r="AC37" s="9">
        <v>62.29</v>
      </c>
      <c r="AD37" s="2">
        <f t="shared" si="0"/>
        <v>0.84000000000000341</v>
      </c>
      <c r="AE37" s="138">
        <f t="shared" si="1"/>
        <v>-2.2425116130065925E-3</v>
      </c>
    </row>
    <row r="38" spans="1:41" x14ac:dyDescent="0.25">
      <c r="A38" s="393" t="s">
        <v>8</v>
      </c>
      <c r="B38" s="383">
        <v>42375</v>
      </c>
      <c r="C38" s="388">
        <v>40</v>
      </c>
      <c r="D38" s="389">
        <v>52.4</v>
      </c>
      <c r="E38" s="385">
        <v>0</v>
      </c>
      <c r="F38" s="385">
        <f>C38*D38+E38</f>
        <v>2096</v>
      </c>
      <c r="G38" s="383">
        <v>42416</v>
      </c>
      <c r="H38" s="388">
        <v>40</v>
      </c>
      <c r="I38" s="389">
        <v>55.45</v>
      </c>
      <c r="J38" s="385">
        <v>0.05</v>
      </c>
      <c r="K38" s="385">
        <f>H38*I38-J38</f>
        <v>2217.9499999999998</v>
      </c>
      <c r="L38" s="384"/>
      <c r="M38" s="384"/>
      <c r="W38" s="123">
        <v>42565</v>
      </c>
      <c r="X38" s="41">
        <v>62.26</v>
      </c>
      <c r="Y38" s="41">
        <v>62.89</v>
      </c>
      <c r="Z38" s="41">
        <v>62.1</v>
      </c>
      <c r="AA38" s="41">
        <v>62.43</v>
      </c>
      <c r="AB38" s="104">
        <v>985900</v>
      </c>
      <c r="AC38" s="9">
        <v>62.43</v>
      </c>
      <c r="AD38" s="2">
        <f t="shared" si="0"/>
        <v>0.78999999999999915</v>
      </c>
      <c r="AE38" s="138">
        <f t="shared" si="1"/>
        <v>1.1339705167665581E-2</v>
      </c>
    </row>
    <row r="39" spans="1:41" x14ac:dyDescent="0.25">
      <c r="A39" s="394"/>
      <c r="B39" s="383"/>
      <c r="C39" s="388"/>
      <c r="D39" s="389"/>
      <c r="E39" s="385"/>
      <c r="F39" s="385"/>
      <c r="G39" s="383"/>
      <c r="H39" s="388"/>
      <c r="I39" s="389"/>
      <c r="J39" s="385"/>
      <c r="K39" s="385"/>
      <c r="L39" s="384"/>
      <c r="M39" s="384"/>
      <c r="W39" s="123">
        <v>42564</v>
      </c>
      <c r="X39" s="41">
        <v>61.29</v>
      </c>
      <c r="Y39" s="41">
        <v>62.03</v>
      </c>
      <c r="Z39" s="41">
        <v>60.88</v>
      </c>
      <c r="AA39" s="41">
        <v>61.73</v>
      </c>
      <c r="AB39" s="104">
        <v>963500</v>
      </c>
      <c r="AC39" s="9">
        <v>61.73</v>
      </c>
      <c r="AD39" s="2">
        <f t="shared" si="0"/>
        <v>1.1499999999999986</v>
      </c>
      <c r="AE39" s="138">
        <f t="shared" si="1"/>
        <v>8.8249714005557145E-3</v>
      </c>
    </row>
    <row r="40" spans="1:41" x14ac:dyDescent="0.25">
      <c r="A40" s="384"/>
      <c r="B40" s="383"/>
      <c r="C40" s="388"/>
      <c r="D40" s="389"/>
      <c r="E40" s="385"/>
      <c r="F40" s="385"/>
      <c r="G40" s="383"/>
      <c r="H40" s="388"/>
      <c r="I40" s="389"/>
      <c r="J40" s="385"/>
      <c r="K40" s="385"/>
      <c r="L40" s="384"/>
      <c r="M40" s="384"/>
      <c r="W40" s="123">
        <v>42563</v>
      </c>
      <c r="X40" s="41">
        <v>60.71</v>
      </c>
      <c r="Y40" s="41">
        <v>61.39</v>
      </c>
      <c r="Z40" s="41">
        <v>60</v>
      </c>
      <c r="AA40" s="41">
        <v>61.19</v>
      </c>
      <c r="AB40" s="104">
        <v>1162500</v>
      </c>
      <c r="AC40" s="9">
        <v>61.19</v>
      </c>
      <c r="AD40" s="2">
        <f t="shared" si="0"/>
        <v>1.3900000000000006</v>
      </c>
      <c r="AE40" s="138">
        <f t="shared" si="1"/>
        <v>2.7885099949605197E-2</v>
      </c>
    </row>
    <row r="41" spans="1:41" x14ac:dyDescent="0.25">
      <c r="A41" s="384"/>
      <c r="B41" s="383"/>
      <c r="C41" s="388"/>
      <c r="D41" s="389"/>
      <c r="E41" s="385"/>
      <c r="F41" s="385"/>
      <c r="G41" s="383"/>
      <c r="H41" s="388"/>
      <c r="I41" s="389"/>
      <c r="J41" s="385"/>
      <c r="K41" s="385"/>
      <c r="L41" s="384"/>
      <c r="M41" s="384"/>
      <c r="W41" s="123">
        <v>42562</v>
      </c>
      <c r="X41" s="41">
        <v>59.91</v>
      </c>
      <c r="Y41" s="41">
        <v>60.2</v>
      </c>
      <c r="Z41" s="41">
        <v>59.51</v>
      </c>
      <c r="AA41" s="41">
        <v>59.53</v>
      </c>
      <c r="AB41" s="104">
        <v>1145200</v>
      </c>
      <c r="AC41" s="9">
        <v>59.53</v>
      </c>
      <c r="AD41" s="2">
        <f t="shared" si="0"/>
        <v>0.69000000000000483</v>
      </c>
      <c r="AE41" s="138">
        <f t="shared" si="1"/>
        <v>-6.3428476047403537E-3</v>
      </c>
      <c r="AL41" s="234"/>
      <c r="AO41" s="234"/>
    </row>
    <row r="42" spans="1:41" ht="20.25" thickBot="1" x14ac:dyDescent="0.35">
      <c r="A42" s="384"/>
      <c r="B42" s="383"/>
      <c r="C42" s="388"/>
      <c r="D42" s="389"/>
      <c r="E42" s="385"/>
      <c r="F42" s="385"/>
      <c r="G42" s="383"/>
      <c r="H42" s="388"/>
      <c r="I42" s="389"/>
      <c r="J42" s="385"/>
      <c r="K42" s="385"/>
      <c r="L42" s="384"/>
      <c r="M42" s="384"/>
      <c r="O42" s="377" t="s">
        <v>78</v>
      </c>
      <c r="P42" s="377"/>
      <c r="T42" s="105" t="s">
        <v>92</v>
      </c>
      <c r="U42" s="109"/>
      <c r="W42" s="123">
        <v>42559</v>
      </c>
      <c r="X42" s="41">
        <v>59.35</v>
      </c>
      <c r="Y42" s="41">
        <v>60.44</v>
      </c>
      <c r="Z42" s="41">
        <v>59.32</v>
      </c>
      <c r="AA42" s="41">
        <v>59.91</v>
      </c>
      <c r="AB42" s="104">
        <v>910700</v>
      </c>
      <c r="AC42" s="9">
        <v>59.91</v>
      </c>
      <c r="AD42" s="2">
        <f t="shared" si="0"/>
        <v>1.1199999999999974</v>
      </c>
      <c r="AE42" s="138">
        <f t="shared" si="1"/>
        <v>1.5423728813559245E-2</v>
      </c>
    </row>
    <row r="43" spans="1:41" ht="15.75" thickTop="1" x14ac:dyDescent="0.25">
      <c r="A43" s="384"/>
      <c r="B43" s="383"/>
      <c r="C43" s="388"/>
      <c r="D43" s="389"/>
      <c r="E43" s="385"/>
      <c r="F43" s="385"/>
      <c r="G43" s="383"/>
      <c r="H43" s="388"/>
      <c r="I43" s="389"/>
      <c r="J43" s="385"/>
      <c r="K43" s="385"/>
      <c r="L43" s="384"/>
      <c r="M43" s="384"/>
      <c r="O43" s="83">
        <v>1.1000000000000001</v>
      </c>
      <c r="P43" s="83">
        <f t="shared" ref="P43:P63" si="2">O43*$Q$4</f>
        <v>71.984000000000009</v>
      </c>
      <c r="T43" s="139" t="s">
        <v>98</v>
      </c>
      <c r="U43" s="140">
        <v>64.67</v>
      </c>
      <c r="W43" s="123">
        <v>42558</v>
      </c>
      <c r="X43" s="41">
        <v>59.91</v>
      </c>
      <c r="Y43" s="41">
        <v>60</v>
      </c>
      <c r="Z43" s="41">
        <v>58.65</v>
      </c>
      <c r="AA43" s="41">
        <v>59</v>
      </c>
      <c r="AB43" s="104">
        <v>683500</v>
      </c>
      <c r="AC43" s="9">
        <v>59</v>
      </c>
      <c r="AD43" s="2">
        <f t="shared" si="0"/>
        <v>1.3500000000000014</v>
      </c>
      <c r="AE43" s="138">
        <f t="shared" si="1"/>
        <v>-6.3994610980128153E-3</v>
      </c>
    </row>
    <row r="44" spans="1:41" x14ac:dyDescent="0.25">
      <c r="A44" s="384"/>
      <c r="B44" s="383"/>
      <c r="C44" s="388"/>
      <c r="D44" s="389"/>
      <c r="E44" s="385"/>
      <c r="F44" s="385"/>
      <c r="G44" s="383"/>
      <c r="H44" s="388"/>
      <c r="I44" s="389"/>
      <c r="J44" s="385"/>
      <c r="K44" s="385"/>
      <c r="L44" s="384"/>
      <c r="M44" s="384"/>
      <c r="O44" s="83">
        <v>1.0900000000000001</v>
      </c>
      <c r="P44" s="83">
        <f t="shared" si="2"/>
        <v>71.329599999999999</v>
      </c>
      <c r="T44" s="108" t="s">
        <v>99</v>
      </c>
      <c r="U44" s="106">
        <v>65.12</v>
      </c>
      <c r="W44" s="123">
        <v>42557</v>
      </c>
      <c r="X44" s="41">
        <v>58.78</v>
      </c>
      <c r="Y44" s="41">
        <v>59.49</v>
      </c>
      <c r="Z44" s="41">
        <v>58.21</v>
      </c>
      <c r="AA44" s="41">
        <v>59.38</v>
      </c>
      <c r="AB44" s="104">
        <v>495000</v>
      </c>
      <c r="AC44" s="9">
        <v>59.38</v>
      </c>
      <c r="AD44" s="2">
        <f t="shared" si="0"/>
        <v>1.2800000000000011</v>
      </c>
      <c r="AE44" s="138">
        <f t="shared" si="1"/>
        <v>3.0405405405404817E-3</v>
      </c>
    </row>
    <row r="45" spans="1:41" x14ac:dyDescent="0.25">
      <c r="A45" s="384"/>
      <c r="B45" s="384"/>
      <c r="C45" s="384"/>
      <c r="D45" s="389"/>
      <c r="E45" s="385"/>
      <c r="F45" s="385"/>
      <c r="G45" s="384"/>
      <c r="H45" s="384"/>
      <c r="I45" s="389"/>
      <c r="J45" s="385"/>
      <c r="K45" s="385"/>
      <c r="L45" s="384"/>
      <c r="M45" s="384"/>
      <c r="O45" s="83">
        <v>1.08</v>
      </c>
      <c r="P45" s="83">
        <f t="shared" si="2"/>
        <v>70.675200000000004</v>
      </c>
      <c r="Q45" s="2"/>
      <c r="T45" s="108" t="s">
        <v>100</v>
      </c>
      <c r="U45" s="106" t="s">
        <v>413</v>
      </c>
      <c r="W45" s="123">
        <v>42556</v>
      </c>
      <c r="X45" s="41">
        <v>59.46</v>
      </c>
      <c r="Y45" s="41">
        <v>60.23</v>
      </c>
      <c r="Z45" s="41">
        <v>59.04</v>
      </c>
      <c r="AA45" s="41">
        <v>59.2</v>
      </c>
      <c r="AB45" s="104">
        <v>962300</v>
      </c>
      <c r="AC45" s="9">
        <v>59.2</v>
      </c>
      <c r="AD45" s="2">
        <f t="shared" si="0"/>
        <v>1.1899999999999977</v>
      </c>
      <c r="AE45" s="138">
        <f t="shared" si="1"/>
        <v>-6.7521944631998565E-4</v>
      </c>
      <c r="AL45" s="234"/>
      <c r="AO45" s="234"/>
    </row>
    <row r="46" spans="1:41" x14ac:dyDescent="0.25">
      <c r="A46" s="384"/>
      <c r="B46" s="384"/>
      <c r="C46" s="384"/>
      <c r="D46" s="389"/>
      <c r="E46" s="385"/>
      <c r="F46" s="385"/>
      <c r="G46" s="384"/>
      <c r="H46" s="384"/>
      <c r="I46" s="389"/>
      <c r="J46" s="385"/>
      <c r="K46" s="385"/>
      <c r="L46" s="384"/>
      <c r="M46" s="384"/>
      <c r="O46" s="83">
        <v>1.07</v>
      </c>
      <c r="P46" s="83">
        <f t="shared" si="2"/>
        <v>70.020800000000008</v>
      </c>
      <c r="Q46" s="2"/>
      <c r="T46" s="108" t="s">
        <v>101</v>
      </c>
      <c r="U46" s="106" t="s">
        <v>414</v>
      </c>
      <c r="W46" s="123">
        <v>42552</v>
      </c>
      <c r="X46" s="41">
        <v>59.29</v>
      </c>
      <c r="Y46" s="41">
        <v>59.56</v>
      </c>
      <c r="Z46" s="41">
        <v>58.99</v>
      </c>
      <c r="AA46" s="41">
        <v>59.24</v>
      </c>
      <c r="AB46" s="104">
        <v>345900</v>
      </c>
      <c r="AC46" s="9">
        <v>59.24</v>
      </c>
      <c r="AD46" s="2">
        <f t="shared" si="0"/>
        <v>0.57000000000000028</v>
      </c>
      <c r="AE46" s="138">
        <f t="shared" si="1"/>
        <v>3.0477480528277034E-3</v>
      </c>
    </row>
    <row r="47" spans="1:41" x14ac:dyDescent="0.25">
      <c r="A47" s="384"/>
      <c r="B47" s="384"/>
      <c r="C47" s="384"/>
      <c r="D47" s="389"/>
      <c r="E47" s="385"/>
      <c r="F47" s="385"/>
      <c r="G47" s="384"/>
      <c r="H47" s="384"/>
      <c r="I47" s="389"/>
      <c r="J47" s="385"/>
      <c r="K47" s="385"/>
      <c r="L47" s="384"/>
      <c r="M47" s="384"/>
      <c r="O47" s="83">
        <v>1.06</v>
      </c>
      <c r="P47" s="83">
        <f t="shared" si="2"/>
        <v>69.366399999999999</v>
      </c>
      <c r="Q47" s="2"/>
      <c r="T47" s="108" t="s">
        <v>102</v>
      </c>
      <c r="U47" s="106">
        <v>63.29</v>
      </c>
      <c r="W47" s="123">
        <v>42551</v>
      </c>
      <c r="X47" s="41">
        <v>58.73</v>
      </c>
      <c r="Y47" s="41">
        <v>59.21</v>
      </c>
      <c r="Z47" s="41">
        <v>58.01</v>
      </c>
      <c r="AA47" s="41">
        <v>59.06</v>
      </c>
      <c r="AB47" s="104">
        <v>928600</v>
      </c>
      <c r="AC47" s="9">
        <v>59.06</v>
      </c>
      <c r="AD47" s="2">
        <f t="shared" si="0"/>
        <v>1.2000000000000028</v>
      </c>
      <c r="AE47" s="138">
        <f t="shared" si="1"/>
        <v>9.2276144907723623E-3</v>
      </c>
    </row>
    <row r="48" spans="1:41" x14ac:dyDescent="0.25">
      <c r="A48" s="384"/>
      <c r="B48" s="384"/>
      <c r="C48" s="384"/>
      <c r="D48" s="389"/>
      <c r="E48" s="385"/>
      <c r="F48" s="385"/>
      <c r="G48" s="384"/>
      <c r="H48" s="384"/>
      <c r="I48" s="389"/>
      <c r="J48" s="385"/>
      <c r="K48" s="385"/>
      <c r="L48" s="384"/>
      <c r="M48" s="384"/>
      <c r="O48" s="83">
        <v>1.05</v>
      </c>
      <c r="P48" s="83">
        <f t="shared" si="2"/>
        <v>68.712000000000003</v>
      </c>
      <c r="Q48" s="2"/>
      <c r="T48" s="108" t="s">
        <v>103</v>
      </c>
      <c r="U48" s="106">
        <v>1.22295</v>
      </c>
      <c r="W48" s="123">
        <v>42550</v>
      </c>
      <c r="X48" s="41">
        <v>57.86</v>
      </c>
      <c r="Y48" s="41">
        <v>58.64</v>
      </c>
      <c r="Z48" s="41">
        <v>57.46</v>
      </c>
      <c r="AA48" s="41">
        <v>58.52</v>
      </c>
      <c r="AB48" s="104">
        <v>1097100</v>
      </c>
      <c r="AC48" s="9">
        <v>58.52</v>
      </c>
      <c r="AD48" s="2">
        <f t="shared" si="0"/>
        <v>1.1799999999999997</v>
      </c>
      <c r="AE48" s="138">
        <f t="shared" si="1"/>
        <v>1.7562163102069261E-2</v>
      </c>
    </row>
    <row r="49" spans="1:42" x14ac:dyDescent="0.25">
      <c r="A49" s="384"/>
      <c r="B49" s="384"/>
      <c r="C49" s="384"/>
      <c r="D49" s="389"/>
      <c r="E49" s="385"/>
      <c r="F49" s="385"/>
      <c r="G49" s="384"/>
      <c r="H49" s="384"/>
      <c r="I49" s="389"/>
      <c r="J49" s="385"/>
      <c r="K49" s="385"/>
      <c r="L49" s="384"/>
      <c r="M49" s="384"/>
      <c r="O49" s="83">
        <v>1.04</v>
      </c>
      <c r="P49" s="83">
        <f t="shared" si="2"/>
        <v>68.057599999999994</v>
      </c>
      <c r="Q49" s="2"/>
      <c r="T49" s="108" t="s">
        <v>104</v>
      </c>
      <c r="U49" s="106" t="s">
        <v>130</v>
      </c>
      <c r="W49" s="123">
        <v>42549</v>
      </c>
      <c r="X49" s="41">
        <v>56.99</v>
      </c>
      <c r="Y49" s="41">
        <v>57.69</v>
      </c>
      <c r="Z49" s="41">
        <v>56.51</v>
      </c>
      <c r="AA49" s="41">
        <v>57.51</v>
      </c>
      <c r="AB49" s="104">
        <v>988100</v>
      </c>
      <c r="AC49" s="9">
        <v>57.51</v>
      </c>
      <c r="AD49" s="2">
        <f t="shared" si="0"/>
        <v>1.1799999999999997</v>
      </c>
      <c r="AE49" s="138">
        <f t="shared" si="1"/>
        <v>1.9680851063829774E-2</v>
      </c>
    </row>
    <row r="50" spans="1:42" x14ac:dyDescent="0.25">
      <c r="A50" s="384"/>
      <c r="B50" s="384"/>
      <c r="C50" s="384"/>
      <c r="D50" s="389"/>
      <c r="E50" s="385"/>
      <c r="F50" s="385"/>
      <c r="G50" s="384"/>
      <c r="H50" s="384"/>
      <c r="I50" s="389"/>
      <c r="J50" s="385"/>
      <c r="K50" s="385"/>
      <c r="L50" s="384"/>
      <c r="M50" s="384"/>
      <c r="O50" s="83">
        <v>1.03</v>
      </c>
      <c r="P50" s="83">
        <f t="shared" si="2"/>
        <v>67.403199999999998</v>
      </c>
      <c r="Q50" s="2"/>
      <c r="T50" s="108"/>
      <c r="U50" s="106"/>
      <c r="W50" s="123">
        <v>42548</v>
      </c>
      <c r="X50" s="41">
        <v>56.4</v>
      </c>
      <c r="Y50" s="41">
        <v>56.78</v>
      </c>
      <c r="Z50" s="41">
        <v>55.73</v>
      </c>
      <c r="AA50" s="41">
        <v>56.4</v>
      </c>
      <c r="AB50" s="104">
        <v>1199600</v>
      </c>
      <c r="AC50" s="9">
        <v>56.4</v>
      </c>
      <c r="AD50" s="2">
        <f t="shared" si="0"/>
        <v>1.0500000000000043</v>
      </c>
      <c r="AE50" s="138">
        <f t="shared" si="1"/>
        <v>-1.0699877214523812E-2</v>
      </c>
    </row>
    <row r="51" spans="1:42" x14ac:dyDescent="0.25">
      <c r="A51" s="384"/>
      <c r="B51" s="384"/>
      <c r="C51" s="384"/>
      <c r="D51" s="389"/>
      <c r="E51" s="385"/>
      <c r="F51" s="385"/>
      <c r="G51" s="384"/>
      <c r="H51" s="384"/>
      <c r="I51" s="389"/>
      <c r="J51" s="385"/>
      <c r="K51" s="385"/>
      <c r="L51" s="384"/>
      <c r="M51" s="384"/>
      <c r="O51" s="83">
        <v>1.02</v>
      </c>
      <c r="P51" s="83">
        <f t="shared" si="2"/>
        <v>66.748800000000003</v>
      </c>
      <c r="Q51" s="2"/>
      <c r="T51" s="108" t="s">
        <v>105</v>
      </c>
      <c r="U51" s="106" t="s">
        <v>415</v>
      </c>
      <c r="W51" s="123">
        <v>42545</v>
      </c>
      <c r="X51" s="41">
        <v>57.19</v>
      </c>
      <c r="Y51" s="41">
        <v>58.11</v>
      </c>
      <c r="Z51" s="41">
        <v>56.85</v>
      </c>
      <c r="AA51" s="41">
        <v>57.01</v>
      </c>
      <c r="AB51" s="104">
        <v>1140600</v>
      </c>
      <c r="AC51" s="9">
        <v>57.01</v>
      </c>
      <c r="AD51" s="2">
        <f t="shared" si="0"/>
        <v>1.259999999999998</v>
      </c>
      <c r="AE51" s="138">
        <f>AC51/AC52-1</f>
        <v>-4.3135280295401146E-2</v>
      </c>
    </row>
    <row r="52" spans="1:42" x14ac:dyDescent="0.25">
      <c r="A52" s="384"/>
      <c r="B52" s="384"/>
      <c r="C52" s="384"/>
      <c r="D52" s="389"/>
      <c r="E52" s="385"/>
      <c r="F52" s="385"/>
      <c r="G52" s="384"/>
      <c r="H52" s="384"/>
      <c r="I52" s="389"/>
      <c r="J52" s="385"/>
      <c r="K52" s="385"/>
      <c r="L52" s="384"/>
      <c r="M52" s="384"/>
      <c r="O52" s="83">
        <v>1.01</v>
      </c>
      <c r="P52" s="83">
        <f t="shared" si="2"/>
        <v>66.094399999999993</v>
      </c>
      <c r="Q52" s="2"/>
      <c r="T52" s="108" t="s">
        <v>106</v>
      </c>
      <c r="U52" s="106" t="s">
        <v>215</v>
      </c>
      <c r="W52" s="123">
        <v>42544</v>
      </c>
      <c r="X52" s="41">
        <v>59.7</v>
      </c>
      <c r="Y52" s="41">
        <v>60.07</v>
      </c>
      <c r="Z52" s="41">
        <v>59.42</v>
      </c>
      <c r="AA52" s="41">
        <v>59.58</v>
      </c>
      <c r="AB52" s="104">
        <v>580600</v>
      </c>
      <c r="AC52" s="9">
        <v>59.58</v>
      </c>
      <c r="AD52" s="2">
        <f t="shared" si="0"/>
        <v>0.64999999999999858</v>
      </c>
      <c r="AE52" s="138">
        <f t="shared" si="1"/>
        <v>9.4883090477804188E-3</v>
      </c>
    </row>
    <row r="53" spans="1:42" x14ac:dyDescent="0.25">
      <c r="A53" s="384"/>
      <c r="B53" s="384"/>
      <c r="C53" s="384"/>
      <c r="D53" s="389"/>
      <c r="E53" s="385"/>
      <c r="F53" s="385"/>
      <c r="G53" s="384"/>
      <c r="H53" s="384"/>
      <c r="I53" s="389"/>
      <c r="J53" s="385"/>
      <c r="K53" s="385"/>
      <c r="L53" s="384"/>
      <c r="M53" s="384"/>
      <c r="O53" s="83">
        <v>1</v>
      </c>
      <c r="P53" s="83">
        <f t="shared" si="2"/>
        <v>65.44</v>
      </c>
      <c r="Q53" s="2"/>
      <c r="T53" s="108" t="s">
        <v>107</v>
      </c>
      <c r="U53" s="107">
        <v>897448</v>
      </c>
      <c r="W53" s="123">
        <v>42543</v>
      </c>
      <c r="X53" s="41">
        <v>58.11</v>
      </c>
      <c r="Y53" s="41">
        <v>59.1</v>
      </c>
      <c r="Z53" s="41">
        <v>58.11</v>
      </c>
      <c r="AA53" s="41">
        <v>59.02</v>
      </c>
      <c r="AB53" s="104">
        <v>695400</v>
      </c>
      <c r="AC53" s="9">
        <v>59.02</v>
      </c>
      <c r="AD53" s="2">
        <f t="shared" si="0"/>
        <v>0.99000000000000199</v>
      </c>
      <c r="AE53" s="138">
        <f t="shared" si="1"/>
        <v>1.0616438356164437E-2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64.785600000000002</v>
      </c>
      <c r="Q54" s="2"/>
      <c r="T54" s="108" t="s">
        <v>110</v>
      </c>
      <c r="U54" s="107">
        <v>873429</v>
      </c>
      <c r="W54" s="123">
        <v>42542</v>
      </c>
      <c r="X54" s="41">
        <v>57.92</v>
      </c>
      <c r="Y54" s="41">
        <v>58.9</v>
      </c>
      <c r="Z54" s="41">
        <v>57.54</v>
      </c>
      <c r="AA54" s="41">
        <v>58.4</v>
      </c>
      <c r="AB54" s="104">
        <v>1250600</v>
      </c>
      <c r="AC54" s="9">
        <v>58.4</v>
      </c>
      <c r="AD54" s="2">
        <f t="shared" si="0"/>
        <v>1.3599999999999994</v>
      </c>
      <c r="AE54" s="138">
        <f t="shared" si="1"/>
        <v>-8.6572738075029187E-3</v>
      </c>
    </row>
    <row r="55" spans="1:42" x14ac:dyDescent="0.25">
      <c r="O55" s="83">
        <v>0.98</v>
      </c>
      <c r="P55" s="83">
        <f t="shared" si="2"/>
        <v>64.131199999999993</v>
      </c>
      <c r="T55" s="108" t="s">
        <v>108</v>
      </c>
      <c r="U55" s="106" t="s">
        <v>416</v>
      </c>
      <c r="W55" s="123">
        <v>42541</v>
      </c>
      <c r="X55" s="41">
        <v>59.26</v>
      </c>
      <c r="Y55" s="41">
        <v>59.49</v>
      </c>
      <c r="Z55" s="41">
        <v>58.79</v>
      </c>
      <c r="AA55" s="41">
        <v>58.91</v>
      </c>
      <c r="AB55" s="104">
        <v>986900</v>
      </c>
      <c r="AC55" s="9">
        <v>58.91</v>
      </c>
      <c r="AD55" s="2">
        <f t="shared" si="0"/>
        <v>0.70000000000000284</v>
      </c>
      <c r="AE55" s="138">
        <f t="shared" si="1"/>
        <v>8.9056345264599823E-3</v>
      </c>
    </row>
    <row r="56" spans="1:42" x14ac:dyDescent="0.25">
      <c r="O56" s="83">
        <v>0.97</v>
      </c>
      <c r="P56" s="83">
        <f t="shared" si="2"/>
        <v>63.476799999999997</v>
      </c>
      <c r="T56" s="108" t="s">
        <v>111</v>
      </c>
      <c r="U56" s="106">
        <v>18.649999999999999</v>
      </c>
      <c r="W56" s="123">
        <v>42538</v>
      </c>
      <c r="X56" s="41">
        <v>58.15</v>
      </c>
      <c r="Y56" s="41">
        <v>58.94</v>
      </c>
      <c r="Z56" s="41">
        <v>58.03</v>
      </c>
      <c r="AA56" s="41">
        <v>58.39</v>
      </c>
      <c r="AB56" s="104">
        <v>973500</v>
      </c>
      <c r="AC56" s="9">
        <v>58.39</v>
      </c>
      <c r="AD56" s="2">
        <f t="shared" si="0"/>
        <v>0.90999999999999659</v>
      </c>
      <c r="AE56" s="138">
        <f t="shared" si="1"/>
        <v>6.8977409898258735E-3</v>
      </c>
    </row>
    <row r="57" spans="1:42" x14ac:dyDescent="0.25">
      <c r="O57" s="83">
        <v>0.96</v>
      </c>
      <c r="P57" s="83">
        <f t="shared" si="2"/>
        <v>62.822399999999995</v>
      </c>
      <c r="T57" s="108" t="s">
        <v>112</v>
      </c>
      <c r="U57" s="106">
        <v>3.51</v>
      </c>
      <c r="W57" s="123">
        <v>42537</v>
      </c>
      <c r="X57" s="41">
        <v>57.32</v>
      </c>
      <c r="Y57" s="41">
        <v>58.07</v>
      </c>
      <c r="Z57" s="41">
        <v>56.29</v>
      </c>
      <c r="AA57" s="41">
        <v>57.99</v>
      </c>
      <c r="AB57" s="104">
        <v>1628600</v>
      </c>
      <c r="AC57" s="9">
        <v>57.99</v>
      </c>
      <c r="AD57" s="2">
        <f t="shared" si="0"/>
        <v>1.7800000000000011</v>
      </c>
      <c r="AE57" s="138">
        <f t="shared" si="1"/>
        <v>-1.7214666896195885E-3</v>
      </c>
      <c r="AL57" s="234"/>
      <c r="AO57" s="234"/>
    </row>
    <row r="58" spans="1:42" x14ac:dyDescent="0.25">
      <c r="O58" s="83">
        <v>0.95</v>
      </c>
      <c r="P58" s="83">
        <f t="shared" si="2"/>
        <v>62.167999999999992</v>
      </c>
      <c r="T58" s="108" t="s">
        <v>109</v>
      </c>
      <c r="U58" s="106" t="s">
        <v>575</v>
      </c>
      <c r="W58" s="123">
        <v>42536</v>
      </c>
      <c r="X58" s="41">
        <v>58.05</v>
      </c>
      <c r="Y58" s="41">
        <v>58.73</v>
      </c>
      <c r="Z58" s="41">
        <v>57.97</v>
      </c>
      <c r="AA58" s="41">
        <v>58.09</v>
      </c>
      <c r="AB58" s="104">
        <v>1086400</v>
      </c>
      <c r="AC58" s="9">
        <v>58.09</v>
      </c>
      <c r="AD58" s="2">
        <f t="shared" si="0"/>
        <v>0.75999999999999801</v>
      </c>
      <c r="AE58" s="138">
        <f t="shared" si="1"/>
        <v>-4.7969847524411691E-3</v>
      </c>
    </row>
    <row r="59" spans="1:42" x14ac:dyDescent="0.25">
      <c r="O59" s="83">
        <v>0.94</v>
      </c>
      <c r="P59" s="83">
        <f t="shared" si="2"/>
        <v>61.513599999999997</v>
      </c>
      <c r="W59" s="123">
        <v>42535</v>
      </c>
      <c r="X59" s="41">
        <v>58.31</v>
      </c>
      <c r="Y59" s="41">
        <v>58.75</v>
      </c>
      <c r="Z59" s="41">
        <v>58.11</v>
      </c>
      <c r="AA59" s="41">
        <v>58.37</v>
      </c>
      <c r="AB59" s="104">
        <v>728300</v>
      </c>
      <c r="AC59" s="9">
        <v>58.37</v>
      </c>
      <c r="AD59" s="2">
        <f t="shared" si="0"/>
        <v>0.64000000000000057</v>
      </c>
      <c r="AE59" s="138">
        <f t="shared" si="1"/>
        <v>-2.5632262474368783E-3</v>
      </c>
      <c r="AL59" s="234"/>
    </row>
    <row r="60" spans="1:42" x14ac:dyDescent="0.25">
      <c r="O60" s="83">
        <v>0.93</v>
      </c>
      <c r="P60" s="83">
        <f t="shared" si="2"/>
        <v>60.859200000000001</v>
      </c>
      <c r="W60" s="123">
        <v>42534</v>
      </c>
      <c r="X60" s="41">
        <v>58.86</v>
      </c>
      <c r="Y60" s="41">
        <v>59.02</v>
      </c>
      <c r="Z60" s="41">
        <v>58.41</v>
      </c>
      <c r="AA60" s="41">
        <v>58.52</v>
      </c>
      <c r="AB60" s="104">
        <v>1012900</v>
      </c>
      <c r="AC60" s="9">
        <v>58.52</v>
      </c>
      <c r="AD60" s="2">
        <f t="shared" si="0"/>
        <v>0.61000000000000654</v>
      </c>
      <c r="AE60" s="138">
        <f t="shared" si="1"/>
        <v>-1.1319479641831331E-2</v>
      </c>
    </row>
    <row r="61" spans="1:42" x14ac:dyDescent="0.25">
      <c r="O61" s="83">
        <v>0.92</v>
      </c>
      <c r="P61" s="83">
        <f t="shared" si="2"/>
        <v>60.204799999999999</v>
      </c>
      <c r="W61" s="123">
        <v>42531</v>
      </c>
      <c r="X61" s="41">
        <v>59.7</v>
      </c>
      <c r="Y61" s="41">
        <v>59.94</v>
      </c>
      <c r="Z61" s="41">
        <v>58.93</v>
      </c>
      <c r="AA61" s="41">
        <v>59.19</v>
      </c>
      <c r="AB61" s="104">
        <v>753800</v>
      </c>
      <c r="AC61" s="9">
        <v>59.19</v>
      </c>
      <c r="AD61" s="2">
        <f t="shared" si="0"/>
        <v>1.009999999999998</v>
      </c>
      <c r="AE61" s="138">
        <f t="shared" si="1"/>
        <v>-1.6940707523667164E-2</v>
      </c>
      <c r="AL61" s="234"/>
      <c r="AO61" s="234"/>
    </row>
    <row r="62" spans="1:42" x14ac:dyDescent="0.25">
      <c r="O62" s="83">
        <v>0.91</v>
      </c>
      <c r="P62" s="83">
        <f t="shared" si="2"/>
        <v>59.550400000000003</v>
      </c>
      <c r="W62" s="123">
        <v>42530</v>
      </c>
      <c r="X62" s="41">
        <v>60.33</v>
      </c>
      <c r="Y62" s="41">
        <v>60.39</v>
      </c>
      <c r="Z62" s="41">
        <v>59.8</v>
      </c>
      <c r="AA62" s="41">
        <v>60.21</v>
      </c>
      <c r="AB62" s="104">
        <v>561900</v>
      </c>
      <c r="AC62" s="9">
        <v>60.21</v>
      </c>
      <c r="AD62" s="2">
        <f t="shared" si="0"/>
        <v>0.59000000000000341</v>
      </c>
      <c r="AE62" s="138">
        <f t="shared" si="1"/>
        <v>-8.3992094861660149E-3</v>
      </c>
    </row>
    <row r="63" spans="1:42" x14ac:dyDescent="0.25">
      <c r="O63" s="83">
        <v>0.9</v>
      </c>
      <c r="P63" s="83">
        <f t="shared" si="2"/>
        <v>58.896000000000001</v>
      </c>
      <c r="W63" s="123">
        <v>42529</v>
      </c>
      <c r="X63" s="41">
        <v>61.13</v>
      </c>
      <c r="Y63" s="41">
        <v>61.4</v>
      </c>
      <c r="Z63" s="41">
        <v>60.62</v>
      </c>
      <c r="AA63" s="41">
        <v>60.72</v>
      </c>
      <c r="AB63" s="104">
        <v>973700</v>
      </c>
      <c r="AC63" s="9">
        <v>60.72</v>
      </c>
      <c r="AD63" s="2">
        <f t="shared" si="0"/>
        <v>0.78000000000000114</v>
      </c>
      <c r="AE63" s="138">
        <f t="shared" si="1"/>
        <v>1.980198019801982E-3</v>
      </c>
      <c r="AL63" s="234"/>
      <c r="AO63" s="234"/>
      <c r="AP63" s="234"/>
    </row>
    <row r="64" spans="1:42" x14ac:dyDescent="0.25">
      <c r="W64" s="123">
        <v>42528</v>
      </c>
      <c r="X64" s="41">
        <v>60.43</v>
      </c>
      <c r="Y64" s="41">
        <v>60.7</v>
      </c>
      <c r="Z64" s="41">
        <v>60.21</v>
      </c>
      <c r="AA64" s="41">
        <v>60.6</v>
      </c>
      <c r="AB64" s="104">
        <v>836200</v>
      </c>
      <c r="AC64" s="9">
        <v>60.6</v>
      </c>
      <c r="AD64" s="2">
        <f t="shared" si="0"/>
        <v>0.49000000000000199</v>
      </c>
      <c r="AE64" s="138" t="e">
        <f t="shared" si="1"/>
        <v>#DIV/0!</v>
      </c>
    </row>
    <row r="65" spans="23:41" x14ac:dyDescent="0.25">
      <c r="W65" s="123">
        <v>42528</v>
      </c>
      <c r="X65" s="41" t="s">
        <v>243</v>
      </c>
      <c r="Y65" s="41"/>
      <c r="Z65" s="41"/>
      <c r="AA65" s="41"/>
      <c r="AB65" s="104"/>
      <c r="AC65" s="9"/>
      <c r="AD65" s="2">
        <f t="shared" si="0"/>
        <v>0</v>
      </c>
      <c r="AE65" s="138">
        <f t="shared" si="1"/>
        <v>-1</v>
      </c>
      <c r="AL65" s="234"/>
      <c r="AO65" s="234"/>
    </row>
    <row r="66" spans="23:41" x14ac:dyDescent="0.25">
      <c r="W66" s="123">
        <v>42527</v>
      </c>
      <c r="X66" s="41">
        <v>60.11</v>
      </c>
      <c r="Y66" s="41">
        <v>60.6</v>
      </c>
      <c r="Z66" s="41">
        <v>59.93</v>
      </c>
      <c r="AA66" s="41">
        <v>60.42</v>
      </c>
      <c r="AB66" s="104">
        <v>613000</v>
      </c>
      <c r="AC66" s="9">
        <v>60.13</v>
      </c>
      <c r="AD66" s="2">
        <f t="shared" si="0"/>
        <v>0.67000000000000171</v>
      </c>
      <c r="AE66" s="138">
        <f t="shared" si="1"/>
        <v>7.5402144772118707E-3</v>
      </c>
    </row>
    <row r="67" spans="23:41" x14ac:dyDescent="0.25">
      <c r="W67" s="123">
        <v>42524</v>
      </c>
      <c r="X67" s="41">
        <v>59.3</v>
      </c>
      <c r="Y67" s="41">
        <v>60.18</v>
      </c>
      <c r="Z67" s="41">
        <v>58.89</v>
      </c>
      <c r="AA67" s="41">
        <v>59.97</v>
      </c>
      <c r="AB67" s="104">
        <v>902400</v>
      </c>
      <c r="AC67" s="9">
        <v>59.68</v>
      </c>
      <c r="AD67" s="2">
        <f>Y67-Z67</f>
        <v>1.2899999999999991</v>
      </c>
      <c r="AE67" s="138">
        <f>AC67/AC68-1</f>
        <v>1.9299743808710579E-2</v>
      </c>
      <c r="AL67" s="234"/>
    </row>
    <row r="68" spans="23:41" x14ac:dyDescent="0.25">
      <c r="W68" s="123">
        <v>42523</v>
      </c>
      <c r="X68" s="41">
        <v>58.69</v>
      </c>
      <c r="Y68" s="41">
        <v>59.12</v>
      </c>
      <c r="Z68" s="41">
        <v>58.63</v>
      </c>
      <c r="AA68" s="41">
        <v>58.84</v>
      </c>
      <c r="AB68" s="104">
        <v>648400</v>
      </c>
      <c r="AC68" s="9">
        <v>58.55</v>
      </c>
      <c r="AD68" s="2">
        <f>Y68-Z68</f>
        <v>0.48999999999999488</v>
      </c>
      <c r="AE68" s="138" t="e">
        <f>AC68/AC69-1</f>
        <v>#DIV/0!</v>
      </c>
    </row>
    <row r="69" spans="23:41" x14ac:dyDescent="0.25">
      <c r="W69" s="30" t="s">
        <v>122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406" priority="39">
      <formula>Q12&gt;0</formula>
    </cfRule>
    <cfRule type="expression" dxfId="405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404" priority="33">
      <formula>F25&gt;0</formula>
    </cfRule>
    <cfRule type="expression" dxfId="403" priority="34">
      <formula>F25&lt;0</formula>
    </cfRule>
  </conditionalFormatting>
  <conditionalFormatting sqref="F30">
    <cfRule type="expression" dxfId="402" priority="31">
      <formula>F30&gt;0</formula>
    </cfRule>
    <cfRule type="expression" dxfId="401" priority="32">
      <formula>F30&lt;0</formula>
    </cfRule>
  </conditionalFormatting>
  <conditionalFormatting sqref="F31">
    <cfRule type="expression" dxfId="400" priority="29">
      <formula>F31&gt;0</formula>
    </cfRule>
    <cfRule type="expression" dxfId="399" priority="30">
      <formula>F31&lt;0</formula>
    </cfRule>
  </conditionalFormatting>
  <conditionalFormatting sqref="F32:F34">
    <cfRule type="expression" dxfId="398" priority="27">
      <formula>F32&gt;0</formula>
    </cfRule>
    <cfRule type="expression" dxfId="397" priority="28">
      <formula>F32&lt;0</formula>
    </cfRule>
  </conditionalFormatting>
  <conditionalFormatting sqref="H25:H29">
    <cfRule type="expression" dxfId="396" priority="25">
      <formula>H25&gt;0</formula>
    </cfRule>
    <cfRule type="expression" dxfId="395" priority="26">
      <formula>H25&lt;0</formula>
    </cfRule>
  </conditionalFormatting>
  <conditionalFormatting sqref="H30">
    <cfRule type="expression" dxfId="394" priority="23">
      <formula>H30&gt;0</formula>
    </cfRule>
    <cfRule type="expression" dxfId="393" priority="24">
      <formula>H30&lt;0</formula>
    </cfRule>
  </conditionalFormatting>
  <conditionalFormatting sqref="H31">
    <cfRule type="expression" dxfId="392" priority="21">
      <formula>H31&gt;0</formula>
    </cfRule>
    <cfRule type="expression" dxfId="391" priority="22">
      <formula>H31&lt;0</formula>
    </cfRule>
  </conditionalFormatting>
  <conditionalFormatting sqref="H32:H34">
    <cfRule type="expression" dxfId="390" priority="19">
      <formula>H32&gt;0</formula>
    </cfRule>
    <cfRule type="expression" dxfId="389" priority="20">
      <formula>H32&lt;0</formula>
    </cfRule>
  </conditionalFormatting>
  <conditionalFormatting sqref="F35">
    <cfRule type="expression" dxfId="388" priority="17">
      <formula>F35&gt;0</formula>
    </cfRule>
    <cfRule type="expression" dxfId="387" priority="18">
      <formula>F35&lt;0</formula>
    </cfRule>
  </conditionalFormatting>
  <conditionalFormatting sqref="H35">
    <cfRule type="expression" dxfId="386" priority="15">
      <formula>H35&gt;0</formula>
    </cfRule>
    <cfRule type="expression" dxfId="385" priority="16">
      <formula>H35&lt;0</formula>
    </cfRule>
  </conditionalFormatting>
  <conditionalFormatting sqref="F36">
    <cfRule type="expression" dxfId="384" priority="13">
      <formula>F36&gt;0</formula>
    </cfRule>
    <cfRule type="expression" dxfId="383" priority="14">
      <formula>F36&lt;0</formula>
    </cfRule>
  </conditionalFormatting>
  <conditionalFormatting sqref="H36">
    <cfRule type="expression" dxfId="382" priority="11">
      <formula>H36&gt;0</formula>
    </cfRule>
    <cfRule type="expression" dxfId="381" priority="12">
      <formula>H36&lt;0</formula>
    </cfRule>
  </conditionalFormatting>
  <conditionalFormatting sqref="H23:H24">
    <cfRule type="expression" dxfId="380" priority="5">
      <formula>H23&gt;0</formula>
    </cfRule>
    <cfRule type="expression" dxfId="379" priority="6">
      <formula>H23&lt;0</formula>
    </cfRule>
  </conditionalFormatting>
  <conditionalFormatting sqref="F23:F24">
    <cfRule type="expression" dxfId="378" priority="7">
      <formula>F23&gt;0</formula>
    </cfRule>
    <cfRule type="expression" dxfId="377" priority="8">
      <formula>F23&lt;0</formula>
    </cfRule>
  </conditionalFormatting>
  <conditionalFormatting sqref="Q7">
    <cfRule type="expression" dxfId="376" priority="3">
      <formula>Q7&gt;0</formula>
    </cfRule>
    <cfRule type="expression" dxfId="375" priority="4">
      <formula>Q7&lt;0</formula>
    </cfRule>
  </conditionalFormatting>
  <conditionalFormatting sqref="Q8">
    <cfRule type="expression" dxfId="374" priority="1">
      <formula>Q8&gt;0</formula>
    </cfRule>
    <cfRule type="expression" dxfId="373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8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181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>
        <v>42566</v>
      </c>
      <c r="U2" t="s">
        <v>282</v>
      </c>
      <c r="W2" s="94">
        <v>42615</v>
      </c>
      <c r="X2" s="10">
        <v>50.45</v>
      </c>
      <c r="Y2" s="10">
        <v>50.66</v>
      </c>
      <c r="Z2" s="10">
        <v>50.18</v>
      </c>
      <c r="AA2" s="10">
        <v>50.55</v>
      </c>
      <c r="AB2" s="95">
        <v>12571800</v>
      </c>
      <c r="AC2" s="10">
        <v>50.55</v>
      </c>
      <c r="AD2" s="2">
        <f>Y2-Z2</f>
        <v>0.47999999999999687</v>
      </c>
      <c r="AE2" s="138">
        <f>AC2/AC3-1</f>
        <v>2.3795359904819069E-3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49.99</v>
      </c>
      <c r="T3" s="121"/>
      <c r="W3" s="94">
        <v>42614</v>
      </c>
      <c r="X3" s="10">
        <v>50.92</v>
      </c>
      <c r="Y3" s="10">
        <v>51</v>
      </c>
      <c r="Z3" s="10">
        <v>50.11</v>
      </c>
      <c r="AA3" s="10">
        <v>50.43</v>
      </c>
      <c r="AB3" s="95">
        <v>17017100</v>
      </c>
      <c r="AC3" s="10">
        <v>50.43</v>
      </c>
      <c r="AD3" s="2">
        <f>Y3-Z3</f>
        <v>0.89000000000000057</v>
      </c>
      <c r="AE3" s="138">
        <f>AC3/AC4-1</f>
        <v>-7.2834645669290765E-3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74"/>
      <c r="M4" s="4"/>
      <c r="O4" s="11" t="s">
        <v>66</v>
      </c>
      <c r="Q4" s="55">
        <v>49.99</v>
      </c>
      <c r="T4" s="121"/>
      <c r="W4" s="94">
        <v>42613</v>
      </c>
      <c r="X4" s="10">
        <v>50.7</v>
      </c>
      <c r="Y4" s="10">
        <v>50.92</v>
      </c>
      <c r="Z4" s="10">
        <v>50.24</v>
      </c>
      <c r="AA4" s="10">
        <v>50.8</v>
      </c>
      <c r="AB4" s="95">
        <v>24533600</v>
      </c>
      <c r="AC4" s="10">
        <v>50.8</v>
      </c>
      <c r="AD4" s="2">
        <f t="shared" ref="AD4:AD67" si="0">Y4-Z4</f>
        <v>0.67999999999999972</v>
      </c>
      <c r="AE4" s="138">
        <f t="shared" ref="AE4:AE67" si="1">AC4/AC5-1</f>
        <v>3.5559067562227487E-3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396"/>
      <c r="I5" s="75"/>
      <c r="J5" s="75"/>
      <c r="K5" s="75"/>
      <c r="L5" s="4"/>
      <c r="M5" s="4"/>
      <c r="O5" s="11" t="s">
        <v>67</v>
      </c>
      <c r="Q5" s="3">
        <f>Q4*Q2</f>
        <v>0</v>
      </c>
      <c r="W5" s="94">
        <v>42612</v>
      </c>
      <c r="X5" s="10">
        <v>49.73</v>
      </c>
      <c r="Y5" s="10">
        <v>50.64</v>
      </c>
      <c r="Z5" s="10">
        <v>49.68</v>
      </c>
      <c r="AA5" s="10">
        <v>50.62</v>
      </c>
      <c r="AB5" s="95">
        <v>25055800</v>
      </c>
      <c r="AC5" s="10">
        <v>50.62</v>
      </c>
      <c r="AD5" s="2">
        <f t="shared" si="0"/>
        <v>0.96000000000000085</v>
      </c>
      <c r="AE5" s="138">
        <f t="shared" si="1"/>
        <v>2.1388216303470431E-2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0</v>
      </c>
      <c r="W6" s="94">
        <v>42611</v>
      </c>
      <c r="X6" s="10">
        <v>48.75</v>
      </c>
      <c r="Y6" s="10">
        <v>49.75</v>
      </c>
      <c r="Z6" s="10">
        <v>48.69</v>
      </c>
      <c r="AA6" s="10">
        <v>49.56</v>
      </c>
      <c r="AB6" s="95">
        <v>21201400</v>
      </c>
      <c r="AC6" s="10">
        <v>49.56</v>
      </c>
      <c r="AD6" s="2">
        <f t="shared" si="0"/>
        <v>1.0600000000000023</v>
      </c>
      <c r="AE6" s="138">
        <f t="shared" si="1"/>
        <v>2.1645021645021689E-2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187</v>
      </c>
      <c r="P7"/>
      <c r="Q7" s="2">
        <f>Q10+Q8</f>
        <v>336.41000000000531</v>
      </c>
      <c r="R7">
        <v>0</v>
      </c>
      <c r="T7" s="85"/>
      <c r="W7" s="94">
        <v>42608</v>
      </c>
      <c r="X7" s="10">
        <v>48.58</v>
      </c>
      <c r="Y7" s="10">
        <v>48.84</v>
      </c>
      <c r="Z7" s="10">
        <v>48.28</v>
      </c>
      <c r="AA7" s="10">
        <v>48.51</v>
      </c>
      <c r="AB7" s="95">
        <v>15527300</v>
      </c>
      <c r="AC7" s="10">
        <v>48.51</v>
      </c>
      <c r="AD7" s="2">
        <f t="shared" si="0"/>
        <v>0.56000000000000227</v>
      </c>
      <c r="AE7" s="138">
        <f t="shared" si="1"/>
        <v>2.6870607689126746E-3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190</v>
      </c>
      <c r="Q8" s="2">
        <f>K18+M18-F18+Q2*Q4</f>
        <v>0</v>
      </c>
      <c r="W8" s="94">
        <v>42607</v>
      </c>
      <c r="X8" s="10">
        <v>48.62</v>
      </c>
      <c r="Y8" s="10">
        <v>48.69</v>
      </c>
      <c r="Z8" s="10">
        <v>48.3</v>
      </c>
      <c r="AA8" s="10">
        <v>48.38</v>
      </c>
      <c r="AB8" s="95">
        <v>13643200</v>
      </c>
      <c r="AC8" s="10">
        <v>48.38</v>
      </c>
      <c r="AD8" s="2">
        <f t="shared" si="0"/>
        <v>0.39000000000000057</v>
      </c>
      <c r="AE8" s="138">
        <f t="shared" si="1"/>
        <v>-5.1408595517170586E-3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224</v>
      </c>
      <c r="P9"/>
      <c r="Q9" s="138">
        <f>IF(Q2=0, 0, Q8/Q6)</f>
        <v>0</v>
      </c>
      <c r="W9" s="94">
        <v>42606</v>
      </c>
      <c r="X9" s="10">
        <v>48.5</v>
      </c>
      <c r="Y9" s="10">
        <v>48.77</v>
      </c>
      <c r="Z9" s="10">
        <v>48.35</v>
      </c>
      <c r="AA9" s="10">
        <v>48.63</v>
      </c>
      <c r="AB9" s="95">
        <v>16315800</v>
      </c>
      <c r="AC9" s="10">
        <v>48.63</v>
      </c>
      <c r="AD9" s="2">
        <f t="shared" si="0"/>
        <v>0.42000000000000171</v>
      </c>
      <c r="AE9" s="138">
        <f t="shared" si="1"/>
        <v>4.5445155959513706E-3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223</v>
      </c>
      <c r="Q10" s="2">
        <f>M70</f>
        <v>336.41000000000531</v>
      </c>
      <c r="W10" s="94">
        <v>42605</v>
      </c>
      <c r="X10" s="10">
        <v>48.64</v>
      </c>
      <c r="Y10" s="10">
        <v>48.75</v>
      </c>
      <c r="Z10" s="10">
        <v>48.39</v>
      </c>
      <c r="AA10" s="10">
        <v>48.41</v>
      </c>
      <c r="AB10" s="95">
        <v>15430200</v>
      </c>
      <c r="AC10" s="10">
        <v>48.41</v>
      </c>
      <c r="AD10" s="2">
        <f t="shared" si="0"/>
        <v>0.35999999999999943</v>
      </c>
      <c r="AE10" s="138">
        <f t="shared" si="1"/>
        <v>-4.5239564055111758E-3</v>
      </c>
    </row>
    <row r="11" spans="1:40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Q11" s="138">
        <f>IF(U58="N/A (N/A)", 0, VALUE(TRIM(CLEAN(MID(U58, FIND("(", U58)+1, 5)))))</f>
        <v>3.0099999999999998E-2</v>
      </c>
      <c r="W11" s="94">
        <v>42604</v>
      </c>
      <c r="X11" s="10">
        <v>48.64</v>
      </c>
      <c r="Y11" s="10">
        <v>48.74</v>
      </c>
      <c r="Z11" s="10">
        <v>48.5</v>
      </c>
      <c r="AA11" s="10">
        <v>48.63</v>
      </c>
      <c r="AB11" s="95">
        <v>9212600</v>
      </c>
      <c r="AC11" s="10">
        <v>48.63</v>
      </c>
      <c r="AD11" s="2">
        <f t="shared" si="0"/>
        <v>0.24000000000000199</v>
      </c>
      <c r="AE11" s="138">
        <f t="shared" si="1"/>
        <v>-4.1109969167518745E-4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94">
        <v>42601</v>
      </c>
      <c r="X12" s="10">
        <v>48.44</v>
      </c>
      <c r="Y12" s="10">
        <v>48.73</v>
      </c>
      <c r="Z12" s="10">
        <v>48.2</v>
      </c>
      <c r="AA12" s="10">
        <v>48.65</v>
      </c>
      <c r="AB12" s="95">
        <v>12557700</v>
      </c>
      <c r="AC12" s="10">
        <v>48.65</v>
      </c>
      <c r="AD12" s="2">
        <f t="shared" si="0"/>
        <v>0.52999999999999403</v>
      </c>
      <c r="AE12" s="138">
        <f t="shared" si="1"/>
        <v>2.4726973006388153E-3</v>
      </c>
    </row>
    <row r="13" spans="1:40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94">
        <v>42600</v>
      </c>
      <c r="X13" s="10">
        <v>48.5</v>
      </c>
      <c r="Y13" s="10">
        <v>48.66</v>
      </c>
      <c r="Z13" s="10">
        <v>48.33</v>
      </c>
      <c r="AA13" s="10">
        <v>48.53</v>
      </c>
      <c r="AB13" s="95">
        <v>12189200</v>
      </c>
      <c r="AC13" s="10">
        <v>48.53</v>
      </c>
      <c r="AD13" s="2">
        <f t="shared" si="0"/>
        <v>0.32999999999999829</v>
      </c>
      <c r="AE13" s="138">
        <f t="shared" si="1"/>
        <v>-1.6457519029006162E-3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T14" s="84"/>
      <c r="U14" s="11"/>
      <c r="W14" s="94">
        <v>42599</v>
      </c>
      <c r="X14" s="10">
        <v>48.37</v>
      </c>
      <c r="Y14" s="10">
        <v>48.66</v>
      </c>
      <c r="Z14" s="10">
        <v>48.31</v>
      </c>
      <c r="AA14" s="10">
        <v>48.61</v>
      </c>
      <c r="AB14" s="95">
        <v>13062900</v>
      </c>
      <c r="AC14" s="10">
        <v>48.61</v>
      </c>
      <c r="AD14" s="2">
        <f t="shared" si="0"/>
        <v>0.34999999999999432</v>
      </c>
      <c r="AE14" s="138">
        <f t="shared" si="1"/>
        <v>3.5094962840627186E-3</v>
      </c>
    </row>
    <row r="15" spans="1:40" x14ac:dyDescent="0.25">
      <c r="W15" s="94">
        <v>42598</v>
      </c>
      <c r="X15" s="10">
        <v>48.16</v>
      </c>
      <c r="Y15" s="10">
        <v>48.6</v>
      </c>
      <c r="Z15" s="10">
        <v>48.06</v>
      </c>
      <c r="AA15" s="10">
        <v>48.44</v>
      </c>
      <c r="AB15" s="95">
        <v>13957600</v>
      </c>
      <c r="AC15" s="10">
        <v>48.44</v>
      </c>
      <c r="AD15" s="2">
        <f t="shared" si="0"/>
        <v>0.53999999999999915</v>
      </c>
      <c r="AE15" s="138">
        <f t="shared" si="1"/>
        <v>3.5218562253986896E-3</v>
      </c>
      <c r="AK15" s="234"/>
      <c r="AN15" s="234"/>
    </row>
    <row r="16" spans="1:40" x14ac:dyDescent="0.25">
      <c r="W16" s="94">
        <v>42597</v>
      </c>
      <c r="X16" s="10">
        <v>48.05</v>
      </c>
      <c r="Y16" s="10">
        <v>48.34</v>
      </c>
      <c r="Z16" s="10">
        <v>48.03</v>
      </c>
      <c r="AA16" s="10">
        <v>48.27</v>
      </c>
      <c r="AB16" s="95">
        <v>11758900</v>
      </c>
      <c r="AC16" s="10">
        <v>48.27</v>
      </c>
      <c r="AD16" s="2">
        <f t="shared" si="0"/>
        <v>0.31000000000000227</v>
      </c>
      <c r="AE16" s="138">
        <f t="shared" si="1"/>
        <v>7.724425887265296E-3</v>
      </c>
    </row>
    <row r="17" spans="1:40" x14ac:dyDescent="0.25">
      <c r="H17" s="72"/>
      <c r="W17" s="94">
        <v>42594</v>
      </c>
      <c r="X17" s="10">
        <v>48.05</v>
      </c>
      <c r="Y17" s="10">
        <v>48.08</v>
      </c>
      <c r="Z17" s="10">
        <v>47.83</v>
      </c>
      <c r="AA17" s="10">
        <v>47.9</v>
      </c>
      <c r="AB17" s="95">
        <v>13227500</v>
      </c>
      <c r="AC17" s="10">
        <v>47.9</v>
      </c>
      <c r="AD17" s="2">
        <f t="shared" si="0"/>
        <v>0.25</v>
      </c>
      <c r="AE17" s="138">
        <f t="shared" si="1"/>
        <v>-7.0480928689884426E-3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3">
        <f>SUM(H3:H17)</f>
        <v>0</v>
      </c>
      <c r="I18" s="18"/>
      <c r="J18" s="18"/>
      <c r="K18" s="18">
        <f>SUM(K3:K17)</f>
        <v>0</v>
      </c>
      <c r="L18" s="18"/>
      <c r="M18" s="18">
        <f>SUM(M2:M17)</f>
        <v>0</v>
      </c>
      <c r="W18" s="94">
        <v>42593</v>
      </c>
      <c r="X18" s="10">
        <v>48.23</v>
      </c>
      <c r="Y18" s="10">
        <v>48.5</v>
      </c>
      <c r="Z18" s="10">
        <v>47.92</v>
      </c>
      <c r="AA18" s="10">
        <v>48.24</v>
      </c>
      <c r="AB18" s="95">
        <v>14614100</v>
      </c>
      <c r="AC18" s="10">
        <v>48.24</v>
      </c>
      <c r="AD18" s="2">
        <f t="shared" si="0"/>
        <v>0.57999999999999829</v>
      </c>
      <c r="AE18" s="138">
        <f t="shared" si="1"/>
        <v>1.2453300124533051E-3</v>
      </c>
    </row>
    <row r="19" spans="1:40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42592</v>
      </c>
      <c r="X19" s="10">
        <v>48.82</v>
      </c>
      <c r="Y19" s="10">
        <v>48.93</v>
      </c>
      <c r="Z19" s="10">
        <v>48.08</v>
      </c>
      <c r="AA19" s="10">
        <v>48.18</v>
      </c>
      <c r="AB19" s="95">
        <v>16782700</v>
      </c>
      <c r="AC19" s="10">
        <v>48.18</v>
      </c>
      <c r="AD19" s="2">
        <f t="shared" si="0"/>
        <v>0.85000000000000142</v>
      </c>
      <c r="AE19" s="138">
        <f t="shared" si="1"/>
        <v>-1.5328019619865074E-2</v>
      </c>
      <c r="AK19" s="234"/>
      <c r="AN19" s="234"/>
    </row>
    <row r="20" spans="1:40" x14ac:dyDescent="0.25">
      <c r="W20" s="94">
        <v>42591</v>
      </c>
      <c r="X20" s="10">
        <v>49.02</v>
      </c>
      <c r="Y20" s="10">
        <v>49.15</v>
      </c>
      <c r="Z20" s="10">
        <v>48.81</v>
      </c>
      <c r="AA20" s="10">
        <v>48.93</v>
      </c>
      <c r="AB20" s="95">
        <v>10449800</v>
      </c>
      <c r="AC20" s="10">
        <v>48.93</v>
      </c>
      <c r="AD20" s="2">
        <f t="shared" si="0"/>
        <v>0.33999999999999631</v>
      </c>
      <c r="AE20" s="138">
        <f t="shared" si="1"/>
        <v>4.0891433244749642E-4</v>
      </c>
    </row>
    <row r="21" spans="1:40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94">
        <v>42590</v>
      </c>
      <c r="X21" s="10">
        <v>48.78</v>
      </c>
      <c r="Y21" s="10">
        <v>49.05</v>
      </c>
      <c r="Z21" s="10">
        <v>48.74</v>
      </c>
      <c r="AA21" s="10">
        <v>48.91</v>
      </c>
      <c r="AB21" s="95">
        <v>14871600</v>
      </c>
      <c r="AC21" s="10">
        <v>48.91</v>
      </c>
      <c r="AD21" s="2">
        <f t="shared" si="0"/>
        <v>0.30999999999999517</v>
      </c>
      <c r="AE21" s="138">
        <f t="shared" si="1"/>
        <v>4.7247329498767421E-3</v>
      </c>
      <c r="AK21" s="234"/>
      <c r="AN21" s="234"/>
    </row>
    <row r="22" spans="1:40" x14ac:dyDescent="0.25">
      <c r="B22" s="193">
        <v>42376</v>
      </c>
      <c r="C22" s="10">
        <v>40</v>
      </c>
      <c r="D22" s="200">
        <v>50.5</v>
      </c>
      <c r="E22" s="40">
        <v>50.4</v>
      </c>
      <c r="F22" s="40">
        <f t="shared" ref="F22:F44" si="3">C22*(E22-D22)</f>
        <v>-4.0000000000000568</v>
      </c>
      <c r="G22" s="40">
        <f t="shared" ref="G22:G44" si="4">D22*C22</f>
        <v>2020</v>
      </c>
      <c r="H22" s="231">
        <f t="shared" ref="H22:H44" si="5">(E22-D22)/D22</f>
        <v>-1.9801980198020084E-3</v>
      </c>
      <c r="I22" s="40"/>
      <c r="W22" s="94">
        <v>42587</v>
      </c>
      <c r="X22" s="10">
        <v>48.39</v>
      </c>
      <c r="Y22" s="10">
        <v>48.7</v>
      </c>
      <c r="Z22" s="10">
        <v>48.13</v>
      </c>
      <c r="AA22" s="10">
        <v>48.68</v>
      </c>
      <c r="AB22" s="95">
        <v>19064700</v>
      </c>
      <c r="AC22" s="10">
        <v>48.68</v>
      </c>
      <c r="AD22" s="2">
        <f t="shared" si="0"/>
        <v>0.57000000000000028</v>
      </c>
      <c r="AE22" s="138">
        <f t="shared" si="1"/>
        <v>1.7558528428093467E-2</v>
      </c>
    </row>
    <row r="23" spans="1:40" x14ac:dyDescent="0.25">
      <c r="B23" s="193">
        <v>42403</v>
      </c>
      <c r="C23" s="10">
        <v>40</v>
      </c>
      <c r="D23" s="200">
        <v>50.5</v>
      </c>
      <c r="E23" s="40">
        <v>47.6</v>
      </c>
      <c r="F23" s="40">
        <f t="shared" si="3"/>
        <v>-115.99999999999994</v>
      </c>
      <c r="G23" s="40">
        <f t="shared" si="4"/>
        <v>2020</v>
      </c>
      <c r="H23" s="231">
        <f t="shared" si="5"/>
        <v>-5.74257425742574E-2</v>
      </c>
      <c r="I23" s="40"/>
      <c r="W23" s="94">
        <v>42586</v>
      </c>
      <c r="X23" s="10">
        <v>47.6</v>
      </c>
      <c r="Y23" s="10">
        <v>48</v>
      </c>
      <c r="Z23" s="10">
        <v>47.57</v>
      </c>
      <c r="AA23" s="10">
        <v>47.84</v>
      </c>
      <c r="AB23" s="95">
        <v>14662600</v>
      </c>
      <c r="AC23" s="10">
        <v>47.84</v>
      </c>
      <c r="AD23" s="2">
        <f t="shared" si="0"/>
        <v>0.42999999999999972</v>
      </c>
      <c r="AE23" s="138">
        <f t="shared" si="1"/>
        <v>5.6758461215051792E-3</v>
      </c>
      <c r="AK23" s="234"/>
    </row>
    <row r="24" spans="1:40" x14ac:dyDescent="0.25">
      <c r="B24" s="193">
        <v>42430</v>
      </c>
      <c r="C24" s="10">
        <v>40</v>
      </c>
      <c r="D24" s="200">
        <v>50.125</v>
      </c>
      <c r="E24" s="40">
        <v>48.72</v>
      </c>
      <c r="F24" s="40">
        <f t="shared" si="3"/>
        <v>-56.200000000000045</v>
      </c>
      <c r="G24" s="40">
        <f t="shared" si="4"/>
        <v>2005</v>
      </c>
      <c r="H24" s="231">
        <f t="shared" si="5"/>
        <v>-2.8029925187032442E-2</v>
      </c>
      <c r="I24" s="40" t="s">
        <v>192</v>
      </c>
      <c r="W24" s="94">
        <v>42585</v>
      </c>
      <c r="X24" s="10">
        <v>47.33</v>
      </c>
      <c r="Y24" s="10">
        <v>47.64</v>
      </c>
      <c r="Z24" s="10">
        <v>47.33</v>
      </c>
      <c r="AA24" s="10">
        <v>47.57</v>
      </c>
      <c r="AB24" s="95">
        <v>14913500</v>
      </c>
      <c r="AC24" s="10">
        <v>47.57</v>
      </c>
      <c r="AD24" s="2">
        <f t="shared" si="0"/>
        <v>0.31000000000000227</v>
      </c>
      <c r="AE24" s="138" t="e">
        <f t="shared" si="1"/>
        <v>#DIV/0!</v>
      </c>
    </row>
    <row r="25" spans="1:40" x14ac:dyDescent="0.25">
      <c r="B25" s="193">
        <v>42431</v>
      </c>
      <c r="C25" s="10">
        <v>40</v>
      </c>
      <c r="D25" s="200">
        <v>50.125</v>
      </c>
      <c r="E25" s="40">
        <v>49.57</v>
      </c>
      <c r="F25" s="40">
        <f t="shared" si="3"/>
        <v>-22.199999999999989</v>
      </c>
      <c r="G25" s="40">
        <f t="shared" si="4"/>
        <v>2005</v>
      </c>
      <c r="H25" s="231">
        <f t="shared" si="5"/>
        <v>-1.1072319201995006E-2</v>
      </c>
      <c r="I25" s="40"/>
      <c r="W25" s="94">
        <v>42585</v>
      </c>
      <c r="X25" s="10" t="s">
        <v>194</v>
      </c>
      <c r="Y25" s="10"/>
      <c r="Z25" s="10"/>
      <c r="AA25" s="10"/>
      <c r="AB25" s="95"/>
      <c r="AC25" s="10"/>
      <c r="AD25" s="2">
        <f t="shared" si="0"/>
        <v>0</v>
      </c>
      <c r="AE25" s="138">
        <f t="shared" si="1"/>
        <v>-1</v>
      </c>
    </row>
    <row r="26" spans="1:40" x14ac:dyDescent="0.25">
      <c r="B26" s="193">
        <v>42438</v>
      </c>
      <c r="C26" s="10">
        <v>40</v>
      </c>
      <c r="D26" s="200">
        <v>50.125</v>
      </c>
      <c r="E26" s="40">
        <v>48.79</v>
      </c>
      <c r="F26" s="40">
        <f t="shared" si="3"/>
        <v>-53.400000000000034</v>
      </c>
      <c r="G26" s="40">
        <f t="shared" si="4"/>
        <v>2005</v>
      </c>
      <c r="H26" s="231">
        <f t="shared" si="5"/>
        <v>-2.6633416458852886E-2</v>
      </c>
      <c r="I26" s="40"/>
      <c r="W26" s="94">
        <v>42584</v>
      </c>
      <c r="X26" s="10">
        <v>47.66</v>
      </c>
      <c r="Y26" s="10">
        <v>47.83</v>
      </c>
      <c r="Z26" s="10">
        <v>47.39</v>
      </c>
      <c r="AA26" s="10">
        <v>47.7</v>
      </c>
      <c r="AB26" s="95">
        <v>17033100</v>
      </c>
      <c r="AC26" s="10">
        <v>47.32</v>
      </c>
      <c r="AD26" s="2">
        <f t="shared" si="0"/>
        <v>0.43999999999999773</v>
      </c>
      <c r="AE26" s="138">
        <f t="shared" si="1"/>
        <v>-2.3192072527935537E-3</v>
      </c>
    </row>
    <row r="27" spans="1:40" x14ac:dyDescent="0.25">
      <c r="B27" s="193">
        <v>42444</v>
      </c>
      <c r="C27" s="282">
        <v>40</v>
      </c>
      <c r="D27" s="283">
        <v>50.125</v>
      </c>
      <c r="E27" s="40">
        <v>49.98</v>
      </c>
      <c r="F27" s="40">
        <f t="shared" si="3"/>
        <v>-5.8000000000001251</v>
      </c>
      <c r="G27" s="40">
        <f t="shared" si="4"/>
        <v>2005</v>
      </c>
      <c r="H27" s="231">
        <f t="shared" si="5"/>
        <v>-2.8927680798005611E-3</v>
      </c>
      <c r="I27" s="40"/>
      <c r="W27" s="94">
        <v>42583</v>
      </c>
      <c r="X27" s="10">
        <v>47.98</v>
      </c>
      <c r="Y27" s="10">
        <v>48.05</v>
      </c>
      <c r="Z27" s="10">
        <v>47.63</v>
      </c>
      <c r="AA27" s="10">
        <v>47.81</v>
      </c>
      <c r="AB27" s="95">
        <v>16026600</v>
      </c>
      <c r="AC27" s="10">
        <v>47.43</v>
      </c>
      <c r="AD27" s="2">
        <f t="shared" si="0"/>
        <v>0.4199999999999946</v>
      </c>
      <c r="AE27" s="138">
        <f t="shared" si="1"/>
        <v>-3.3620508510191494E-3</v>
      </c>
    </row>
    <row r="28" spans="1:40" x14ac:dyDescent="0.25">
      <c r="B28" s="193">
        <v>42466</v>
      </c>
      <c r="C28" s="429">
        <v>80</v>
      </c>
      <c r="D28" s="212">
        <v>48.752499999999998</v>
      </c>
      <c r="E28" s="40">
        <v>48.08</v>
      </c>
      <c r="F28" s="40">
        <f t="shared" si="3"/>
        <v>-53.799999999999955</v>
      </c>
      <c r="G28" s="40">
        <f t="shared" si="4"/>
        <v>3900.2</v>
      </c>
      <c r="H28" s="231">
        <f t="shared" si="5"/>
        <v>-1.3794164401825536E-2</v>
      </c>
      <c r="I28" s="40"/>
      <c r="W28" s="94">
        <v>42580</v>
      </c>
      <c r="X28" s="10">
        <v>47.95</v>
      </c>
      <c r="Y28" s="10">
        <v>48.17</v>
      </c>
      <c r="Z28" s="10">
        <v>47.95</v>
      </c>
      <c r="AA28" s="10">
        <v>47.97</v>
      </c>
      <c r="AB28" s="95">
        <v>13111700</v>
      </c>
      <c r="AC28" s="10">
        <v>47.59</v>
      </c>
      <c r="AD28" s="2">
        <f t="shared" si="0"/>
        <v>0.21999999999999886</v>
      </c>
      <c r="AE28" s="138">
        <f t="shared" si="1"/>
        <v>-3.3507853403140775E-3</v>
      </c>
    </row>
    <row r="29" spans="1:40" x14ac:dyDescent="0.25">
      <c r="B29" s="193">
        <v>42469</v>
      </c>
      <c r="C29" s="282">
        <v>80</v>
      </c>
      <c r="D29" s="283">
        <v>48.752499999999998</v>
      </c>
      <c r="E29" s="40">
        <v>47.07</v>
      </c>
      <c r="F29" s="40">
        <f t="shared" si="3"/>
        <v>-134.5999999999998</v>
      </c>
      <c r="G29" s="40">
        <f t="shared" si="4"/>
        <v>3900.2</v>
      </c>
      <c r="H29" s="231">
        <f t="shared" si="5"/>
        <v>-3.451105071534788E-2</v>
      </c>
      <c r="I29" s="40"/>
      <c r="W29" s="94">
        <v>42579</v>
      </c>
      <c r="X29" s="10">
        <v>47.94</v>
      </c>
      <c r="Y29" s="10">
        <v>48.22</v>
      </c>
      <c r="Z29" s="10">
        <v>47.68</v>
      </c>
      <c r="AA29" s="10">
        <v>48.13</v>
      </c>
      <c r="AB29" s="95">
        <v>12562600</v>
      </c>
      <c r="AC29" s="10">
        <v>47.75</v>
      </c>
      <c r="AD29" s="2">
        <f t="shared" si="0"/>
        <v>0.53999999999999915</v>
      </c>
      <c r="AE29" s="138">
        <f t="shared" si="1"/>
        <v>2.7299454010920599E-3</v>
      </c>
    </row>
    <row r="30" spans="1:40" x14ac:dyDescent="0.25">
      <c r="B30" s="193">
        <v>42473</v>
      </c>
      <c r="C30" s="282">
        <v>40</v>
      </c>
      <c r="D30" s="283">
        <v>48.595999999999997</v>
      </c>
      <c r="E30" s="40">
        <v>49.03</v>
      </c>
      <c r="F30" s="40">
        <f t="shared" si="3"/>
        <v>17.360000000000184</v>
      </c>
      <c r="G30" s="40">
        <f t="shared" si="4"/>
        <v>1943.84</v>
      </c>
      <c r="H30" s="231">
        <f t="shared" si="5"/>
        <v>8.9307761955717477E-3</v>
      </c>
      <c r="I30" s="40"/>
      <c r="W30" s="94">
        <v>42578</v>
      </c>
      <c r="X30" s="10">
        <v>47.95</v>
      </c>
      <c r="Y30" s="10">
        <v>48.22</v>
      </c>
      <c r="Z30" s="10">
        <v>47.78</v>
      </c>
      <c r="AA30" s="10">
        <v>48</v>
      </c>
      <c r="AB30" s="95">
        <v>17886800</v>
      </c>
      <c r="AC30" s="10">
        <v>47.62</v>
      </c>
      <c r="AD30" s="2">
        <f t="shared" si="0"/>
        <v>0.43999999999999773</v>
      </c>
      <c r="AE30" s="138">
        <f t="shared" si="1"/>
        <v>6.303845345658754E-4</v>
      </c>
    </row>
    <row r="31" spans="1:40" x14ac:dyDescent="0.25">
      <c r="B31" s="193">
        <v>42474</v>
      </c>
      <c r="C31" s="282">
        <v>80</v>
      </c>
      <c r="D31" s="283">
        <v>48.573</v>
      </c>
      <c r="E31" s="40">
        <v>48.79</v>
      </c>
      <c r="F31" s="40">
        <f t="shared" si="3"/>
        <v>17.3599999999999</v>
      </c>
      <c r="G31" s="40">
        <f t="shared" si="4"/>
        <v>3885.84</v>
      </c>
      <c r="H31" s="231">
        <f t="shared" si="5"/>
        <v>4.4675025219772044E-3</v>
      </c>
      <c r="I31" s="40"/>
      <c r="W31" s="94">
        <v>42577</v>
      </c>
      <c r="X31" s="10">
        <v>48.03</v>
      </c>
      <c r="Y31" s="10">
        <v>48.17</v>
      </c>
      <c r="Z31" s="10">
        <v>47.8</v>
      </c>
      <c r="AA31" s="10">
        <v>47.97</v>
      </c>
      <c r="AB31" s="95">
        <v>16130100</v>
      </c>
      <c r="AC31" s="10">
        <v>47.59</v>
      </c>
      <c r="AD31" s="2">
        <f t="shared" si="0"/>
        <v>0.37000000000000455</v>
      </c>
      <c r="AE31" s="138">
        <f t="shared" si="1"/>
        <v>-3.1420192710515105E-3</v>
      </c>
    </row>
    <row r="32" spans="1:40" x14ac:dyDescent="0.25">
      <c r="B32" s="193">
        <v>42484</v>
      </c>
      <c r="C32" s="282">
        <v>80</v>
      </c>
      <c r="D32" s="283">
        <v>48.573</v>
      </c>
      <c r="E32" s="40">
        <v>50.62</v>
      </c>
      <c r="F32" s="40">
        <f t="shared" si="3"/>
        <v>163.75999999999976</v>
      </c>
      <c r="G32" s="40">
        <f t="shared" si="4"/>
        <v>3885.84</v>
      </c>
      <c r="H32" s="231">
        <f t="shared" si="5"/>
        <v>4.214275420501095E-2</v>
      </c>
      <c r="I32" s="40"/>
      <c r="W32" s="94">
        <v>42576</v>
      </c>
      <c r="X32" s="10">
        <v>48.24</v>
      </c>
      <c r="Y32" s="10">
        <v>48.26</v>
      </c>
      <c r="Z32" s="10">
        <v>47.85</v>
      </c>
      <c r="AA32" s="10">
        <v>48.12</v>
      </c>
      <c r="AB32" s="95">
        <v>12122200</v>
      </c>
      <c r="AC32" s="10">
        <v>47.74</v>
      </c>
      <c r="AD32" s="2">
        <f t="shared" si="0"/>
        <v>0.40999999999999659</v>
      </c>
      <c r="AE32" s="138">
        <f t="shared" si="1"/>
        <v>-4.1718815185647351E-3</v>
      </c>
    </row>
    <row r="33" spans="2:31" x14ac:dyDescent="0.25">
      <c r="B33" s="193">
        <v>42487</v>
      </c>
      <c r="C33" s="282">
        <v>40</v>
      </c>
      <c r="D33" s="283">
        <v>46.177</v>
      </c>
      <c r="E33" s="40">
        <v>50.92</v>
      </c>
      <c r="F33" s="40">
        <f t="shared" si="3"/>
        <v>189.72000000000008</v>
      </c>
      <c r="G33" s="40">
        <f t="shared" si="4"/>
        <v>1847.08</v>
      </c>
      <c r="H33" s="231">
        <f t="shared" si="5"/>
        <v>0.10271347207484251</v>
      </c>
      <c r="I33" s="40"/>
      <c r="W33" s="94">
        <v>42573</v>
      </c>
      <c r="X33" s="10">
        <v>48.32</v>
      </c>
      <c r="Y33" s="10">
        <v>48.36</v>
      </c>
      <c r="Z33" s="10">
        <v>48.1</v>
      </c>
      <c r="AA33" s="10">
        <v>48.32</v>
      </c>
      <c r="AB33" s="95">
        <v>13588500</v>
      </c>
      <c r="AC33" s="10">
        <v>47.94</v>
      </c>
      <c r="AD33" s="2">
        <f t="shared" si="0"/>
        <v>0.25999999999999801</v>
      </c>
      <c r="AE33" s="138">
        <f t="shared" si="1"/>
        <v>4.1736227045063856E-4</v>
      </c>
    </row>
    <row r="34" spans="2:31" x14ac:dyDescent="0.25">
      <c r="B34" s="193">
        <v>42489</v>
      </c>
      <c r="C34" s="282">
        <v>80</v>
      </c>
      <c r="D34" s="283">
        <v>48.093499999999999</v>
      </c>
      <c r="E34" s="40">
        <v>49.98</v>
      </c>
      <c r="F34" s="40">
        <f t="shared" si="3"/>
        <v>150.91999999999985</v>
      </c>
      <c r="G34" s="40">
        <f t="shared" si="4"/>
        <v>3847.48</v>
      </c>
      <c r="H34" s="231">
        <f t="shared" si="5"/>
        <v>3.9225674987264349E-2</v>
      </c>
      <c r="I34" s="40"/>
      <c r="W34" s="94">
        <v>42572</v>
      </c>
      <c r="X34" s="10">
        <v>48.65</v>
      </c>
      <c r="Y34" s="10">
        <v>48.81</v>
      </c>
      <c r="Z34" s="10">
        <v>48.29</v>
      </c>
      <c r="AA34" s="10">
        <v>48.3</v>
      </c>
      <c r="AB34" s="95">
        <v>15532000</v>
      </c>
      <c r="AC34" s="10">
        <v>47.92</v>
      </c>
      <c r="AD34" s="2">
        <f t="shared" si="0"/>
        <v>0.52000000000000313</v>
      </c>
      <c r="AE34" s="138">
        <f t="shared" si="1"/>
        <v>-6.2214848610534501E-3</v>
      </c>
    </row>
    <row r="35" spans="2:31" x14ac:dyDescent="0.25">
      <c r="B35" s="193">
        <v>42502</v>
      </c>
      <c r="C35" s="429">
        <v>80</v>
      </c>
      <c r="D35" s="212">
        <v>48.093499999999999</v>
      </c>
      <c r="E35" s="40">
        <v>49.2</v>
      </c>
      <c r="F35" s="40">
        <f t="shared" si="3"/>
        <v>88.520000000000323</v>
      </c>
      <c r="G35" s="40">
        <f t="shared" si="4"/>
        <v>3847.48</v>
      </c>
      <c r="H35" s="231">
        <f t="shared" si="5"/>
        <v>2.3007267094305967E-2</v>
      </c>
      <c r="I35" s="40"/>
      <c r="W35" s="94">
        <v>42571</v>
      </c>
      <c r="X35" s="10">
        <v>48.59</v>
      </c>
      <c r="Y35" s="10">
        <v>48.69</v>
      </c>
      <c r="Z35" s="10">
        <v>48.4</v>
      </c>
      <c r="AA35" s="10">
        <v>48.61</v>
      </c>
      <c r="AB35" s="95">
        <v>16569900</v>
      </c>
      <c r="AC35" s="10">
        <v>48.22</v>
      </c>
      <c r="AD35" s="2">
        <f t="shared" si="0"/>
        <v>0.28999999999999915</v>
      </c>
      <c r="AE35" s="138">
        <f t="shared" si="1"/>
        <v>5.002084201750856E-3</v>
      </c>
    </row>
    <row r="36" spans="2:31" x14ac:dyDescent="0.25">
      <c r="B36" s="193">
        <v>42503</v>
      </c>
      <c r="C36" s="282">
        <v>110</v>
      </c>
      <c r="D36" s="283">
        <v>48.122500000000002</v>
      </c>
      <c r="E36" s="40">
        <v>48.93</v>
      </c>
      <c r="F36" s="40">
        <f t="shared" si="3"/>
        <v>88.824999999999719</v>
      </c>
      <c r="G36" s="40">
        <f t="shared" si="4"/>
        <v>5293.4750000000004</v>
      </c>
      <c r="H36" s="231">
        <f t="shared" si="5"/>
        <v>1.678009247233617E-2</v>
      </c>
      <c r="I36" s="40"/>
      <c r="W36" s="94">
        <v>42570</v>
      </c>
      <c r="X36" s="10">
        <v>48.08</v>
      </c>
      <c r="Y36" s="10">
        <v>48.55</v>
      </c>
      <c r="Z36" s="10">
        <v>48.05</v>
      </c>
      <c r="AA36" s="10">
        <v>48.37</v>
      </c>
      <c r="AB36" s="95">
        <v>15982900</v>
      </c>
      <c r="AC36" s="10">
        <v>47.98</v>
      </c>
      <c r="AD36" s="2">
        <f t="shared" si="0"/>
        <v>0.5</v>
      </c>
      <c r="AE36" s="138">
        <f t="shared" si="1"/>
        <v>1.670146137787043E-3</v>
      </c>
    </row>
    <row r="37" spans="2:31" x14ac:dyDescent="0.25">
      <c r="B37" s="193">
        <v>42506</v>
      </c>
      <c r="C37" s="282">
        <v>110</v>
      </c>
      <c r="D37" s="283">
        <v>48.122999999999998</v>
      </c>
      <c r="E37" s="40">
        <v>48.27</v>
      </c>
      <c r="F37" s="40">
        <f t="shared" si="3"/>
        <v>16.170000000000613</v>
      </c>
      <c r="G37" s="40">
        <f t="shared" si="4"/>
        <v>5293.53</v>
      </c>
      <c r="H37" s="231">
        <f t="shared" si="5"/>
        <v>3.0546724019700679E-3</v>
      </c>
      <c r="I37" s="40"/>
      <c r="W37" s="94">
        <v>42569</v>
      </c>
      <c r="X37" s="10">
        <v>47.81</v>
      </c>
      <c r="Y37" s="10">
        <v>48.33</v>
      </c>
      <c r="Z37" s="10">
        <v>47.78</v>
      </c>
      <c r="AA37" s="10">
        <v>48.28</v>
      </c>
      <c r="AB37" s="95">
        <v>24139200</v>
      </c>
      <c r="AC37" s="10">
        <v>47.9</v>
      </c>
      <c r="AD37" s="2">
        <f t="shared" si="0"/>
        <v>0.54999999999999716</v>
      </c>
      <c r="AE37" s="138">
        <f t="shared" si="1"/>
        <v>1.2043101626875163E-2</v>
      </c>
    </row>
    <row r="38" spans="2:31" x14ac:dyDescent="0.25">
      <c r="B38" s="193">
        <v>42507</v>
      </c>
      <c r="C38" s="478">
        <v>110</v>
      </c>
      <c r="D38" s="479">
        <v>48.122500000000002</v>
      </c>
      <c r="E38" s="40">
        <v>47.62</v>
      </c>
      <c r="F38" s="40">
        <f t="shared" si="3"/>
        <v>-55.275000000000531</v>
      </c>
      <c r="G38" s="40">
        <f t="shared" si="4"/>
        <v>5293.4750000000004</v>
      </c>
      <c r="H38" s="231">
        <f t="shared" si="5"/>
        <v>-1.0442100888357937E-2</v>
      </c>
      <c r="I38" s="40"/>
      <c r="W38" s="94">
        <v>42566</v>
      </c>
      <c r="X38" s="10">
        <v>48.85</v>
      </c>
      <c r="Y38" s="10">
        <v>48.88</v>
      </c>
      <c r="Z38" s="10">
        <v>47.41</v>
      </c>
      <c r="AA38" s="10">
        <v>47.71</v>
      </c>
      <c r="AB38" s="95">
        <v>35121000</v>
      </c>
      <c r="AC38" s="10">
        <v>47.33</v>
      </c>
      <c r="AD38" s="2">
        <f t="shared" si="0"/>
        <v>1.470000000000006</v>
      </c>
      <c r="AE38" s="138">
        <f t="shared" si="1"/>
        <v>-2.5128733264675573E-2</v>
      </c>
    </row>
    <row r="39" spans="2:31" ht="20.25" thickBot="1" x14ac:dyDescent="0.35">
      <c r="B39" s="193">
        <v>42514</v>
      </c>
      <c r="C39" s="282">
        <v>70</v>
      </c>
      <c r="D39" s="283">
        <v>47.456000000000003</v>
      </c>
      <c r="E39" s="40">
        <v>49.2</v>
      </c>
      <c r="F39" s="40">
        <f t="shared" si="3"/>
        <v>122.07999999999998</v>
      </c>
      <c r="G39" s="40">
        <f t="shared" si="4"/>
        <v>3321.92</v>
      </c>
      <c r="H39" s="231">
        <f t="shared" si="5"/>
        <v>3.6749831422791632E-2</v>
      </c>
      <c r="I39" s="40"/>
      <c r="O39" s="11"/>
      <c r="P39" s="545" t="s">
        <v>78</v>
      </c>
      <c r="Q39" s="545"/>
      <c r="R39" s="34"/>
      <c r="W39" s="94">
        <v>42565</v>
      </c>
      <c r="X39" s="10">
        <v>49.05</v>
      </c>
      <c r="Y39" s="10">
        <v>49.15</v>
      </c>
      <c r="Z39" s="10">
        <v>48.67</v>
      </c>
      <c r="AA39" s="10">
        <v>48.94</v>
      </c>
      <c r="AB39" s="95">
        <v>17578400</v>
      </c>
      <c r="AC39" s="10">
        <v>48.55</v>
      </c>
      <c r="AD39" s="2">
        <f t="shared" si="0"/>
        <v>0.47999999999999687</v>
      </c>
      <c r="AE39" s="138">
        <f t="shared" si="1"/>
        <v>1.3781582793902514E-2</v>
      </c>
    </row>
    <row r="40" spans="2:31" ht="15.75" thickTop="1" x14ac:dyDescent="0.25">
      <c r="B40" s="193">
        <v>42522</v>
      </c>
      <c r="C40" s="282">
        <v>50</v>
      </c>
      <c r="D40" s="283">
        <v>46.150799999999997</v>
      </c>
      <c r="E40" s="40">
        <v>51</v>
      </c>
      <c r="F40" s="40">
        <f t="shared" si="3"/>
        <v>242.46000000000015</v>
      </c>
      <c r="G40" s="40">
        <f t="shared" si="4"/>
        <v>2307.54</v>
      </c>
      <c r="H40" s="231">
        <f t="shared" si="5"/>
        <v>0.10507293481369778</v>
      </c>
      <c r="I40" s="40"/>
      <c r="O40" s="2"/>
      <c r="P40" s="83">
        <v>1.1000000000000001</v>
      </c>
      <c r="Q40" s="83">
        <f>P40*$Q$4</f>
        <v>54.989000000000004</v>
      </c>
      <c r="R40" s="34"/>
      <c r="W40" s="94">
        <v>42564</v>
      </c>
      <c r="X40" s="10">
        <v>48.31</v>
      </c>
      <c r="Y40" s="10">
        <v>48.47</v>
      </c>
      <c r="Z40" s="10">
        <v>47.98</v>
      </c>
      <c r="AA40" s="10">
        <v>48.27</v>
      </c>
      <c r="AB40" s="95">
        <v>14389600</v>
      </c>
      <c r="AC40" s="10">
        <v>47.89</v>
      </c>
      <c r="AD40" s="2">
        <f t="shared" si="0"/>
        <v>0.49000000000000199</v>
      </c>
      <c r="AE40" s="138">
        <f t="shared" si="1"/>
        <v>-1.4595496246871953E-3</v>
      </c>
    </row>
    <row r="41" spans="2:31" x14ac:dyDescent="0.25">
      <c r="B41" s="193">
        <v>42524</v>
      </c>
      <c r="C41" s="429">
        <v>80</v>
      </c>
      <c r="D41" s="212">
        <v>47.218000000000004</v>
      </c>
      <c r="E41" s="40">
        <v>50.19</v>
      </c>
      <c r="F41" s="40">
        <f t="shared" si="3"/>
        <v>237.75999999999954</v>
      </c>
      <c r="G41" s="40">
        <f t="shared" si="4"/>
        <v>3777.4400000000005</v>
      </c>
      <c r="H41" s="231">
        <f t="shared" si="5"/>
        <v>6.2942098352323145E-2</v>
      </c>
      <c r="I41" s="40"/>
      <c r="O41" s="2"/>
      <c r="P41" s="83">
        <v>1.0900000000000001</v>
      </c>
      <c r="Q41" s="83">
        <f t="shared" ref="Q41:Q60" si="6">P41*$Q$4</f>
        <v>54.489100000000008</v>
      </c>
      <c r="R41" s="34"/>
      <c r="W41" s="94">
        <v>42563</v>
      </c>
      <c r="X41" s="10">
        <v>48.42</v>
      </c>
      <c r="Y41" s="10">
        <v>48.63</v>
      </c>
      <c r="Z41" s="10">
        <v>48.22</v>
      </c>
      <c r="AA41" s="10">
        <v>48.35</v>
      </c>
      <c r="AB41" s="95">
        <v>15067900</v>
      </c>
      <c r="AC41" s="10">
        <v>47.96</v>
      </c>
      <c r="AD41" s="2">
        <f t="shared" si="0"/>
        <v>0.41000000000000369</v>
      </c>
      <c r="AE41" s="138">
        <f t="shared" si="1"/>
        <v>5.4507337526203958E-3</v>
      </c>
    </row>
    <row r="42" spans="2:31" ht="20.25" thickBot="1" x14ac:dyDescent="0.35">
      <c r="B42" s="193">
        <v>42527</v>
      </c>
      <c r="C42" s="282">
        <v>50</v>
      </c>
      <c r="D42" s="283">
        <v>45.195399999999999</v>
      </c>
      <c r="E42" s="40">
        <v>50.49</v>
      </c>
      <c r="F42" s="40">
        <f t="shared" si="3"/>
        <v>264.73000000000013</v>
      </c>
      <c r="G42" s="40">
        <f t="shared" si="4"/>
        <v>2259.77</v>
      </c>
      <c r="H42" s="231">
        <f t="shared" si="5"/>
        <v>0.11714909039415522</v>
      </c>
      <c r="I42" s="40"/>
      <c r="O42" s="2"/>
      <c r="P42" s="83">
        <v>1.08</v>
      </c>
      <c r="Q42" s="83">
        <f t="shared" si="6"/>
        <v>53.989200000000004</v>
      </c>
      <c r="R42" s="34"/>
      <c r="T42" s="91" t="s">
        <v>113</v>
      </c>
      <c r="W42" s="94">
        <v>42562</v>
      </c>
      <c r="X42" s="10">
        <v>48.1</v>
      </c>
      <c r="Y42" s="10">
        <v>48.45</v>
      </c>
      <c r="Z42" s="10">
        <v>47.94</v>
      </c>
      <c r="AA42" s="10">
        <v>48.08</v>
      </c>
      <c r="AB42" s="95">
        <v>16008700</v>
      </c>
      <c r="AC42" s="10">
        <v>47.7</v>
      </c>
      <c r="AD42" s="2">
        <f t="shared" si="0"/>
        <v>0.51000000000000512</v>
      </c>
      <c r="AE42" s="138">
        <f t="shared" si="1"/>
        <v>6.1168529846025166E-3</v>
      </c>
    </row>
    <row r="43" spans="2:31" ht="15.75" thickTop="1" x14ac:dyDescent="0.25">
      <c r="B43" s="193">
        <v>42531</v>
      </c>
      <c r="C43" s="282">
        <v>80</v>
      </c>
      <c r="D43" s="283">
        <v>46.438400000000001</v>
      </c>
      <c r="E43" s="40">
        <v>48.34</v>
      </c>
      <c r="F43" s="40">
        <f t="shared" si="3"/>
        <v>152.12800000000016</v>
      </c>
      <c r="G43" s="40">
        <f t="shared" si="4"/>
        <v>3715.0720000000001</v>
      </c>
      <c r="H43" s="231">
        <f t="shared" si="5"/>
        <v>4.0948869900771817E-2</v>
      </c>
      <c r="I43" s="40"/>
      <c r="O43" s="2"/>
      <c r="P43" s="83">
        <v>1.07</v>
      </c>
      <c r="Q43" s="83">
        <f t="shared" si="6"/>
        <v>53.489300000000007</v>
      </c>
      <c r="R43" s="83"/>
      <c r="T43" s="97" t="s">
        <v>98</v>
      </c>
      <c r="U43" s="98">
        <v>50.43</v>
      </c>
      <c r="W43" s="94">
        <v>42559</v>
      </c>
      <c r="X43" s="10">
        <v>47.45</v>
      </c>
      <c r="Y43" s="10">
        <v>47.92</v>
      </c>
      <c r="Z43" s="10">
        <v>47.45</v>
      </c>
      <c r="AA43" s="10">
        <v>47.79</v>
      </c>
      <c r="AB43" s="95">
        <v>19775700</v>
      </c>
      <c r="AC43" s="10">
        <v>47.41</v>
      </c>
      <c r="AD43" s="2">
        <f t="shared" si="0"/>
        <v>0.46999999999999886</v>
      </c>
      <c r="AE43" s="138">
        <f t="shared" si="1"/>
        <v>2.1107042860219583E-2</v>
      </c>
    </row>
    <row r="44" spans="2:31" x14ac:dyDescent="0.25">
      <c r="B44" s="193">
        <v>42535</v>
      </c>
      <c r="C44" s="282">
        <v>80</v>
      </c>
      <c r="D44" s="283">
        <v>46.438000000000002</v>
      </c>
      <c r="E44" s="40">
        <v>46.88</v>
      </c>
      <c r="F44" s="40">
        <f t="shared" si="3"/>
        <v>35.360000000000014</v>
      </c>
      <c r="G44" s="40">
        <f t="shared" si="4"/>
        <v>3715.04</v>
      </c>
      <c r="H44" s="231">
        <f t="shared" si="5"/>
        <v>9.5180671002196501E-3</v>
      </c>
      <c r="I44" s="40"/>
      <c r="O44" s="2"/>
      <c r="P44" s="83">
        <v>1.06</v>
      </c>
      <c r="Q44" s="83">
        <f t="shared" si="6"/>
        <v>52.989400000000003</v>
      </c>
      <c r="R44" s="83"/>
      <c r="T44" s="87" t="s">
        <v>99</v>
      </c>
      <c r="U44" s="88">
        <v>50.45</v>
      </c>
      <c r="W44" s="94">
        <v>42558</v>
      </c>
      <c r="X44" s="10">
        <v>46.58</v>
      </c>
      <c r="Y44" s="10">
        <v>47.22</v>
      </c>
      <c r="Z44" s="10">
        <v>46.44</v>
      </c>
      <c r="AA44" s="10">
        <v>46.8</v>
      </c>
      <c r="AB44" s="95">
        <v>17946200</v>
      </c>
      <c r="AC44" s="10">
        <v>46.43</v>
      </c>
      <c r="AD44" s="2">
        <f t="shared" si="0"/>
        <v>0.78000000000000114</v>
      </c>
      <c r="AE44" s="138">
        <f t="shared" si="1"/>
        <v>3.241140881590221E-3</v>
      </c>
    </row>
    <row r="45" spans="2:31" x14ac:dyDescent="0.25">
      <c r="B45" s="193">
        <v>42549</v>
      </c>
      <c r="C45" s="7">
        <v>80</v>
      </c>
      <c r="D45" s="79">
        <v>46.438000000000002</v>
      </c>
      <c r="E45" s="40">
        <v>46.1</v>
      </c>
      <c r="F45" s="40">
        <f t="shared" ref="F45" si="7">C45*(E45-D45)</f>
        <v>-27.040000000000077</v>
      </c>
      <c r="G45" s="40">
        <f t="shared" ref="G45" si="8">D45*C45</f>
        <v>3715.04</v>
      </c>
      <c r="H45" s="231">
        <f t="shared" ref="H45" si="9">(E45-D45)/D45</f>
        <v>-7.2785219001679866E-3</v>
      </c>
      <c r="I45" s="236">
        <v>45</v>
      </c>
      <c r="O45" s="2"/>
      <c r="P45" s="83">
        <v>1.05</v>
      </c>
      <c r="Q45" s="83">
        <f t="shared" si="6"/>
        <v>52.489500000000007</v>
      </c>
      <c r="R45" s="83"/>
      <c r="T45" s="87" t="s">
        <v>100</v>
      </c>
      <c r="U45" s="88" t="s">
        <v>545</v>
      </c>
      <c r="W45" s="94">
        <v>42557</v>
      </c>
      <c r="X45" s="10">
        <v>45.89</v>
      </c>
      <c r="Y45" s="10">
        <v>46.66</v>
      </c>
      <c r="Z45" s="10">
        <v>45.7</v>
      </c>
      <c r="AA45" s="10">
        <v>46.65</v>
      </c>
      <c r="AB45" s="95">
        <v>19024100</v>
      </c>
      <c r="AC45" s="10">
        <v>46.28</v>
      </c>
      <c r="AD45" s="2">
        <f t="shared" si="0"/>
        <v>0.95999999999999375</v>
      </c>
      <c r="AE45" s="138">
        <f t="shared" si="1"/>
        <v>9.5986038394415552E-3</v>
      </c>
    </row>
    <row r="46" spans="2:31" x14ac:dyDescent="0.25">
      <c r="B46" s="193">
        <v>42552</v>
      </c>
      <c r="C46" s="10">
        <v>80</v>
      </c>
      <c r="D46" s="200">
        <v>46.438400000000001</v>
      </c>
      <c r="E46" s="40">
        <v>47.03</v>
      </c>
      <c r="F46" s="40">
        <f t="shared" ref="F46" si="10">C46*(E46-D46)</f>
        <v>47.327999999999975</v>
      </c>
      <c r="G46" s="40">
        <f t="shared" ref="G46" si="11">D46*C46</f>
        <v>3715.0720000000001</v>
      </c>
      <c r="H46" s="231">
        <f t="shared" ref="H46" si="12">(E46-D46)/D46</f>
        <v>1.2739457001102529E-2</v>
      </c>
      <c r="I46" s="40"/>
      <c r="O46" s="2"/>
      <c r="P46" s="83">
        <v>1.04</v>
      </c>
      <c r="Q46" s="83">
        <f t="shared" si="6"/>
        <v>51.989600000000003</v>
      </c>
      <c r="R46" s="83"/>
      <c r="T46" s="87" t="s">
        <v>101</v>
      </c>
      <c r="U46" s="88" t="s">
        <v>546</v>
      </c>
      <c r="W46" s="94">
        <v>42556</v>
      </c>
      <c r="X46" s="10">
        <v>46.7</v>
      </c>
      <c r="Y46" s="10">
        <v>46.76</v>
      </c>
      <c r="Z46" s="10">
        <v>45.81</v>
      </c>
      <c r="AA46" s="10">
        <v>46.21</v>
      </c>
      <c r="AB46" s="95">
        <v>22213000</v>
      </c>
      <c r="AC46" s="10">
        <v>45.84</v>
      </c>
      <c r="AD46" s="2">
        <f t="shared" si="0"/>
        <v>0.94999999999999574</v>
      </c>
      <c r="AE46" s="138">
        <f t="shared" si="1"/>
        <v>-1.7573939134161831E-2</v>
      </c>
    </row>
    <row r="47" spans="2:31" x14ac:dyDescent="0.25">
      <c r="B47" s="193">
        <v>42556</v>
      </c>
      <c r="C47" s="10">
        <v>80</v>
      </c>
      <c r="D47" s="200">
        <v>46.438400000000001</v>
      </c>
      <c r="E47" s="40">
        <v>46.21</v>
      </c>
      <c r="F47" s="40">
        <f t="shared" ref="F47" si="13">C47*(E47-D47)</f>
        <v>-18.272000000000048</v>
      </c>
      <c r="G47" s="40">
        <f t="shared" ref="G47" si="14">D47*C47</f>
        <v>3715.0720000000001</v>
      </c>
      <c r="H47" s="231">
        <f t="shared" ref="H47" si="15">(E47-D47)/D47</f>
        <v>-4.9183434399118096E-3</v>
      </c>
      <c r="I47" s="40"/>
      <c r="O47" s="2"/>
      <c r="P47" s="83">
        <v>1.03</v>
      </c>
      <c r="Q47" s="83">
        <f t="shared" si="6"/>
        <v>51.489700000000006</v>
      </c>
      <c r="R47" s="83"/>
      <c r="T47" s="87" t="s">
        <v>102</v>
      </c>
      <c r="U47" s="88">
        <v>53</v>
      </c>
      <c r="W47" s="94">
        <v>42552</v>
      </c>
      <c r="X47" s="10">
        <v>47.08</v>
      </c>
      <c r="Y47" s="10">
        <v>47.28</v>
      </c>
      <c r="Z47" s="10">
        <v>46.86</v>
      </c>
      <c r="AA47" s="10">
        <v>47.03</v>
      </c>
      <c r="AB47" s="95">
        <v>19013600</v>
      </c>
      <c r="AC47" s="10">
        <v>46.66</v>
      </c>
      <c r="AD47" s="2">
        <f t="shared" si="0"/>
        <v>0.42000000000000171</v>
      </c>
      <c r="AE47" s="138">
        <f t="shared" si="1"/>
        <v>-6.1767838125666996E-3</v>
      </c>
    </row>
    <row r="48" spans="2:31" x14ac:dyDescent="0.25">
      <c r="B48" s="193">
        <v>42562</v>
      </c>
      <c r="C48" s="10">
        <v>80</v>
      </c>
      <c r="D48" s="200">
        <v>46.438400000000001</v>
      </c>
      <c r="E48" s="40">
        <v>48.08</v>
      </c>
      <c r="F48" s="40">
        <f t="shared" ref="F48" si="16">C48*(E48-D48)</f>
        <v>131.32799999999975</v>
      </c>
      <c r="G48" s="40">
        <f t="shared" ref="G48" si="17">D48*C48</f>
        <v>3715.0720000000001</v>
      </c>
      <c r="H48" s="231">
        <f t="shared" ref="H48" si="18">(E48-D48)/D48</f>
        <v>3.5350055126791555E-2</v>
      </c>
      <c r="I48" s="40"/>
      <c r="O48" s="2"/>
      <c r="P48" s="83">
        <v>1.02</v>
      </c>
      <c r="Q48" s="83">
        <f t="shared" si="6"/>
        <v>50.989800000000002</v>
      </c>
      <c r="R48" s="83"/>
      <c r="T48" s="87" t="s">
        <v>103</v>
      </c>
      <c r="U48" s="88">
        <v>0.89766800000000002</v>
      </c>
      <c r="W48" s="94">
        <v>42551</v>
      </c>
      <c r="X48" s="10">
        <v>47.24</v>
      </c>
      <c r="Y48" s="10">
        <v>47.36</v>
      </c>
      <c r="Z48" s="10">
        <v>46.53</v>
      </c>
      <c r="AA48" s="10">
        <v>47.33</v>
      </c>
      <c r="AB48" s="95">
        <v>22538800</v>
      </c>
      <c r="AC48" s="10">
        <v>46.95</v>
      </c>
      <c r="AD48" s="2">
        <f t="shared" si="0"/>
        <v>0.82999999999999829</v>
      </c>
      <c r="AE48" s="138">
        <f t="shared" si="1"/>
        <v>7.5107296137340018E-3</v>
      </c>
    </row>
    <row r="49" spans="2:31" x14ac:dyDescent="0.25">
      <c r="B49" s="193">
        <v>42563</v>
      </c>
      <c r="C49" s="10">
        <v>80</v>
      </c>
      <c r="D49" s="200">
        <v>46.438400000000001</v>
      </c>
      <c r="E49" s="40">
        <v>48.35</v>
      </c>
      <c r="F49" s="40">
        <f t="shared" ref="F49:F50" si="19">C49*(E49-D49)</f>
        <v>152.928</v>
      </c>
      <c r="G49" s="40">
        <f t="shared" ref="G49:G50" si="20">D49*C49</f>
        <v>3715.0720000000001</v>
      </c>
      <c r="H49" s="231">
        <f t="shared" ref="H49:H50" si="21">(E49-D49)/D49</f>
        <v>4.1164208930540243E-2</v>
      </c>
      <c r="I49" s="40"/>
      <c r="O49" s="2"/>
      <c r="P49" s="83">
        <v>1.01</v>
      </c>
      <c r="Q49" s="83">
        <f t="shared" si="6"/>
        <v>50.489900000000006</v>
      </c>
      <c r="R49" s="83"/>
      <c r="T49" s="87" t="s">
        <v>104</v>
      </c>
      <c r="U49" s="89" t="s">
        <v>288</v>
      </c>
      <c r="W49" s="94">
        <v>42550</v>
      </c>
      <c r="X49" s="10">
        <v>46.63</v>
      </c>
      <c r="Y49" s="10">
        <v>46.99</v>
      </c>
      <c r="Z49" s="10">
        <v>46.15</v>
      </c>
      <c r="AA49" s="10">
        <v>46.97</v>
      </c>
      <c r="AB49" s="95">
        <v>20856400</v>
      </c>
      <c r="AC49" s="10">
        <v>46.6</v>
      </c>
      <c r="AD49" s="2">
        <f t="shared" si="0"/>
        <v>0.84000000000000341</v>
      </c>
      <c r="AE49" s="138">
        <f t="shared" si="1"/>
        <v>1.902471025584962E-2</v>
      </c>
    </row>
    <row r="50" spans="2:31" x14ac:dyDescent="0.25">
      <c r="B50" s="193">
        <v>42566</v>
      </c>
      <c r="C50" s="478">
        <v>110</v>
      </c>
      <c r="D50" s="479">
        <v>46.749699999999997</v>
      </c>
      <c r="E50" s="40">
        <v>47.71</v>
      </c>
      <c r="F50" s="40">
        <f t="shared" si="19"/>
        <v>105.63300000000041</v>
      </c>
      <c r="G50" s="40">
        <f t="shared" si="20"/>
        <v>5142.4669999999996</v>
      </c>
      <c r="H50" s="231">
        <f t="shared" si="21"/>
        <v>2.0541308286470369E-2</v>
      </c>
      <c r="I50" s="40" t="s">
        <v>283</v>
      </c>
      <c r="O50" s="2"/>
      <c r="P50" s="83">
        <v>1</v>
      </c>
      <c r="Q50" s="83">
        <f t="shared" si="6"/>
        <v>49.99</v>
      </c>
      <c r="R50" s="83"/>
      <c r="T50" s="87"/>
      <c r="U50" s="88"/>
      <c r="W50" s="94">
        <v>42549</v>
      </c>
      <c r="X50" s="10">
        <v>45.89</v>
      </c>
      <c r="Y50" s="10">
        <v>46.11</v>
      </c>
      <c r="Z50" s="10">
        <v>45.34</v>
      </c>
      <c r="AA50" s="10">
        <v>46.1</v>
      </c>
      <c r="AB50" s="95">
        <v>27525700</v>
      </c>
      <c r="AC50" s="10">
        <v>45.73</v>
      </c>
      <c r="AD50" s="2">
        <f t="shared" si="0"/>
        <v>0.76999999999999602</v>
      </c>
      <c r="AE50" s="138">
        <f t="shared" si="1"/>
        <v>2.4188129899216149E-2</v>
      </c>
    </row>
    <row r="51" spans="2:31" x14ac:dyDescent="0.25">
      <c r="B51" s="193">
        <v>42569</v>
      </c>
      <c r="C51" s="10">
        <v>110</v>
      </c>
      <c r="D51" s="200">
        <v>46.749699999999997</v>
      </c>
      <c r="E51" s="40">
        <v>48.28</v>
      </c>
      <c r="F51" s="40">
        <f t="shared" ref="F51" si="22">C51*(E51-D51)</f>
        <v>168.33300000000042</v>
      </c>
      <c r="G51" s="40">
        <f t="shared" ref="G51" si="23">D51*C51</f>
        <v>5142.4669999999996</v>
      </c>
      <c r="H51" s="231">
        <f t="shared" ref="H51" si="24">(E51-D51)/D51</f>
        <v>3.2733899896683918E-2</v>
      </c>
      <c r="I51" s="40"/>
      <c r="O51" s="2"/>
      <c r="P51" s="83">
        <v>0.99</v>
      </c>
      <c r="Q51" s="83">
        <f t="shared" si="6"/>
        <v>49.490099999999998</v>
      </c>
      <c r="R51" s="83"/>
      <c r="T51" s="87" t="s">
        <v>105</v>
      </c>
      <c r="U51" s="88" t="s">
        <v>547</v>
      </c>
      <c r="W51" s="94">
        <v>42548</v>
      </c>
      <c r="X51" s="10">
        <v>45.2</v>
      </c>
      <c r="Y51" s="10">
        <v>45.33</v>
      </c>
      <c r="Z51" s="10">
        <v>44.5</v>
      </c>
      <c r="AA51" s="10">
        <v>45.01</v>
      </c>
      <c r="AB51" s="95">
        <v>35030100</v>
      </c>
      <c r="AC51" s="10">
        <v>44.65</v>
      </c>
      <c r="AD51" s="2">
        <f t="shared" si="0"/>
        <v>0.82999999999999829</v>
      </c>
      <c r="AE51" s="138">
        <f t="shared" si="1"/>
        <v>-1.5435501653803807E-2</v>
      </c>
    </row>
    <row r="52" spans="2:31" x14ac:dyDescent="0.25">
      <c r="B52" s="193">
        <v>42570</v>
      </c>
      <c r="C52" s="10">
        <v>110</v>
      </c>
      <c r="D52" s="200">
        <v>46.749699999999997</v>
      </c>
      <c r="E52" s="40">
        <v>48.37</v>
      </c>
      <c r="F52" s="40">
        <f t="shared" ref="F52" si="25">C52*(E52-D52)</f>
        <v>178.23300000000003</v>
      </c>
      <c r="G52" s="40">
        <f t="shared" ref="G52" si="26">D52*C52</f>
        <v>5142.4669999999996</v>
      </c>
      <c r="H52" s="231">
        <f t="shared" ref="H52" si="27">(E52-D52)/D52</f>
        <v>3.4659045940401763E-2</v>
      </c>
      <c r="I52" s="40"/>
      <c r="O52" s="2"/>
      <c r="P52" s="83">
        <v>0.98</v>
      </c>
      <c r="Q52" s="83">
        <f t="shared" si="6"/>
        <v>48.990200000000002</v>
      </c>
      <c r="R52" s="83"/>
      <c r="T52" s="87" t="s">
        <v>106</v>
      </c>
      <c r="U52" s="88" t="s">
        <v>353</v>
      </c>
      <c r="W52" s="94">
        <v>42545</v>
      </c>
      <c r="X52" s="10">
        <v>45.76</v>
      </c>
      <c r="Y52" s="10">
        <v>46.97</v>
      </c>
      <c r="Z52" s="10">
        <v>45.28</v>
      </c>
      <c r="AA52" s="10">
        <v>45.71</v>
      </c>
      <c r="AB52" s="95">
        <v>46744100</v>
      </c>
      <c r="AC52" s="10">
        <v>45.35</v>
      </c>
      <c r="AD52" s="2">
        <f t="shared" si="0"/>
        <v>1.6899999999999977</v>
      </c>
      <c r="AE52" s="138">
        <f t="shared" si="1"/>
        <v>-4.5865768988007538E-2</v>
      </c>
    </row>
    <row r="53" spans="2:31" x14ac:dyDescent="0.25">
      <c r="B53" s="193">
        <v>42571</v>
      </c>
      <c r="C53" s="10">
        <v>110</v>
      </c>
      <c r="D53" s="200">
        <v>46.749699999999997</v>
      </c>
      <c r="E53" s="40">
        <v>48.61</v>
      </c>
      <c r="F53" s="40">
        <f t="shared" ref="F53" si="28">C53*(E53-D53)</f>
        <v>204.63300000000027</v>
      </c>
      <c r="G53" s="40">
        <f t="shared" ref="G53" si="29">D53*C53</f>
        <v>5142.4669999999996</v>
      </c>
      <c r="H53" s="231">
        <f t="shared" ref="H53" si="30">(E53-D53)/D53</f>
        <v>3.9792768723649612E-2</v>
      </c>
      <c r="I53" s="40"/>
      <c r="O53" s="2"/>
      <c r="P53" s="83">
        <v>0.97</v>
      </c>
      <c r="Q53" s="83">
        <f t="shared" si="6"/>
        <v>48.490299999999998</v>
      </c>
      <c r="R53" s="83"/>
      <c r="T53" s="87" t="s">
        <v>107</v>
      </c>
      <c r="U53" s="90">
        <v>12683950</v>
      </c>
      <c r="W53" s="94">
        <v>42544</v>
      </c>
      <c r="X53" s="10">
        <v>47.64</v>
      </c>
      <c r="Y53" s="10">
        <v>47.91</v>
      </c>
      <c r="Z53" s="10">
        <v>47.39</v>
      </c>
      <c r="AA53" s="10">
        <v>47.91</v>
      </c>
      <c r="AB53" s="95">
        <v>16270000</v>
      </c>
      <c r="AC53" s="10">
        <v>47.53</v>
      </c>
      <c r="AD53" s="2">
        <f t="shared" si="0"/>
        <v>0.51999999999999602</v>
      </c>
      <c r="AE53" s="138">
        <f t="shared" si="1"/>
        <v>1.9957081545064481E-2</v>
      </c>
    </row>
    <row r="54" spans="2:31" x14ac:dyDescent="0.25">
      <c r="B54" s="193">
        <v>42572</v>
      </c>
      <c r="C54" s="10">
        <v>110</v>
      </c>
      <c r="D54" s="200">
        <v>46.749699999999997</v>
      </c>
      <c r="E54" s="40">
        <v>48.3</v>
      </c>
      <c r="F54" s="40">
        <f t="shared" ref="F54" si="31">C54*(E54-D54)</f>
        <v>170.53300000000002</v>
      </c>
      <c r="G54" s="40">
        <f t="shared" ref="G54" si="32">D54*C54</f>
        <v>5142.4669999999996</v>
      </c>
      <c r="H54" s="231">
        <f t="shared" ref="H54" si="33">(E54-D54)/D54</f>
        <v>3.3161710128621145E-2</v>
      </c>
      <c r="I54" s="40"/>
      <c r="O54" s="2"/>
      <c r="P54" s="83">
        <v>0.96</v>
      </c>
      <c r="Q54" s="83">
        <f t="shared" si="6"/>
        <v>47.990400000000001</v>
      </c>
      <c r="R54" s="83"/>
      <c r="T54" s="87" t="s">
        <v>110</v>
      </c>
      <c r="U54" s="90">
        <v>17956200</v>
      </c>
      <c r="W54" s="94">
        <v>42543</v>
      </c>
      <c r="X54" s="10">
        <v>47.15</v>
      </c>
      <c r="Y54" s="10">
        <v>47.58</v>
      </c>
      <c r="Z54" s="10">
        <v>46.93</v>
      </c>
      <c r="AA54" s="10">
        <v>46.97</v>
      </c>
      <c r="AB54" s="95">
        <v>17072100</v>
      </c>
      <c r="AC54" s="10">
        <v>46.6</v>
      </c>
      <c r="AD54" s="2">
        <f t="shared" si="0"/>
        <v>0.64999999999999858</v>
      </c>
      <c r="AE54" s="138">
        <f t="shared" si="1"/>
        <v>-5.3361792956243548E-3</v>
      </c>
    </row>
    <row r="55" spans="2:31" x14ac:dyDescent="0.25">
      <c r="B55" s="193">
        <v>42576</v>
      </c>
      <c r="C55" s="10">
        <v>110</v>
      </c>
      <c r="D55" s="200">
        <v>46.749699999999997</v>
      </c>
      <c r="E55" s="40">
        <v>48.12</v>
      </c>
      <c r="F55" s="40">
        <f t="shared" ref="F55" si="34">C55*(E55-D55)</f>
        <v>150.73300000000003</v>
      </c>
      <c r="G55" s="40">
        <f t="shared" ref="G55" si="35">D55*C55</f>
        <v>5142.4669999999996</v>
      </c>
      <c r="H55" s="231">
        <f t="shared" ref="H55" si="36">(E55-D55)/D55</f>
        <v>2.9311418041185301E-2</v>
      </c>
      <c r="I55" s="40"/>
      <c r="O55" s="2"/>
      <c r="P55" s="83">
        <v>0.95</v>
      </c>
      <c r="Q55" s="83">
        <f t="shared" si="6"/>
        <v>47.490499999999997</v>
      </c>
      <c r="R55" s="83"/>
      <c r="T55" s="87" t="s">
        <v>108</v>
      </c>
      <c r="U55" s="88" t="s">
        <v>548</v>
      </c>
      <c r="W55" s="94">
        <v>42542</v>
      </c>
      <c r="X55" s="10">
        <v>47.29</v>
      </c>
      <c r="Y55" s="10">
        <v>47.34</v>
      </c>
      <c r="Z55" s="10">
        <v>46.77</v>
      </c>
      <c r="AA55" s="10">
        <v>47.23</v>
      </c>
      <c r="AB55" s="95">
        <v>11731600</v>
      </c>
      <c r="AC55" s="10">
        <v>46.85</v>
      </c>
      <c r="AD55" s="2">
        <f t="shared" si="0"/>
        <v>0.57000000000000028</v>
      </c>
      <c r="AE55" s="138">
        <f>AC55/AC56-1</f>
        <v>6.2285223367697373E-3</v>
      </c>
    </row>
    <row r="56" spans="2:31" x14ac:dyDescent="0.25">
      <c r="B56" s="193">
        <v>42585</v>
      </c>
      <c r="C56" s="10">
        <v>110</v>
      </c>
      <c r="D56" s="200">
        <v>46.749699999999997</v>
      </c>
      <c r="E56" s="40">
        <v>47.7</v>
      </c>
      <c r="F56" s="40">
        <f t="shared" ref="F56:F57" si="37">C56*(E56-D56)</f>
        <v>104.53300000000063</v>
      </c>
      <c r="G56" s="40">
        <f t="shared" ref="G56:G57" si="38">D56*C56</f>
        <v>5142.4669999999996</v>
      </c>
      <c r="H56" s="231">
        <f t="shared" ref="H56:H57" si="39">(E56-D56)/D56</f>
        <v>2.0327403170501752E-2</v>
      </c>
      <c r="I56" s="40"/>
      <c r="O56" s="2"/>
      <c r="P56" s="83">
        <v>0.94</v>
      </c>
      <c r="Q56" s="83">
        <f t="shared" si="6"/>
        <v>46.990600000000001</v>
      </c>
      <c r="R56" s="83"/>
      <c r="T56" s="87" t="s">
        <v>111</v>
      </c>
      <c r="U56" s="88">
        <v>12.48</v>
      </c>
      <c r="W56" s="94">
        <v>42541</v>
      </c>
      <c r="X56" s="10">
        <v>47.49</v>
      </c>
      <c r="Y56" s="10">
        <v>47.9</v>
      </c>
      <c r="Z56" s="10">
        <v>46.92</v>
      </c>
      <c r="AA56" s="10">
        <v>46.93</v>
      </c>
      <c r="AB56" s="95">
        <v>19490100</v>
      </c>
      <c r="AC56" s="10">
        <v>46.56</v>
      </c>
      <c r="AD56" s="2">
        <f t="shared" si="0"/>
        <v>0.97999999999999687</v>
      </c>
      <c r="AE56" s="138">
        <f t="shared" si="1"/>
        <v>7.1382219338094188E-3</v>
      </c>
    </row>
    <row r="57" spans="2:31" x14ac:dyDescent="0.25">
      <c r="B57" s="193">
        <v>42587</v>
      </c>
      <c r="C57" s="7">
        <v>80</v>
      </c>
      <c r="D57" s="79">
        <v>46.025700000000001</v>
      </c>
      <c r="E57" s="40">
        <v>48.43</v>
      </c>
      <c r="F57" s="40">
        <f t="shared" si="37"/>
        <v>192.34399999999994</v>
      </c>
      <c r="G57" s="40">
        <f t="shared" si="38"/>
        <v>3682.056</v>
      </c>
      <c r="H57" s="231">
        <f t="shared" si="39"/>
        <v>5.2238206045752682E-2</v>
      </c>
      <c r="I57" s="40"/>
      <c r="O57" s="2"/>
      <c r="P57" s="83">
        <v>0.93</v>
      </c>
      <c r="Q57" s="83">
        <f t="shared" si="6"/>
        <v>46.490700000000004</v>
      </c>
      <c r="R57" s="83"/>
      <c r="T57" s="87" t="s">
        <v>112</v>
      </c>
      <c r="U57" s="88">
        <v>4.05</v>
      </c>
      <c r="W57" s="94">
        <v>42538</v>
      </c>
      <c r="X57" s="10">
        <v>46.85</v>
      </c>
      <c r="Y57" s="10">
        <v>47</v>
      </c>
      <c r="Z57" s="10">
        <v>46.52</v>
      </c>
      <c r="AA57" s="10">
        <v>46.6</v>
      </c>
      <c r="AB57" s="95">
        <v>25661300</v>
      </c>
      <c r="AC57" s="10">
        <v>46.23</v>
      </c>
      <c r="AD57" s="2">
        <f t="shared" si="0"/>
        <v>0.47999999999999687</v>
      </c>
      <c r="AE57" s="138">
        <f t="shared" si="1"/>
        <v>-5.3786574870912096E-3</v>
      </c>
    </row>
    <row r="58" spans="2:31" x14ac:dyDescent="0.25">
      <c r="B58" s="193">
        <v>42600</v>
      </c>
      <c r="C58" s="10">
        <v>80</v>
      </c>
      <c r="D58" s="200">
        <v>46.026000000000003</v>
      </c>
      <c r="E58" s="40">
        <v>48.53</v>
      </c>
      <c r="F58" s="40">
        <f t="shared" ref="F58" si="40">C58*(E58-D58)</f>
        <v>200.31999999999982</v>
      </c>
      <c r="G58" s="40">
        <f t="shared" ref="G58" si="41">D58*C58</f>
        <v>3682.0800000000004</v>
      </c>
      <c r="H58" s="231">
        <f t="shared" ref="H58" si="42">(E58-D58)/D58</f>
        <v>5.4404032503367609E-2</v>
      </c>
      <c r="I58" s="40"/>
      <c r="O58" s="2"/>
      <c r="P58" s="83">
        <v>0.92</v>
      </c>
      <c r="Q58" s="83">
        <f t="shared" si="6"/>
        <v>45.990800000000007</v>
      </c>
      <c r="R58" s="83"/>
      <c r="T58" s="87" t="s">
        <v>109</v>
      </c>
      <c r="U58" s="88" t="s">
        <v>589</v>
      </c>
      <c r="W58" s="94">
        <v>42537</v>
      </c>
      <c r="X58" s="10">
        <v>46.47</v>
      </c>
      <c r="Y58" s="10">
        <v>46.86</v>
      </c>
      <c r="Z58" s="10">
        <v>45.96</v>
      </c>
      <c r="AA58" s="10">
        <v>46.85</v>
      </c>
      <c r="AB58" s="95">
        <v>15619300</v>
      </c>
      <c r="AC58" s="10">
        <v>46.48</v>
      </c>
      <c r="AD58" s="2">
        <f t="shared" si="0"/>
        <v>0.89999999999999858</v>
      </c>
      <c r="AE58" s="138">
        <f t="shared" si="1"/>
        <v>1.5082956259426794E-3</v>
      </c>
    </row>
    <row r="59" spans="2:31" x14ac:dyDescent="0.25">
      <c r="B59" s="193">
        <v>42601</v>
      </c>
      <c r="C59" s="10">
        <v>80</v>
      </c>
      <c r="D59" s="200">
        <v>46.026000000000003</v>
      </c>
      <c r="E59" s="40">
        <v>48.65</v>
      </c>
      <c r="F59" s="40">
        <f t="shared" ref="F59" si="43">C59*(E59-D59)</f>
        <v>209.91999999999962</v>
      </c>
      <c r="G59" s="40">
        <f t="shared" ref="G59" si="44">D59*C59</f>
        <v>3682.0800000000004</v>
      </c>
      <c r="H59" s="231">
        <f t="shared" ref="H59" si="45">(E59-D59)/D59</f>
        <v>5.7011254508321278E-2</v>
      </c>
      <c r="I59" s="40"/>
      <c r="O59" s="2"/>
      <c r="P59" s="83">
        <v>0.91</v>
      </c>
      <c r="Q59" s="83">
        <f t="shared" si="6"/>
        <v>45.490900000000003</v>
      </c>
      <c r="R59" s="83"/>
      <c r="W59" s="94">
        <v>42536</v>
      </c>
      <c r="X59" s="10">
        <v>47.27</v>
      </c>
      <c r="Y59" s="10">
        <v>47.56</v>
      </c>
      <c r="Z59" s="10">
        <v>46.74</v>
      </c>
      <c r="AA59" s="10">
        <v>46.78</v>
      </c>
      <c r="AB59" s="95">
        <v>20142000</v>
      </c>
      <c r="AC59" s="10">
        <v>46.41</v>
      </c>
      <c r="AD59" s="2">
        <f t="shared" si="0"/>
        <v>0.82000000000000028</v>
      </c>
      <c r="AE59" s="138">
        <f t="shared" si="1"/>
        <v>-2.1500752526338873E-3</v>
      </c>
    </row>
    <row r="60" spans="2:31" x14ac:dyDescent="0.25">
      <c r="B60" s="193">
        <v>42605</v>
      </c>
      <c r="C60" s="10">
        <v>80</v>
      </c>
      <c r="D60" s="200">
        <v>46.026000000000003</v>
      </c>
      <c r="E60" s="40">
        <v>48.41</v>
      </c>
      <c r="F60" s="40">
        <f t="shared" ref="F60" si="46">C60*(E60-D60)</f>
        <v>190.71999999999946</v>
      </c>
      <c r="G60" s="40">
        <f t="shared" ref="G60" si="47">D60*C60</f>
        <v>3682.0800000000004</v>
      </c>
      <c r="H60" s="231">
        <f t="shared" ref="H60" si="48">(E60-D60)/D60</f>
        <v>5.1796810498413788E-2</v>
      </c>
      <c r="I60" s="40"/>
      <c r="O60" s="2"/>
      <c r="P60" s="83">
        <v>0.9</v>
      </c>
      <c r="Q60" s="83">
        <f t="shared" si="6"/>
        <v>44.991</v>
      </c>
      <c r="R60" s="83"/>
      <c r="W60" s="94">
        <v>42535</v>
      </c>
      <c r="X60" s="10">
        <v>47.86</v>
      </c>
      <c r="Y60" s="10">
        <v>48.12</v>
      </c>
      <c r="Z60" s="10">
        <v>46.51</v>
      </c>
      <c r="AA60" s="10">
        <v>46.88</v>
      </c>
      <c r="AB60" s="95">
        <v>25311700</v>
      </c>
      <c r="AC60" s="10">
        <v>46.51</v>
      </c>
      <c r="AD60" s="2">
        <f t="shared" si="0"/>
        <v>1.6099999999999994</v>
      </c>
      <c r="AE60" s="138">
        <f t="shared" si="1"/>
        <v>-2.2693843244379175E-2</v>
      </c>
    </row>
    <row r="61" spans="2:31" x14ac:dyDescent="0.25">
      <c r="B61" s="193">
        <v>42606</v>
      </c>
      <c r="C61" s="10">
        <v>80</v>
      </c>
      <c r="D61" s="200">
        <v>46.026000000000003</v>
      </c>
      <c r="E61" s="40">
        <v>48.63</v>
      </c>
      <c r="F61" s="40">
        <f t="shared" ref="F61" si="49">C61*(E61-D61)</f>
        <v>208.31999999999994</v>
      </c>
      <c r="G61" s="40">
        <f t="shared" ref="G61" si="50">D61*C61</f>
        <v>3682.0800000000004</v>
      </c>
      <c r="H61" s="231">
        <f t="shared" ref="H61" si="51">(E61-D61)/D61</f>
        <v>5.6576717507495738E-2</v>
      </c>
      <c r="I61" s="40"/>
      <c r="W61" s="94">
        <v>42534</v>
      </c>
      <c r="X61" s="10">
        <v>48.13</v>
      </c>
      <c r="Y61" s="10">
        <v>48.51</v>
      </c>
      <c r="Z61" s="10">
        <v>47.96</v>
      </c>
      <c r="AA61" s="10">
        <v>47.97</v>
      </c>
      <c r="AB61" s="95">
        <v>16150100</v>
      </c>
      <c r="AC61" s="10">
        <v>47.59</v>
      </c>
      <c r="AD61" s="2">
        <f t="shared" si="0"/>
        <v>0.54999999999999716</v>
      </c>
      <c r="AE61" s="138">
        <f t="shared" si="1"/>
        <v>-7.5078206465067909E-3</v>
      </c>
    </row>
    <row r="62" spans="2:31" x14ac:dyDescent="0.25">
      <c r="B62" s="193">
        <v>42607</v>
      </c>
      <c r="C62" s="10">
        <v>80</v>
      </c>
      <c r="D62" s="200">
        <v>46.026000000000003</v>
      </c>
      <c r="E62" s="40">
        <v>48.38</v>
      </c>
      <c r="F62" s="40">
        <f t="shared" ref="F62" si="52">C62*(E62-D62)</f>
        <v>188.31999999999994</v>
      </c>
      <c r="G62" s="40">
        <f t="shared" ref="G62" si="53">D62*C62</f>
        <v>3682.0800000000004</v>
      </c>
      <c r="H62" s="231">
        <f t="shared" ref="H62" si="54">(E62-D62)/D62</f>
        <v>5.1145004997175489E-2</v>
      </c>
      <c r="I62" s="40"/>
      <c r="W62" s="94">
        <v>42531</v>
      </c>
      <c r="X62" s="10">
        <v>48.49</v>
      </c>
      <c r="Y62" s="10">
        <v>48.71</v>
      </c>
      <c r="Z62" s="10">
        <v>48.17</v>
      </c>
      <c r="AA62" s="10">
        <v>48.34</v>
      </c>
      <c r="AB62" s="95">
        <v>16815300</v>
      </c>
      <c r="AC62" s="10">
        <v>47.95</v>
      </c>
      <c r="AD62" s="2">
        <f t="shared" si="0"/>
        <v>0.53999999999999915</v>
      </c>
      <c r="AE62" s="138">
        <f t="shared" si="1"/>
        <v>-1.6410256410256396E-2</v>
      </c>
    </row>
    <row r="63" spans="2:31" x14ac:dyDescent="0.25">
      <c r="B63" s="193">
        <v>42608</v>
      </c>
      <c r="C63" s="10">
        <v>80</v>
      </c>
      <c r="D63" s="200">
        <v>46.026000000000003</v>
      </c>
      <c r="E63" s="40">
        <v>48.51</v>
      </c>
      <c r="F63" s="40">
        <f t="shared" ref="F63" si="55">C63*(E63-D63)</f>
        <v>198.71999999999957</v>
      </c>
      <c r="G63" s="40">
        <f t="shared" ref="G63" si="56">D63*C63</f>
        <v>3682.0800000000004</v>
      </c>
      <c r="H63" s="231">
        <f t="shared" ref="H63" si="57">(E63-D63)/D63</f>
        <v>5.3969495502541924E-2</v>
      </c>
      <c r="I63" s="40"/>
      <c r="W63" s="94">
        <v>42530</v>
      </c>
      <c r="X63" s="10">
        <v>49.65</v>
      </c>
      <c r="Y63" s="10">
        <v>49.68</v>
      </c>
      <c r="Z63" s="10">
        <v>48.85</v>
      </c>
      <c r="AA63" s="10">
        <v>49.14</v>
      </c>
      <c r="AB63" s="95">
        <v>19464400</v>
      </c>
      <c r="AC63" s="10">
        <v>48.75</v>
      </c>
      <c r="AD63" s="2">
        <f t="shared" si="0"/>
        <v>0.82999999999999829</v>
      </c>
      <c r="AE63" s="138">
        <f t="shared" si="1"/>
        <v>-1.7137096774193616E-2</v>
      </c>
    </row>
    <row r="64" spans="2:31" x14ac:dyDescent="0.25">
      <c r="B64" s="193">
        <v>42611</v>
      </c>
      <c r="C64" s="10">
        <v>0</v>
      </c>
      <c r="D64" s="200"/>
      <c r="E64" s="40"/>
      <c r="F64" s="40">
        <v>294.61</v>
      </c>
      <c r="G64" s="40"/>
      <c r="H64" s="231"/>
      <c r="I64" s="40"/>
      <c r="W64" s="94">
        <v>42529</v>
      </c>
      <c r="X64" s="10">
        <v>50.25</v>
      </c>
      <c r="Y64" s="10">
        <v>50.44</v>
      </c>
      <c r="Z64" s="10">
        <v>49.74</v>
      </c>
      <c r="AA64" s="10">
        <v>50</v>
      </c>
      <c r="AB64" s="95">
        <v>18168500</v>
      </c>
      <c r="AC64" s="10">
        <v>49.6</v>
      </c>
      <c r="AD64" s="2">
        <f t="shared" si="0"/>
        <v>0.69999999999999574</v>
      </c>
      <c r="AE64" s="138">
        <f t="shared" si="1"/>
        <v>-5.4140765991577133E-3</v>
      </c>
    </row>
    <row r="65" spans="1:31" x14ac:dyDescent="0.25">
      <c r="B65" s="193"/>
      <c r="C65" s="10"/>
      <c r="D65" s="200"/>
      <c r="E65" s="40"/>
      <c r="F65" s="40"/>
      <c r="G65" s="40"/>
      <c r="H65" s="231"/>
      <c r="I65" s="40"/>
      <c r="W65" s="94">
        <v>42528</v>
      </c>
      <c r="X65" s="10">
        <v>50.73</v>
      </c>
      <c r="Y65" s="10">
        <v>50.73</v>
      </c>
      <c r="Z65" s="10">
        <v>50.27</v>
      </c>
      <c r="AA65" s="10">
        <v>50.27</v>
      </c>
      <c r="AB65" s="95">
        <v>15310100</v>
      </c>
      <c r="AC65" s="10">
        <v>49.87</v>
      </c>
      <c r="AD65" s="2">
        <f t="shared" si="0"/>
        <v>0.45999999999999375</v>
      </c>
      <c r="AE65" s="138">
        <f t="shared" si="1"/>
        <v>-4.392094230385446E-3</v>
      </c>
    </row>
    <row r="66" spans="1:31" x14ac:dyDescent="0.25">
      <c r="B66" s="193"/>
      <c r="C66" s="10"/>
      <c r="D66" s="200"/>
      <c r="E66" s="40"/>
      <c r="F66" s="40"/>
      <c r="G66" s="40"/>
      <c r="H66" s="231"/>
      <c r="I66" s="40"/>
      <c r="W66" s="94">
        <v>42527</v>
      </c>
      <c r="X66" s="10">
        <v>50.24</v>
      </c>
      <c r="Y66" s="10">
        <v>50.87</v>
      </c>
      <c r="Z66" s="10">
        <v>50.19</v>
      </c>
      <c r="AA66" s="10">
        <v>50.49</v>
      </c>
      <c r="AB66" s="95">
        <v>14528500</v>
      </c>
      <c r="AC66" s="10">
        <v>50.09</v>
      </c>
      <c r="AD66" s="2">
        <f t="shared" si="0"/>
        <v>0.67999999999999972</v>
      </c>
      <c r="AE66" s="138">
        <f t="shared" si="1"/>
        <v>6.025306286403076E-3</v>
      </c>
    </row>
    <row r="67" spans="1:31" x14ac:dyDescent="0.25">
      <c r="B67" s="193"/>
      <c r="C67" s="10"/>
      <c r="D67" s="200"/>
      <c r="E67" s="40"/>
      <c r="F67" s="40"/>
      <c r="G67" s="40"/>
      <c r="H67" s="231"/>
      <c r="I67" s="40"/>
      <c r="W67" s="94">
        <v>42524</v>
      </c>
      <c r="X67" s="10">
        <v>50.17</v>
      </c>
      <c r="Y67" s="10">
        <v>50.31</v>
      </c>
      <c r="Z67" s="10">
        <v>49.61</v>
      </c>
      <c r="AA67" s="10">
        <v>50.19</v>
      </c>
      <c r="AB67" s="95">
        <v>25452600</v>
      </c>
      <c r="AC67" s="10">
        <v>49.79</v>
      </c>
      <c r="AD67" s="2">
        <f t="shared" si="0"/>
        <v>0.70000000000000284</v>
      </c>
      <c r="AE67" s="138">
        <f t="shared" si="1"/>
        <v>-1.7948717948717996E-2</v>
      </c>
    </row>
    <row r="68" spans="1:31" x14ac:dyDescent="0.25">
      <c r="W68" s="94">
        <v>42523</v>
      </c>
      <c r="X68" s="10">
        <v>50.96</v>
      </c>
      <c r="Y68" s="10">
        <v>51.11</v>
      </c>
      <c r="Z68" s="10">
        <v>50.71</v>
      </c>
      <c r="AA68" s="10">
        <v>51.11</v>
      </c>
      <c r="AB68" s="95">
        <v>14206700</v>
      </c>
      <c r="AC68" s="10">
        <v>50.7</v>
      </c>
      <c r="AD68" s="2">
        <f>Y68-Z68</f>
        <v>0.39999999999999858</v>
      </c>
      <c r="AE68" s="138" t="e">
        <f>AC68/AC69-1</f>
        <v>#DIV/0!</v>
      </c>
    </row>
    <row r="69" spans="1:31" x14ac:dyDescent="0.25">
      <c r="W69" s="215" t="s">
        <v>122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1:31" x14ac:dyDescent="0.25">
      <c r="L70" t="s">
        <v>65</v>
      </c>
      <c r="M70" s="40">
        <f>M88+K88-F88</f>
        <v>336.41000000000531</v>
      </c>
    </row>
    <row r="71" spans="1:31" x14ac:dyDescent="0.25">
      <c r="A71" s="263" t="s">
        <v>1</v>
      </c>
      <c r="B71" s="263" t="s">
        <v>2</v>
      </c>
      <c r="C71" s="263" t="s">
        <v>4</v>
      </c>
      <c r="D71" s="264" t="s">
        <v>5</v>
      </c>
      <c r="E71" s="264" t="s">
        <v>90</v>
      </c>
      <c r="F71" s="264" t="s">
        <v>60</v>
      </c>
      <c r="G71" s="263" t="s">
        <v>3</v>
      </c>
      <c r="H71" s="263" t="s">
        <v>6</v>
      </c>
      <c r="I71" s="264" t="s">
        <v>7</v>
      </c>
      <c r="J71" s="264" t="s">
        <v>89</v>
      </c>
      <c r="K71" s="264" t="s">
        <v>61</v>
      </c>
      <c r="L71" s="263" t="s">
        <v>77</v>
      </c>
      <c r="M71" s="263" t="s">
        <v>38</v>
      </c>
    </row>
    <row r="72" spans="1:31" x14ac:dyDescent="0.25">
      <c r="A72" s="265" t="s">
        <v>181</v>
      </c>
      <c r="B72" s="266">
        <v>42376</v>
      </c>
      <c r="C72" s="261">
        <v>40</v>
      </c>
      <c r="D72" s="262">
        <v>50.5</v>
      </c>
      <c r="E72" s="262">
        <v>0</v>
      </c>
      <c r="F72" s="262">
        <f t="shared" ref="F72:F76" si="58">C72*D72+E72</f>
        <v>2020</v>
      </c>
      <c r="G72" s="261"/>
      <c r="H72" s="261"/>
      <c r="I72" s="262"/>
      <c r="J72" s="262"/>
      <c r="K72" s="262"/>
      <c r="L72" s="266">
        <v>42430</v>
      </c>
      <c r="M72" s="262">
        <v>15</v>
      </c>
    </row>
    <row r="73" spans="1:31" x14ac:dyDescent="0.25">
      <c r="A73" s="268" t="s">
        <v>71</v>
      </c>
      <c r="B73" s="266">
        <v>42466</v>
      </c>
      <c r="C73" s="261">
        <v>40</v>
      </c>
      <c r="D73" s="262">
        <v>47.38</v>
      </c>
      <c r="E73" s="262">
        <v>0</v>
      </c>
      <c r="F73" s="262">
        <f t="shared" si="58"/>
        <v>1895.2</v>
      </c>
      <c r="G73" s="266">
        <v>42473</v>
      </c>
      <c r="H73" s="267">
        <v>40</v>
      </c>
      <c r="I73" s="262">
        <v>48.91</v>
      </c>
      <c r="J73" s="262">
        <v>0.04</v>
      </c>
      <c r="K73" s="262">
        <f t="shared" ref="K73:K79" si="59">I73*H73-J73</f>
        <v>1956.36</v>
      </c>
      <c r="L73" s="266">
        <v>42522</v>
      </c>
      <c r="M73" s="262">
        <v>30.4</v>
      </c>
    </row>
    <row r="74" spans="1:31" x14ac:dyDescent="0.25">
      <c r="A74" s="261"/>
      <c r="B74" s="266">
        <v>42474</v>
      </c>
      <c r="C74" s="261">
        <v>40</v>
      </c>
      <c r="D74" s="262">
        <v>48.55</v>
      </c>
      <c r="E74" s="262">
        <v>0</v>
      </c>
      <c r="F74" s="262">
        <f t="shared" si="58"/>
        <v>1942</v>
      </c>
      <c r="G74" s="266">
        <v>42487</v>
      </c>
      <c r="H74" s="267">
        <v>40</v>
      </c>
      <c r="I74" s="262">
        <v>50.97</v>
      </c>
      <c r="J74" s="262">
        <v>0.04</v>
      </c>
      <c r="K74" s="262">
        <f t="shared" si="59"/>
        <v>2038.76</v>
      </c>
      <c r="L74" s="266">
        <v>42614</v>
      </c>
      <c r="M74" s="262">
        <v>41.8</v>
      </c>
    </row>
    <row r="75" spans="1:31" x14ac:dyDescent="0.25">
      <c r="A75" s="261"/>
      <c r="B75" s="266">
        <v>42489</v>
      </c>
      <c r="C75" s="261">
        <v>40</v>
      </c>
      <c r="D75" s="262">
        <v>50.01</v>
      </c>
      <c r="E75" s="262">
        <v>0</v>
      </c>
      <c r="F75" s="262">
        <f t="shared" si="58"/>
        <v>2000.3999999999999</v>
      </c>
      <c r="G75" s="266">
        <v>42514</v>
      </c>
      <c r="H75" s="414">
        <v>40</v>
      </c>
      <c r="I75" s="373">
        <v>49.29</v>
      </c>
      <c r="J75" s="373">
        <v>0.04</v>
      </c>
      <c r="K75" s="373">
        <f t="shared" si="59"/>
        <v>1971.56</v>
      </c>
      <c r="L75" s="261"/>
      <c r="M75" s="261"/>
    </row>
    <row r="76" spans="1:31" x14ac:dyDescent="0.25">
      <c r="A76" s="261"/>
      <c r="B76" s="266">
        <v>42503</v>
      </c>
      <c r="C76" s="261">
        <v>10</v>
      </c>
      <c r="D76" s="262">
        <v>48.2</v>
      </c>
      <c r="E76" s="262">
        <v>0</v>
      </c>
      <c r="F76" s="262">
        <f t="shared" si="58"/>
        <v>482</v>
      </c>
      <c r="G76" s="266">
        <v>42517</v>
      </c>
      <c r="H76" s="267">
        <v>20</v>
      </c>
      <c r="I76" s="262">
        <v>50.72</v>
      </c>
      <c r="J76" s="262">
        <v>0.02</v>
      </c>
      <c r="K76" s="373">
        <f t="shared" si="59"/>
        <v>1014.38</v>
      </c>
      <c r="L76" s="261"/>
      <c r="M76" s="261"/>
    </row>
    <row r="77" spans="1:31" x14ac:dyDescent="0.25">
      <c r="A77" s="261"/>
      <c r="B77" s="266">
        <v>42503</v>
      </c>
      <c r="C77" s="261">
        <v>20</v>
      </c>
      <c r="D77" s="262">
        <v>48.2</v>
      </c>
      <c r="E77" s="262">
        <v>0</v>
      </c>
      <c r="F77" s="262">
        <f>C77*D77+E77</f>
        <v>964</v>
      </c>
      <c r="G77" s="266">
        <v>42527</v>
      </c>
      <c r="H77" s="267">
        <v>30</v>
      </c>
      <c r="I77" s="262">
        <v>50.59</v>
      </c>
      <c r="J77" s="262">
        <v>0.03</v>
      </c>
      <c r="K77" s="373">
        <f t="shared" si="59"/>
        <v>1517.67</v>
      </c>
      <c r="L77" s="261"/>
      <c r="M77" s="261"/>
    </row>
    <row r="78" spans="1:31" x14ac:dyDescent="0.25">
      <c r="A78" s="261"/>
      <c r="B78" s="266">
        <v>42524</v>
      </c>
      <c r="C78" s="261">
        <v>30</v>
      </c>
      <c r="D78" s="262">
        <v>50.01</v>
      </c>
      <c r="E78" s="262">
        <v>0</v>
      </c>
      <c r="F78" s="262">
        <f>C78*D78+E78</f>
        <v>1500.3</v>
      </c>
      <c r="G78" s="266">
        <v>42587</v>
      </c>
      <c r="H78" s="267">
        <v>30</v>
      </c>
      <c r="I78" s="262">
        <v>48.68</v>
      </c>
      <c r="J78" s="262">
        <v>0.03</v>
      </c>
      <c r="K78" s="262">
        <f t="shared" si="59"/>
        <v>1460.3700000000001</v>
      </c>
      <c r="L78" s="261"/>
      <c r="M78" s="261"/>
    </row>
    <row r="79" spans="1:31" x14ac:dyDescent="0.25">
      <c r="A79" s="261"/>
      <c r="B79" s="266">
        <v>42531</v>
      </c>
      <c r="C79" s="261">
        <v>30</v>
      </c>
      <c r="D79" s="262">
        <v>48.51</v>
      </c>
      <c r="E79" s="262">
        <v>0</v>
      </c>
      <c r="F79" s="262">
        <f>C79*D79+E79</f>
        <v>1455.3</v>
      </c>
      <c r="G79" s="266">
        <v>42611</v>
      </c>
      <c r="H79" s="267">
        <v>80</v>
      </c>
      <c r="I79" s="262">
        <v>49.71</v>
      </c>
      <c r="J79" s="262">
        <v>0.09</v>
      </c>
      <c r="K79" s="262">
        <f t="shared" si="59"/>
        <v>3976.71</v>
      </c>
      <c r="L79" s="261"/>
      <c r="M79" s="261"/>
    </row>
    <row r="80" spans="1:31" x14ac:dyDescent="0.25">
      <c r="A80" s="261"/>
      <c r="B80" s="266">
        <v>42566</v>
      </c>
      <c r="C80" s="261">
        <v>30</v>
      </c>
      <c r="D80" s="262">
        <v>47.58</v>
      </c>
      <c r="E80" s="262">
        <v>0</v>
      </c>
      <c r="F80" s="262">
        <f>C80*D80+E80</f>
        <v>1427.3999999999999</v>
      </c>
      <c r="G80" s="261"/>
      <c r="H80" s="261"/>
      <c r="I80" s="262"/>
      <c r="J80" s="262"/>
      <c r="K80" s="262"/>
      <c r="L80" s="261"/>
      <c r="M80" s="261"/>
    </row>
    <row r="81" spans="1:13" x14ac:dyDescent="0.25">
      <c r="A81" s="261"/>
      <c r="B81" s="261"/>
      <c r="C81" s="261"/>
      <c r="D81" s="262"/>
      <c r="E81" s="262"/>
      <c r="F81" s="262"/>
      <c r="G81" s="261"/>
      <c r="H81" s="261"/>
      <c r="I81" s="262"/>
      <c r="J81" s="262"/>
      <c r="K81" s="262"/>
      <c r="L81" s="261"/>
      <c r="M81" s="261"/>
    </row>
    <row r="82" spans="1:13" x14ac:dyDescent="0.25">
      <c r="A82" s="261"/>
      <c r="B82" s="261"/>
      <c r="C82" s="261"/>
      <c r="D82" s="262"/>
      <c r="E82" s="262"/>
      <c r="F82" s="262"/>
      <c r="G82" s="261"/>
      <c r="H82" s="261"/>
      <c r="I82" s="262"/>
      <c r="J82" s="262"/>
      <c r="K82" s="262"/>
      <c r="L82" s="261"/>
      <c r="M82" s="261"/>
    </row>
    <row r="83" spans="1:13" x14ac:dyDescent="0.25">
      <c r="A83" s="261"/>
      <c r="B83" s="261"/>
      <c r="C83" s="261"/>
      <c r="D83" s="262"/>
      <c r="E83" s="262"/>
      <c r="F83" s="262"/>
      <c r="G83" s="261"/>
      <c r="H83" s="261"/>
      <c r="I83" s="262"/>
      <c r="J83" s="262"/>
      <c r="K83" s="262"/>
      <c r="L83" s="261"/>
      <c r="M83" s="261"/>
    </row>
    <row r="84" spans="1:13" x14ac:dyDescent="0.25">
      <c r="A84" s="261"/>
      <c r="B84" s="261"/>
      <c r="C84" s="261"/>
      <c r="D84" s="262"/>
      <c r="E84" s="262"/>
      <c r="F84" s="262"/>
      <c r="G84" s="261"/>
      <c r="H84" s="261"/>
      <c r="I84" s="262"/>
      <c r="J84" s="262"/>
      <c r="K84" s="262"/>
      <c r="L84" s="261"/>
      <c r="M84" s="261"/>
    </row>
    <row r="85" spans="1:13" x14ac:dyDescent="0.25">
      <c r="A85" s="261"/>
      <c r="B85" s="261"/>
      <c r="C85" s="261"/>
      <c r="D85" s="262"/>
      <c r="E85" s="262"/>
      <c r="F85" s="262"/>
      <c r="G85" s="261"/>
      <c r="H85" s="261"/>
      <c r="I85" s="262"/>
      <c r="J85" s="262"/>
      <c r="K85" s="262"/>
      <c r="L85" s="261"/>
      <c r="M85" s="261"/>
    </row>
    <row r="86" spans="1:13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</row>
    <row r="87" spans="1:13" x14ac:dyDescent="0.25">
      <c r="A87" s="261"/>
      <c r="B87" s="261"/>
      <c r="C87" s="261"/>
      <c r="D87" s="262"/>
      <c r="E87" s="262"/>
      <c r="F87" s="262"/>
      <c r="G87" s="261"/>
      <c r="H87" s="267"/>
      <c r="I87" s="262"/>
      <c r="J87" s="262"/>
      <c r="K87" s="262"/>
      <c r="L87" s="261"/>
      <c r="M87" s="261"/>
    </row>
    <row r="88" spans="1:13" x14ac:dyDescent="0.25">
      <c r="A88" s="32" t="s">
        <v>81</v>
      </c>
      <c r="B88" s="14"/>
      <c r="C88" s="14">
        <f>SUM(C72:C87)</f>
        <v>280</v>
      </c>
      <c r="D88" s="18"/>
      <c r="E88" s="18"/>
      <c r="F88" s="18">
        <f>SUM(F72:F87)</f>
        <v>13686.599999999997</v>
      </c>
      <c r="G88" s="14"/>
      <c r="H88" s="73">
        <f>SUM(H73:H87)</f>
        <v>280</v>
      </c>
      <c r="I88" s="18"/>
      <c r="J88" s="18"/>
      <c r="K88" s="18">
        <f>SUM(K73:K87)</f>
        <v>13935.810000000001</v>
      </c>
      <c r="L88" s="18"/>
      <c r="M88" s="18">
        <f>SUM(M72:M87)</f>
        <v>87.199999999999989</v>
      </c>
    </row>
    <row r="89" spans="1:13" ht="15.75" thickBot="1" x14ac:dyDescent="0.3">
      <c r="A89" s="488" t="s">
        <v>204</v>
      </c>
      <c r="B89" s="489"/>
      <c r="C89" s="490">
        <f>SumByColor($A$19,C72:C87)</f>
        <v>0</v>
      </c>
      <c r="D89" s="490"/>
      <c r="E89" s="490"/>
      <c r="F89" s="491">
        <f>SumByColor($A$19,F72:F87)</f>
        <v>0</v>
      </c>
      <c r="G89" s="490"/>
      <c r="H89" s="490">
        <f>SumByColor($A$19,H72:H87)</f>
        <v>0</v>
      </c>
      <c r="I89" s="490"/>
      <c r="J89" s="490"/>
      <c r="K89" s="491">
        <f>SumByColor($A$19,K72:K87)</f>
        <v>0</v>
      </c>
      <c r="L89" s="490"/>
      <c r="M89" s="491">
        <f t="shared" ref="M89" si="60">SumByColor($A$19,M72:M87)</f>
        <v>0</v>
      </c>
    </row>
  </sheetData>
  <mergeCells count="1">
    <mergeCell ref="P39:Q39"/>
  </mergeCells>
  <conditionalFormatting sqref="F26:F28">
    <cfRule type="expression" dxfId="372" priority="41">
      <formula>F26&gt;0</formula>
    </cfRule>
    <cfRule type="expression" dxfId="371" priority="42">
      <formula>F26&lt;0</formula>
    </cfRule>
  </conditionalFormatting>
  <conditionalFormatting sqref="P40:P60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29:F57 F64:F67">
    <cfRule type="expression" dxfId="370" priority="33">
      <formula>F29&gt;0</formula>
    </cfRule>
    <cfRule type="expression" dxfId="369" priority="34">
      <formula>F29&lt;0</formula>
    </cfRule>
  </conditionalFormatting>
  <conditionalFormatting sqref="F29:F57 F64:F67">
    <cfRule type="expression" dxfId="368" priority="35">
      <formula>F29&gt;0</formula>
    </cfRule>
    <cfRule type="expression" dxfId="367" priority="36">
      <formula>F29&lt;0</formula>
    </cfRule>
  </conditionalFormatting>
  <conditionalFormatting sqref="H26:H57 H64:H67">
    <cfRule type="expression" dxfId="366" priority="31">
      <formula>H26&gt;0</formula>
    </cfRule>
    <cfRule type="expression" dxfId="365" priority="32">
      <formula>H26&lt;0</formula>
    </cfRule>
  </conditionalFormatting>
  <conditionalFormatting sqref="F22:F25">
    <cfRule type="expression" dxfId="364" priority="17">
      <formula>F22&gt;0</formula>
    </cfRule>
    <cfRule type="expression" dxfId="363" priority="18">
      <formula>F22&lt;0</formula>
    </cfRule>
  </conditionalFormatting>
  <conditionalFormatting sqref="H22:H25">
    <cfRule type="expression" dxfId="362" priority="15">
      <formula>H22&gt;0</formula>
    </cfRule>
    <cfRule type="expression" dxfId="361" priority="16">
      <formula>H22&lt;0</formula>
    </cfRule>
  </conditionalFormatting>
  <conditionalFormatting sqref="Q8">
    <cfRule type="expression" dxfId="360" priority="11">
      <formula>Q8&gt;0</formula>
    </cfRule>
    <cfRule type="expression" dxfId="359" priority="12">
      <formula>Q8&lt;0</formula>
    </cfRule>
  </conditionalFormatting>
  <conditionalFormatting sqref="Q7">
    <cfRule type="expression" dxfId="358" priority="13">
      <formula>Q7&gt;0</formula>
    </cfRule>
    <cfRule type="expression" dxfId="357" priority="14">
      <formula>Q7&lt;0</formula>
    </cfRule>
  </conditionalFormatting>
  <conditionalFormatting sqref="F58:F63">
    <cfRule type="expression" dxfId="356" priority="7">
      <formula>F58&gt;0</formula>
    </cfRule>
    <cfRule type="expression" dxfId="355" priority="8">
      <formula>F58&lt;0</formula>
    </cfRule>
  </conditionalFormatting>
  <conditionalFormatting sqref="F58:F63">
    <cfRule type="expression" dxfId="354" priority="9">
      <formula>F58&gt;0</formula>
    </cfRule>
    <cfRule type="expression" dxfId="353" priority="10">
      <formula>F58&lt;0</formula>
    </cfRule>
  </conditionalFormatting>
  <conditionalFormatting sqref="H58:H63">
    <cfRule type="expression" dxfId="352" priority="5">
      <formula>H58&gt;0</formula>
    </cfRule>
    <cfRule type="expression" dxfId="351" priority="6">
      <formula>H58&lt;0</formula>
    </cfRule>
  </conditionalFormatting>
  <conditionalFormatting sqref="M70">
    <cfRule type="expression" dxfId="350" priority="1">
      <formula>M70&gt;0</formula>
    </cfRule>
    <cfRule type="expression" dxfId="349" priority="2">
      <formula>M70&lt;0</formula>
    </cfRule>
  </conditionalFormatting>
  <conditionalFormatting sqref="M70">
    <cfRule type="expression" dxfId="348" priority="3">
      <formula>M70&gt;0</formula>
    </cfRule>
    <cfRule type="expression" dxfId="347" priority="4">
      <formula>M70&lt;0</formula>
    </cfRule>
  </conditionalFormatting>
  <hyperlinks>
    <hyperlink ref="A3" location="ACTIVE!A1" display="Back"/>
    <hyperlink ref="A7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276</v>
      </c>
      <c r="W2" s="94">
        <v>42615</v>
      </c>
      <c r="X2" s="10">
        <v>10.199999999999999</v>
      </c>
      <c r="Y2" s="10">
        <v>10.27</v>
      </c>
      <c r="Z2" s="10">
        <v>10.01</v>
      </c>
      <c r="AA2" s="10">
        <v>10.130000000000001</v>
      </c>
      <c r="AB2" s="95">
        <v>16944800</v>
      </c>
      <c r="AC2" s="10">
        <v>10.130000000000001</v>
      </c>
      <c r="AD2" s="2">
        <f>Y2-Z2</f>
        <v>0.25999999999999979</v>
      </c>
      <c r="AE2" s="138">
        <f>AC2/AC3-1</f>
        <v>0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10.32</v>
      </c>
      <c r="T3" s="121">
        <v>42568</v>
      </c>
      <c r="U3" t="s">
        <v>293</v>
      </c>
      <c r="W3" s="94">
        <v>42614</v>
      </c>
      <c r="X3" s="10">
        <v>10.09</v>
      </c>
      <c r="Y3" s="10">
        <v>10.19</v>
      </c>
      <c r="Z3" s="10">
        <v>10.050000000000001</v>
      </c>
      <c r="AA3" s="10">
        <v>10.130000000000001</v>
      </c>
      <c r="AB3" s="95">
        <v>13441800</v>
      </c>
      <c r="AC3" s="10">
        <v>10.130000000000001</v>
      </c>
      <c r="AD3" s="2">
        <f>Y3-Z3</f>
        <v>0.13999999999999879</v>
      </c>
      <c r="AE3" s="138">
        <f>AC3/AC4-1</f>
        <v>4.9603174603174427E-3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10.32</v>
      </c>
      <c r="T4" s="121"/>
      <c r="W4" s="94">
        <v>42613</v>
      </c>
      <c r="X4" s="10">
        <v>10.08</v>
      </c>
      <c r="Y4" s="10">
        <v>10.18</v>
      </c>
      <c r="Z4" s="10">
        <v>10.02</v>
      </c>
      <c r="AA4" s="10">
        <v>10.08</v>
      </c>
      <c r="AB4" s="95">
        <v>15888000</v>
      </c>
      <c r="AC4" s="10">
        <v>10.08</v>
      </c>
      <c r="AD4" s="2">
        <f t="shared" ref="AD4:AD67" si="0">Y4-Z4</f>
        <v>0.16000000000000014</v>
      </c>
      <c r="AE4" s="138">
        <f t="shared" ref="AE4:AE67" si="1">AC4/AC5-1</f>
        <v>-8.8495575221239076E-3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42612</v>
      </c>
      <c r="X5" s="10">
        <v>10.26</v>
      </c>
      <c r="Y5" s="10">
        <v>10.26</v>
      </c>
      <c r="Z5" s="10">
        <v>10.06</v>
      </c>
      <c r="AA5" s="10">
        <v>10.17</v>
      </c>
      <c r="AB5" s="95">
        <v>11270300</v>
      </c>
      <c r="AC5" s="10">
        <v>10.17</v>
      </c>
      <c r="AD5" s="2">
        <f t="shared" si="0"/>
        <v>0.19999999999999929</v>
      </c>
      <c r="AE5" s="138">
        <f t="shared" si="1"/>
        <v>-8.7719298245614308E-3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42611</v>
      </c>
      <c r="X6" s="10">
        <v>10.01</v>
      </c>
      <c r="Y6" s="10">
        <v>10.26</v>
      </c>
      <c r="Z6" s="10">
        <v>10</v>
      </c>
      <c r="AA6" s="10">
        <v>10.26</v>
      </c>
      <c r="AB6" s="95">
        <v>13621800</v>
      </c>
      <c r="AC6" s="10">
        <v>10.26</v>
      </c>
      <c r="AD6" s="2">
        <f t="shared" si="0"/>
        <v>0.25999999999999979</v>
      </c>
      <c r="AE6" s="138">
        <f t="shared" si="1"/>
        <v>2.6000000000000023E-2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187</v>
      </c>
      <c r="P7"/>
      <c r="Q7" s="2">
        <f>Q10+Q8</f>
        <v>1128.3800000000047</v>
      </c>
      <c r="R7">
        <v>0</v>
      </c>
      <c r="T7" s="85"/>
      <c r="W7" s="94">
        <v>42608</v>
      </c>
      <c r="X7" s="10">
        <v>10.15</v>
      </c>
      <c r="Y7" s="10">
        <v>10.27</v>
      </c>
      <c r="Z7" s="10">
        <v>9.9600000000000009</v>
      </c>
      <c r="AA7" s="10">
        <v>10</v>
      </c>
      <c r="AB7" s="95">
        <v>15069700</v>
      </c>
      <c r="AC7" s="10">
        <v>10</v>
      </c>
      <c r="AD7" s="2">
        <f t="shared" si="0"/>
        <v>0.30999999999999872</v>
      </c>
      <c r="AE7" s="138">
        <f t="shared" si="1"/>
        <v>-7.9365079365079083E-3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190</v>
      </c>
      <c r="Q8" s="2">
        <f>K18+M18-F18+Q2*Q4</f>
        <v>0</v>
      </c>
      <c r="W8" s="94">
        <v>42607</v>
      </c>
      <c r="X8" s="10">
        <v>10.08</v>
      </c>
      <c r="Y8" s="10">
        <v>10.19</v>
      </c>
      <c r="Z8" s="10">
        <v>10.029999999999999</v>
      </c>
      <c r="AA8" s="10">
        <v>10.08</v>
      </c>
      <c r="AB8" s="95">
        <v>12532500</v>
      </c>
      <c r="AC8" s="10">
        <v>10.08</v>
      </c>
      <c r="AD8" s="2">
        <f t="shared" si="0"/>
        <v>0.16000000000000014</v>
      </c>
      <c r="AE8" s="138">
        <f t="shared" si="1"/>
        <v>3.9840637450199168E-3</v>
      </c>
    </row>
    <row r="9" spans="1:40" x14ac:dyDescent="0.25">
      <c r="O9" s="11" t="s">
        <v>224</v>
      </c>
      <c r="P9"/>
      <c r="Q9" s="138">
        <f>IF(Q2=0, 0, Q8/Q6)</f>
        <v>0</v>
      </c>
      <c r="W9" s="94">
        <v>42606</v>
      </c>
      <c r="X9" s="10">
        <v>10.43</v>
      </c>
      <c r="Y9" s="10">
        <v>10.45</v>
      </c>
      <c r="Z9" s="10">
        <v>10.01</v>
      </c>
      <c r="AA9" s="10">
        <v>10.039999999999999</v>
      </c>
      <c r="AB9" s="95">
        <v>19740200</v>
      </c>
      <c r="AC9" s="10">
        <v>10.039999999999999</v>
      </c>
      <c r="AD9" s="2">
        <f t="shared" si="0"/>
        <v>0.4399999999999995</v>
      </c>
      <c r="AE9" s="138">
        <f t="shared" si="1"/>
        <v>-4.3809523809523854E-2</v>
      </c>
      <c r="AK9" s="234"/>
      <c r="AN9" s="234"/>
    </row>
    <row r="10" spans="1:40" x14ac:dyDescent="0.25">
      <c r="O10" s="11" t="s">
        <v>223</v>
      </c>
      <c r="Q10" s="2">
        <f>M42</f>
        <v>1128.3800000000047</v>
      </c>
      <c r="W10" s="94">
        <v>42605</v>
      </c>
      <c r="X10" s="10">
        <v>10.41</v>
      </c>
      <c r="Y10" s="10">
        <v>10.54</v>
      </c>
      <c r="Z10" s="10">
        <v>10.37</v>
      </c>
      <c r="AA10" s="10">
        <v>10.5</v>
      </c>
      <c r="AB10" s="95">
        <v>11551600</v>
      </c>
      <c r="AC10" s="10">
        <v>10.5</v>
      </c>
      <c r="AD10" s="2">
        <f t="shared" si="0"/>
        <v>0.16999999999999993</v>
      </c>
      <c r="AE10" s="138">
        <f t="shared" si="1"/>
        <v>1.744186046511631E-2</v>
      </c>
    </row>
    <row r="11" spans="1:40" x14ac:dyDescent="0.25">
      <c r="O11" s="11" t="s">
        <v>184</v>
      </c>
      <c r="Q11" s="138">
        <f>VALUE(TRIM(CLEAN(MID(U55, FIND("(", U55)+1, 5))))</f>
        <v>1.18E-2</v>
      </c>
      <c r="W11" s="94">
        <v>42604</v>
      </c>
      <c r="X11" s="10">
        <v>10.199999999999999</v>
      </c>
      <c r="Y11" s="10">
        <v>10.35</v>
      </c>
      <c r="Z11" s="10">
        <v>10.16</v>
      </c>
      <c r="AA11" s="10">
        <v>10.32</v>
      </c>
      <c r="AB11" s="95">
        <v>9210300</v>
      </c>
      <c r="AC11" s="10">
        <v>10.32</v>
      </c>
      <c r="AD11" s="2">
        <f t="shared" si="0"/>
        <v>0.1899999999999995</v>
      </c>
      <c r="AE11" s="138">
        <f t="shared" si="1"/>
        <v>4.8685491723468033E-3</v>
      </c>
      <c r="AK11" s="234"/>
      <c r="AN11" s="234"/>
    </row>
    <row r="12" spans="1:40" x14ac:dyDescent="0.25">
      <c r="W12" s="94">
        <v>42601</v>
      </c>
      <c r="X12" s="10">
        <v>10.34</v>
      </c>
      <c r="Y12" s="10">
        <v>10.36</v>
      </c>
      <c r="Z12" s="10">
        <v>10.220000000000001</v>
      </c>
      <c r="AA12" s="10">
        <v>10.27</v>
      </c>
      <c r="AB12" s="95">
        <v>13163800</v>
      </c>
      <c r="AC12" s="10">
        <v>10.27</v>
      </c>
      <c r="AD12" s="2">
        <f t="shared" si="0"/>
        <v>0.13999999999999879</v>
      </c>
      <c r="AE12" s="138">
        <f t="shared" si="1"/>
        <v>-1.7224880382775143E-2</v>
      </c>
    </row>
    <row r="13" spans="1:40" x14ac:dyDescent="0.25">
      <c r="W13" s="94">
        <v>42600</v>
      </c>
      <c r="X13" s="10">
        <v>10.41</v>
      </c>
      <c r="Y13" s="10">
        <v>10.47</v>
      </c>
      <c r="Z13" s="10">
        <v>10.34</v>
      </c>
      <c r="AA13" s="10">
        <v>10.45</v>
      </c>
      <c r="AB13" s="95">
        <v>8564300</v>
      </c>
      <c r="AC13" s="10">
        <v>10.45</v>
      </c>
      <c r="AD13" s="2">
        <f t="shared" si="0"/>
        <v>0.13000000000000078</v>
      </c>
      <c r="AE13" s="138">
        <f t="shared" si="1"/>
        <v>8.6872586872586144E-3</v>
      </c>
      <c r="AK13" s="234"/>
      <c r="AN13" s="234"/>
    </row>
    <row r="14" spans="1:40" x14ac:dyDescent="0.25">
      <c r="T14" s="84"/>
      <c r="U14" s="11"/>
      <c r="W14" s="94">
        <v>42599</v>
      </c>
      <c r="X14" s="10">
        <v>10.33</v>
      </c>
      <c r="Y14" s="10">
        <v>10.4</v>
      </c>
      <c r="Z14" s="10">
        <v>10.23</v>
      </c>
      <c r="AA14" s="10">
        <v>10.36</v>
      </c>
      <c r="AB14" s="95">
        <v>10840300</v>
      </c>
      <c r="AC14" s="10">
        <v>10.36</v>
      </c>
      <c r="AD14" s="2">
        <f t="shared" si="0"/>
        <v>0.16999999999999993</v>
      </c>
      <c r="AE14" s="138">
        <f t="shared" si="1"/>
        <v>6.8027210884353817E-3</v>
      </c>
    </row>
    <row r="15" spans="1:40" x14ac:dyDescent="0.25">
      <c r="W15" s="94">
        <v>42598</v>
      </c>
      <c r="X15" s="10">
        <v>10.57</v>
      </c>
      <c r="Y15" s="10">
        <v>10.58</v>
      </c>
      <c r="Z15" s="10">
        <v>10.29</v>
      </c>
      <c r="AA15" s="10">
        <v>10.29</v>
      </c>
      <c r="AB15" s="95">
        <v>13826000</v>
      </c>
      <c r="AC15" s="10">
        <v>10.29</v>
      </c>
      <c r="AD15" s="2">
        <f t="shared" si="0"/>
        <v>0.29000000000000092</v>
      </c>
      <c r="AE15" s="138">
        <f t="shared" si="1"/>
        <v>-2.1863117870722482E-2</v>
      </c>
      <c r="AK15" s="234"/>
      <c r="AN15" s="234"/>
    </row>
    <row r="16" spans="1:40" x14ac:dyDescent="0.25">
      <c r="W16" s="94">
        <v>42597</v>
      </c>
      <c r="X16" s="10">
        <v>10.25</v>
      </c>
      <c r="Y16" s="10">
        <v>10.58</v>
      </c>
      <c r="Z16" s="10">
        <v>10.23</v>
      </c>
      <c r="AA16" s="10">
        <v>10.52</v>
      </c>
      <c r="AB16" s="95">
        <v>13211900</v>
      </c>
      <c r="AC16" s="10">
        <v>10.52</v>
      </c>
      <c r="AD16" s="2">
        <f t="shared" si="0"/>
        <v>0.34999999999999964</v>
      </c>
      <c r="AE16" s="138">
        <f t="shared" si="1"/>
        <v>3.4414945919370554E-2</v>
      </c>
    </row>
    <row r="17" spans="1:40" x14ac:dyDescent="0.25">
      <c r="W17" s="94">
        <v>42594</v>
      </c>
      <c r="X17" s="10">
        <v>10.37</v>
      </c>
      <c r="Y17" s="10">
        <v>10.4</v>
      </c>
      <c r="Z17" s="10">
        <v>10.119999999999999</v>
      </c>
      <c r="AA17" s="10">
        <v>10.17</v>
      </c>
      <c r="AB17" s="95">
        <v>13887600</v>
      </c>
      <c r="AC17" s="10">
        <v>10.17</v>
      </c>
      <c r="AD17" s="2">
        <f t="shared" si="0"/>
        <v>0.28000000000000114</v>
      </c>
      <c r="AE17" s="138">
        <f t="shared" si="1"/>
        <v>-2.3992322456813819E-2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42593</v>
      </c>
      <c r="X18" s="10">
        <v>10.35</v>
      </c>
      <c r="Y18" s="10">
        <v>10.44</v>
      </c>
      <c r="Z18" s="10">
        <v>10.3</v>
      </c>
      <c r="AA18" s="10">
        <v>10.42</v>
      </c>
      <c r="AB18" s="95">
        <v>9894100</v>
      </c>
      <c r="AC18" s="10">
        <v>10.42</v>
      </c>
      <c r="AD18" s="2">
        <f t="shared" si="0"/>
        <v>0.13999999999999879</v>
      </c>
      <c r="AE18" s="138">
        <f t="shared" si="1"/>
        <v>8.7124878993223298E-3</v>
      </c>
    </row>
    <row r="19" spans="1:40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42592</v>
      </c>
      <c r="X19" s="10">
        <v>10.4</v>
      </c>
      <c r="Y19" s="10">
        <v>10.53</v>
      </c>
      <c r="Z19" s="10">
        <v>10.27</v>
      </c>
      <c r="AA19" s="10">
        <v>10.33</v>
      </c>
      <c r="AB19" s="95">
        <v>9513400</v>
      </c>
      <c r="AC19" s="10">
        <v>10.33</v>
      </c>
      <c r="AD19" s="2">
        <f t="shared" si="0"/>
        <v>0.25999999999999979</v>
      </c>
      <c r="AE19" s="138">
        <f t="shared" si="1"/>
        <v>-1.9323671497584183E-3</v>
      </c>
      <c r="AK19" s="234"/>
      <c r="AN19" s="234"/>
    </row>
    <row r="20" spans="1:40" x14ac:dyDescent="0.25">
      <c r="W20" s="94">
        <v>42591</v>
      </c>
      <c r="X20" s="10">
        <v>10.42</v>
      </c>
      <c r="Y20" s="10">
        <v>10.5</v>
      </c>
      <c r="Z20" s="10">
        <v>10.35</v>
      </c>
      <c r="AA20" s="10">
        <v>10.35</v>
      </c>
      <c r="AB20" s="95">
        <v>7812800</v>
      </c>
      <c r="AC20" s="10">
        <v>10.35</v>
      </c>
      <c r="AD20" s="2">
        <f t="shared" si="0"/>
        <v>0.15000000000000036</v>
      </c>
      <c r="AE20" s="138">
        <f t="shared" si="1"/>
        <v>-9.5693779904305609E-3</v>
      </c>
    </row>
    <row r="21" spans="1:40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94">
        <v>42590</v>
      </c>
      <c r="X21" s="10">
        <v>10.5</v>
      </c>
      <c r="Y21" s="10">
        <v>10.6</v>
      </c>
      <c r="Z21" s="10">
        <v>10.41</v>
      </c>
      <c r="AA21" s="10">
        <v>10.45</v>
      </c>
      <c r="AB21" s="95">
        <v>9501400</v>
      </c>
      <c r="AC21" s="10">
        <v>10.45</v>
      </c>
      <c r="AD21" s="2">
        <f t="shared" si="0"/>
        <v>0.1899999999999995</v>
      </c>
      <c r="AE21" s="138">
        <f t="shared" si="1"/>
        <v>-4.761904761904856E-3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42587</v>
      </c>
      <c r="X22" s="10">
        <v>10.45</v>
      </c>
      <c r="Y22" s="10">
        <v>10.5</v>
      </c>
      <c r="Z22" s="10">
        <v>10.39</v>
      </c>
      <c r="AA22" s="10">
        <v>10.5</v>
      </c>
      <c r="AB22" s="95">
        <v>12292600</v>
      </c>
      <c r="AC22" s="10">
        <v>10.5</v>
      </c>
      <c r="AD22" s="2">
        <f t="shared" si="0"/>
        <v>0.10999999999999943</v>
      </c>
      <c r="AE22" s="138">
        <f t="shared" si="1"/>
        <v>9.6153846153845812E-3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42586</v>
      </c>
      <c r="X23" s="10">
        <v>10.36</v>
      </c>
      <c r="Y23" s="10">
        <v>10.46</v>
      </c>
      <c r="Z23" s="10">
        <v>10.25</v>
      </c>
      <c r="AA23" s="10">
        <v>10.4</v>
      </c>
      <c r="AB23" s="95">
        <v>11819900</v>
      </c>
      <c r="AC23" s="10">
        <v>10.4</v>
      </c>
      <c r="AD23" s="2">
        <f t="shared" si="0"/>
        <v>0.21000000000000085</v>
      </c>
      <c r="AE23" s="138">
        <f t="shared" si="1"/>
        <v>-9.6061479346776224E-4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42585</v>
      </c>
      <c r="X24" s="10">
        <v>10.3</v>
      </c>
      <c r="Y24" s="10">
        <v>10.45</v>
      </c>
      <c r="Z24" s="10">
        <v>10.199999999999999</v>
      </c>
      <c r="AA24" s="10">
        <v>10.41</v>
      </c>
      <c r="AB24" s="95">
        <v>13904100</v>
      </c>
      <c r="AC24" s="10">
        <v>10.41</v>
      </c>
      <c r="AD24" s="2">
        <f t="shared" si="0"/>
        <v>0.25</v>
      </c>
      <c r="AE24" s="138" t="e">
        <f t="shared" si="1"/>
        <v>#DIV/0!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42585</v>
      </c>
      <c r="X25" s="10" t="s">
        <v>121</v>
      </c>
      <c r="Y25" s="10"/>
      <c r="Z25" s="10"/>
      <c r="AA25" s="10"/>
      <c r="AB25" s="95"/>
      <c r="AC25" s="10"/>
      <c r="AD25" s="2">
        <f t="shared" si="0"/>
        <v>0</v>
      </c>
      <c r="AE25" s="138">
        <f t="shared" si="1"/>
        <v>-1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42584</v>
      </c>
      <c r="X26" s="10">
        <v>10.55</v>
      </c>
      <c r="Y26" s="10">
        <v>10.57</v>
      </c>
      <c r="Z26" s="10">
        <v>10.25</v>
      </c>
      <c r="AA26" s="10">
        <v>10.32</v>
      </c>
      <c r="AB26" s="95">
        <v>13672400</v>
      </c>
      <c r="AC26" s="10">
        <v>10.29</v>
      </c>
      <c r="AD26" s="2">
        <f t="shared" si="0"/>
        <v>0.32000000000000028</v>
      </c>
      <c r="AE26" s="138">
        <f t="shared" si="1"/>
        <v>-1.4367816091954033E-2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42583</v>
      </c>
      <c r="X27" s="10">
        <v>10.55</v>
      </c>
      <c r="Y27" s="10">
        <v>10.6</v>
      </c>
      <c r="Z27" s="10">
        <v>10.46</v>
      </c>
      <c r="AA27" s="10">
        <v>10.47</v>
      </c>
      <c r="AB27" s="95">
        <v>11610200</v>
      </c>
      <c r="AC27" s="10">
        <v>10.44</v>
      </c>
      <c r="AD27" s="2">
        <f t="shared" si="0"/>
        <v>0.13999999999999879</v>
      </c>
      <c r="AE27" s="138">
        <f t="shared" si="1"/>
        <v>-1.4164305949008527E-2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42580</v>
      </c>
      <c r="X28" s="10">
        <v>10.61</v>
      </c>
      <c r="Y28" s="10">
        <v>10.65</v>
      </c>
      <c r="Z28" s="10">
        <v>10.42</v>
      </c>
      <c r="AA28" s="10">
        <v>10.62</v>
      </c>
      <c r="AB28" s="95">
        <v>16419800</v>
      </c>
      <c r="AC28" s="10">
        <v>10.59</v>
      </c>
      <c r="AD28" s="2">
        <f t="shared" si="0"/>
        <v>0.23000000000000043</v>
      </c>
      <c r="AE28" s="138">
        <f t="shared" si="1"/>
        <v>-5.6338028169014009E-3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42579</v>
      </c>
      <c r="X29" s="10">
        <v>10.67</v>
      </c>
      <c r="Y29" s="10">
        <v>10.73</v>
      </c>
      <c r="Z29" s="10">
        <v>10.49</v>
      </c>
      <c r="AA29" s="10">
        <v>10.68</v>
      </c>
      <c r="AB29" s="95">
        <v>13795300</v>
      </c>
      <c r="AC29" s="10">
        <v>10.65</v>
      </c>
      <c r="AD29" s="2">
        <f t="shared" si="0"/>
        <v>0.24000000000000021</v>
      </c>
      <c r="AE29" s="138">
        <f t="shared" si="1"/>
        <v>-5.6022408963586345E-3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42578</v>
      </c>
      <c r="X30" s="10">
        <v>10.76</v>
      </c>
      <c r="Y30" s="10">
        <v>10.97</v>
      </c>
      <c r="Z30" s="10">
        <v>10.52</v>
      </c>
      <c r="AA30" s="10">
        <v>10.74</v>
      </c>
      <c r="AB30" s="95">
        <v>20992100</v>
      </c>
      <c r="AC30" s="10">
        <v>10.71</v>
      </c>
      <c r="AD30" s="2">
        <f t="shared" si="0"/>
        <v>0.45000000000000107</v>
      </c>
      <c r="AE30" s="138">
        <f t="shared" si="1"/>
        <v>6.5789473684210176E-3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42577</v>
      </c>
      <c r="X31" s="10">
        <v>10.45</v>
      </c>
      <c r="Y31" s="10">
        <v>10.67</v>
      </c>
      <c r="Z31" s="10">
        <v>10.42</v>
      </c>
      <c r="AA31" s="10">
        <v>10.67</v>
      </c>
      <c r="AB31" s="95">
        <v>12575200</v>
      </c>
      <c r="AC31" s="10">
        <v>10.64</v>
      </c>
      <c r="AD31" s="2">
        <f t="shared" si="0"/>
        <v>0.25</v>
      </c>
      <c r="AE31" s="138">
        <f t="shared" si="1"/>
        <v>1.7208413001912115E-2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42576</v>
      </c>
      <c r="X32" s="10">
        <v>10.54</v>
      </c>
      <c r="Y32" s="10">
        <v>10.55</v>
      </c>
      <c r="Z32" s="10">
        <v>10.4</v>
      </c>
      <c r="AA32" s="10">
        <v>10.49</v>
      </c>
      <c r="AB32" s="95">
        <v>13849300</v>
      </c>
      <c r="AC32" s="10">
        <v>10.46</v>
      </c>
      <c r="AD32" s="2">
        <f t="shared" si="0"/>
        <v>0.15000000000000036</v>
      </c>
      <c r="AE32" s="138">
        <f t="shared" si="1"/>
        <v>-7.5901328273243474E-3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42573</v>
      </c>
      <c r="X33" s="10">
        <v>10.58</v>
      </c>
      <c r="Y33" s="10">
        <v>10.66</v>
      </c>
      <c r="Z33" s="10">
        <v>10.49</v>
      </c>
      <c r="AA33" s="10">
        <v>10.57</v>
      </c>
      <c r="AB33" s="95">
        <v>10183500</v>
      </c>
      <c r="AC33" s="10">
        <v>10.54</v>
      </c>
      <c r="AD33" s="2">
        <f t="shared" si="0"/>
        <v>0.16999999999999993</v>
      </c>
      <c r="AE33" s="138">
        <f t="shared" si="1"/>
        <v>-2.8382213812678803E-3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42572</v>
      </c>
      <c r="X34" s="10">
        <v>10.67</v>
      </c>
      <c r="Y34" s="10">
        <v>10.86</v>
      </c>
      <c r="Z34" s="10">
        <v>10.53</v>
      </c>
      <c r="AA34" s="10">
        <v>10.6</v>
      </c>
      <c r="AB34" s="95">
        <v>15042600</v>
      </c>
      <c r="AC34" s="10">
        <v>10.57</v>
      </c>
      <c r="AD34" s="2">
        <f t="shared" si="0"/>
        <v>0.33000000000000007</v>
      </c>
      <c r="AE34" s="138">
        <f t="shared" si="1"/>
        <v>-9.4517958412099201E-4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42571</v>
      </c>
      <c r="X35" s="10">
        <v>10.51</v>
      </c>
      <c r="Y35" s="10">
        <v>10.63</v>
      </c>
      <c r="Z35" s="10">
        <v>10.35</v>
      </c>
      <c r="AA35" s="10">
        <v>10.61</v>
      </c>
      <c r="AB35" s="95">
        <v>16305400</v>
      </c>
      <c r="AC35" s="10">
        <v>10.58</v>
      </c>
      <c r="AD35" s="2">
        <f t="shared" si="0"/>
        <v>0.28000000000000114</v>
      </c>
      <c r="AE35" s="138">
        <f t="shared" si="1"/>
        <v>-1.8867924528301883E-3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42570</v>
      </c>
      <c r="X36" s="10">
        <v>10.73</v>
      </c>
      <c r="Y36" s="10">
        <v>10.78</v>
      </c>
      <c r="Z36" s="10">
        <v>10.62</v>
      </c>
      <c r="AA36" s="10">
        <v>10.63</v>
      </c>
      <c r="AB36" s="95">
        <v>14786700</v>
      </c>
      <c r="AC36" s="10">
        <v>10.6</v>
      </c>
      <c r="AD36" s="2">
        <f t="shared" si="0"/>
        <v>0.16000000000000014</v>
      </c>
      <c r="AE36" s="138">
        <f t="shared" si="1"/>
        <v>-2.6629935720844933E-2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42569</v>
      </c>
      <c r="X37" s="10">
        <v>10.82</v>
      </c>
      <c r="Y37" s="10">
        <v>10.94</v>
      </c>
      <c r="Z37" s="10">
        <v>10.72</v>
      </c>
      <c r="AA37" s="10">
        <v>10.92</v>
      </c>
      <c r="AB37" s="95">
        <v>16352300</v>
      </c>
      <c r="AC37" s="10">
        <v>10.89</v>
      </c>
      <c r="AD37" s="2">
        <f t="shared" si="0"/>
        <v>0.21999999999999886</v>
      </c>
      <c r="AE37" s="138">
        <f t="shared" si="1"/>
        <v>0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42566</v>
      </c>
      <c r="X38" s="10">
        <v>10.72</v>
      </c>
      <c r="Y38" s="10">
        <v>10.96</v>
      </c>
      <c r="Z38" s="10">
        <v>10.71</v>
      </c>
      <c r="AA38" s="10">
        <v>10.92</v>
      </c>
      <c r="AB38" s="95">
        <v>23056500</v>
      </c>
      <c r="AC38" s="10">
        <v>10.89</v>
      </c>
      <c r="AD38" s="2">
        <f t="shared" si="0"/>
        <v>0.25</v>
      </c>
      <c r="AE38" s="138">
        <f t="shared" si="1"/>
        <v>1.9662921348314599E-2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545" t="s">
        <v>78</v>
      </c>
      <c r="Q39" s="545"/>
      <c r="R39" s="34"/>
      <c r="T39" s="91" t="s">
        <v>113</v>
      </c>
      <c r="W39" s="94">
        <v>42565</v>
      </c>
      <c r="X39" s="10">
        <v>10.82</v>
      </c>
      <c r="Y39" s="10">
        <v>10.9</v>
      </c>
      <c r="Z39" s="10">
        <v>10.67</v>
      </c>
      <c r="AA39" s="10">
        <v>10.71</v>
      </c>
      <c r="AB39" s="95">
        <v>22346800</v>
      </c>
      <c r="AC39" s="10">
        <v>10.68</v>
      </c>
      <c r="AD39" s="2">
        <f t="shared" si="0"/>
        <v>0.23000000000000043</v>
      </c>
      <c r="AE39" s="138">
        <f t="shared" si="1"/>
        <v>0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11.352000000000002</v>
      </c>
      <c r="R40" s="34"/>
      <c r="T40" s="87" t="s">
        <v>98</v>
      </c>
      <c r="U40" s="88">
        <v>10.130000000000001</v>
      </c>
      <c r="W40" s="94">
        <v>42564</v>
      </c>
      <c r="X40" s="10">
        <v>10.74</v>
      </c>
      <c r="Y40" s="10">
        <v>10.78</v>
      </c>
      <c r="Z40" s="10">
        <v>10.54</v>
      </c>
      <c r="AA40" s="10">
        <v>10.71</v>
      </c>
      <c r="AB40" s="95">
        <v>24221900</v>
      </c>
      <c r="AC40" s="10">
        <v>10.68</v>
      </c>
      <c r="AD40" s="2">
        <f t="shared" si="0"/>
        <v>0.24000000000000021</v>
      </c>
      <c r="AE40" s="138">
        <f t="shared" si="1"/>
        <v>1.8761726078799779E-3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11.248800000000001</v>
      </c>
      <c r="R41" s="34"/>
      <c r="T41" s="87" t="s">
        <v>99</v>
      </c>
      <c r="U41" s="88">
        <v>10.199999999999999</v>
      </c>
      <c r="W41" s="94">
        <v>42563</v>
      </c>
      <c r="X41" s="10">
        <v>10.7</v>
      </c>
      <c r="Y41" s="10">
        <v>10.8</v>
      </c>
      <c r="Z41" s="10">
        <v>10.43</v>
      </c>
      <c r="AA41" s="10">
        <v>10.69</v>
      </c>
      <c r="AB41" s="95">
        <v>53436600</v>
      </c>
      <c r="AC41" s="10">
        <v>10.66</v>
      </c>
      <c r="AD41" s="2">
        <f t="shared" si="0"/>
        <v>0.37000000000000099</v>
      </c>
      <c r="AE41" s="138">
        <f t="shared" si="1"/>
        <v>5.4401582591493636E-2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133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3"/>
        <v>11.145600000000002</v>
      </c>
      <c r="R42" s="34"/>
      <c r="T42" s="87" t="s">
        <v>100</v>
      </c>
      <c r="U42" s="88" t="s">
        <v>417</v>
      </c>
      <c r="W42" s="94">
        <v>42562</v>
      </c>
      <c r="X42" s="10">
        <v>9.9600000000000009</v>
      </c>
      <c r="Y42" s="10">
        <v>10.18</v>
      </c>
      <c r="Z42" s="10">
        <v>9.8699999999999992</v>
      </c>
      <c r="AA42" s="10">
        <v>10.14</v>
      </c>
      <c r="AB42" s="95">
        <v>37231900</v>
      </c>
      <c r="AC42" s="10">
        <v>10.11</v>
      </c>
      <c r="AD42" s="2">
        <f t="shared" si="0"/>
        <v>0.3100000000000005</v>
      </c>
      <c r="AE42" s="138">
        <f t="shared" si="1"/>
        <v>3.2686414708886558E-2</v>
      </c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3"/>
        <v>11.042400000000001</v>
      </c>
      <c r="R43" s="83"/>
      <c r="T43" s="87" t="s">
        <v>101</v>
      </c>
      <c r="U43" s="88" t="s">
        <v>418</v>
      </c>
      <c r="W43" s="94">
        <v>42559</v>
      </c>
      <c r="X43" s="10">
        <v>9.4499999999999993</v>
      </c>
      <c r="Y43" s="10">
        <v>9.8800000000000008</v>
      </c>
      <c r="Z43" s="10">
        <v>9.44</v>
      </c>
      <c r="AA43" s="10">
        <v>9.82</v>
      </c>
      <c r="AB43" s="95">
        <v>25929500</v>
      </c>
      <c r="AC43" s="10">
        <v>9.7899999999999991</v>
      </c>
      <c r="AD43" s="2">
        <f t="shared" si="0"/>
        <v>0.44000000000000128</v>
      </c>
      <c r="AE43" s="138">
        <f t="shared" si="1"/>
        <v>5.1557465091299548E-2</v>
      </c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4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3"/>
        <v>10.939200000000001</v>
      </c>
      <c r="R44" s="83"/>
      <c r="T44" s="87" t="s">
        <v>102</v>
      </c>
      <c r="U44" s="88">
        <v>11.33</v>
      </c>
      <c r="W44" s="94">
        <v>42558</v>
      </c>
      <c r="X44" s="10">
        <v>9.26</v>
      </c>
      <c r="Y44" s="10">
        <v>9.4499999999999993</v>
      </c>
      <c r="Z44" s="10">
        <v>9.25</v>
      </c>
      <c r="AA44" s="10">
        <v>9.34</v>
      </c>
      <c r="AB44" s="95">
        <v>22172200</v>
      </c>
      <c r="AC44" s="10">
        <v>9.31</v>
      </c>
      <c r="AD44" s="2">
        <f t="shared" si="0"/>
        <v>0.19999999999999929</v>
      </c>
      <c r="AE44" s="138">
        <f t="shared" si="1"/>
        <v>1.637554585152845E-2</v>
      </c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5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4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3"/>
        <v>10.836</v>
      </c>
      <c r="R45" s="83"/>
      <c r="T45" s="87" t="s">
        <v>103</v>
      </c>
      <c r="U45" s="88">
        <v>0.71082800000000002</v>
      </c>
      <c r="W45" s="94">
        <v>42557</v>
      </c>
      <c r="X45" s="10">
        <v>9.16</v>
      </c>
      <c r="Y45" s="10">
        <v>9.25</v>
      </c>
      <c r="Z45" s="10">
        <v>9.0299999999999994</v>
      </c>
      <c r="AA45" s="10">
        <v>9.19</v>
      </c>
      <c r="AB45" s="95">
        <v>24564200</v>
      </c>
      <c r="AC45" s="10">
        <v>9.16</v>
      </c>
      <c r="AD45" s="2">
        <f t="shared" si="0"/>
        <v>0.22000000000000064</v>
      </c>
      <c r="AE45" s="138">
        <f t="shared" si="1"/>
        <v>-7.5839653304442534E-3</v>
      </c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5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4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3"/>
        <v>10.732800000000001</v>
      </c>
      <c r="R46" s="83"/>
      <c r="T46" s="87" t="s">
        <v>123</v>
      </c>
      <c r="U46" s="89" t="s">
        <v>278</v>
      </c>
      <c r="W46" s="94">
        <v>42556</v>
      </c>
      <c r="X46" s="10">
        <v>9.4600000000000009</v>
      </c>
      <c r="Y46" s="10">
        <v>9.49</v>
      </c>
      <c r="Z46" s="10">
        <v>9.17</v>
      </c>
      <c r="AA46" s="10">
        <v>9.26</v>
      </c>
      <c r="AB46" s="95">
        <v>16362100</v>
      </c>
      <c r="AC46" s="10">
        <v>9.23</v>
      </c>
      <c r="AD46" s="2">
        <f t="shared" si="0"/>
        <v>0.32000000000000028</v>
      </c>
      <c r="AE46" s="138">
        <f t="shared" si="1"/>
        <v>-3.0462184873949472E-2</v>
      </c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5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4"/>
        <v>2954.95</v>
      </c>
      <c r="L47" s="261"/>
      <c r="M47" s="262"/>
      <c r="N47" s="261"/>
      <c r="O47" s="2"/>
      <c r="P47" s="83">
        <v>1.03</v>
      </c>
      <c r="Q47" s="83">
        <f t="shared" si="3"/>
        <v>10.6296</v>
      </c>
      <c r="R47" s="83"/>
      <c r="T47" s="87"/>
      <c r="U47" s="88"/>
      <c r="W47" s="94">
        <v>42552</v>
      </c>
      <c r="X47" s="10">
        <v>9.2799999999999994</v>
      </c>
      <c r="Y47" s="10">
        <v>9.59</v>
      </c>
      <c r="Z47" s="10">
        <v>9.27</v>
      </c>
      <c r="AA47" s="10">
        <v>9.5500000000000007</v>
      </c>
      <c r="AB47" s="95">
        <v>18307200</v>
      </c>
      <c r="AC47" s="10">
        <v>9.52</v>
      </c>
      <c r="AD47" s="2">
        <f t="shared" si="0"/>
        <v>0.32000000000000028</v>
      </c>
      <c r="AE47" s="138">
        <f t="shared" si="1"/>
        <v>3.0303030303030276E-2</v>
      </c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5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4"/>
        <v>997.98</v>
      </c>
      <c r="L48" s="261"/>
      <c r="M48" s="262"/>
      <c r="N48" s="261"/>
      <c r="O48" s="2"/>
      <c r="P48" s="83">
        <v>1.02</v>
      </c>
      <c r="Q48" s="83">
        <f t="shared" si="3"/>
        <v>10.526400000000001</v>
      </c>
      <c r="R48" s="83"/>
      <c r="T48" s="87" t="s">
        <v>105</v>
      </c>
      <c r="U48" s="88" t="s">
        <v>419</v>
      </c>
      <c r="W48" s="94">
        <v>42551</v>
      </c>
      <c r="X48" s="10">
        <v>9.19</v>
      </c>
      <c r="Y48" s="10">
        <v>9.2799999999999994</v>
      </c>
      <c r="Z48" s="10">
        <v>9.02</v>
      </c>
      <c r="AA48" s="10">
        <v>9.27</v>
      </c>
      <c r="AB48" s="95">
        <v>24791900</v>
      </c>
      <c r="AC48" s="10">
        <v>9.24</v>
      </c>
      <c r="AD48" s="2">
        <f t="shared" si="0"/>
        <v>0.25999999999999979</v>
      </c>
      <c r="AE48" s="138">
        <f t="shared" si="1"/>
        <v>1.8743109151047488E-2</v>
      </c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5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4"/>
        <v>13243.760000000002</v>
      </c>
      <c r="L49" s="261"/>
      <c r="M49" s="262"/>
      <c r="N49" s="261"/>
      <c r="O49" s="2"/>
      <c r="P49" s="83">
        <v>1.01</v>
      </c>
      <c r="Q49" s="83">
        <f t="shared" si="3"/>
        <v>10.4232</v>
      </c>
      <c r="R49" s="83"/>
      <c r="T49" s="87" t="s">
        <v>106</v>
      </c>
      <c r="U49" s="88" t="s">
        <v>261</v>
      </c>
      <c r="W49" s="94">
        <v>42550</v>
      </c>
      <c r="X49" s="10">
        <v>9.51</v>
      </c>
      <c r="Y49" s="10">
        <v>9.52</v>
      </c>
      <c r="Z49" s="10">
        <v>9.01</v>
      </c>
      <c r="AA49" s="10">
        <v>9.1</v>
      </c>
      <c r="AB49" s="95">
        <v>37163300</v>
      </c>
      <c r="AC49" s="10">
        <v>9.07</v>
      </c>
      <c r="AD49" s="2">
        <f t="shared" si="0"/>
        <v>0.50999999999999979</v>
      </c>
      <c r="AE49" s="138">
        <f t="shared" si="1"/>
        <v>-2.4731182795698969E-2</v>
      </c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5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4"/>
        <v>31000.479999999996</v>
      </c>
      <c r="L50" s="261"/>
      <c r="M50" s="262"/>
      <c r="N50" s="261"/>
      <c r="O50" s="2"/>
      <c r="P50" s="83">
        <v>1</v>
      </c>
      <c r="Q50" s="83">
        <f t="shared" si="3"/>
        <v>10.32</v>
      </c>
      <c r="R50" s="83"/>
      <c r="T50" s="87" t="s">
        <v>107</v>
      </c>
      <c r="U50" s="90">
        <v>16961032</v>
      </c>
      <c r="W50" s="94">
        <v>42549</v>
      </c>
      <c r="X50" s="10">
        <v>9.35</v>
      </c>
      <c r="Y50" s="10">
        <v>9.3800000000000008</v>
      </c>
      <c r="Z50" s="10">
        <v>9.19</v>
      </c>
      <c r="AA50" s="10">
        <v>9.33</v>
      </c>
      <c r="AB50" s="95">
        <v>18175800</v>
      </c>
      <c r="AC50" s="10">
        <v>9.3000000000000007</v>
      </c>
      <c r="AD50" s="2">
        <f t="shared" si="0"/>
        <v>0.19000000000000128</v>
      </c>
      <c r="AE50" s="138">
        <f t="shared" si="1"/>
        <v>2.535832414553485E-2</v>
      </c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5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4"/>
        <v>13187.76</v>
      </c>
      <c r="L51" s="261"/>
      <c r="M51" s="262"/>
      <c r="N51" s="261"/>
      <c r="O51" s="2"/>
      <c r="P51" s="83">
        <v>0.99</v>
      </c>
      <c r="Q51" s="83">
        <f t="shared" si="3"/>
        <v>10.216800000000001</v>
      </c>
      <c r="R51" s="83"/>
      <c r="T51" s="87" t="s">
        <v>110</v>
      </c>
      <c r="U51" s="90">
        <v>17416500</v>
      </c>
      <c r="W51" s="94">
        <v>42548</v>
      </c>
      <c r="X51" s="10">
        <v>9.2799999999999994</v>
      </c>
      <c r="Y51" s="10">
        <v>9.3000000000000007</v>
      </c>
      <c r="Z51" s="10">
        <v>8.9499999999999993</v>
      </c>
      <c r="AA51" s="10">
        <v>9.1</v>
      </c>
      <c r="AB51" s="95">
        <v>21866300</v>
      </c>
      <c r="AC51" s="10">
        <v>9.07</v>
      </c>
      <c r="AD51" s="2">
        <f t="shared" si="0"/>
        <v>0.35000000000000142</v>
      </c>
      <c r="AE51" s="138">
        <f t="shared" si="1"/>
        <v>-2.9946524064171087E-2</v>
      </c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5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4"/>
        <v>11773.78</v>
      </c>
      <c r="L52" s="262"/>
      <c r="M52" s="262"/>
      <c r="N52" s="261"/>
      <c r="O52" s="2"/>
      <c r="P52" s="83">
        <v>0.98</v>
      </c>
      <c r="Q52" s="83">
        <f t="shared" si="3"/>
        <v>10.1136</v>
      </c>
      <c r="R52" s="83"/>
      <c r="T52" s="87" t="s">
        <v>108</v>
      </c>
      <c r="U52" s="88" t="s">
        <v>420</v>
      </c>
      <c r="W52" s="94">
        <v>42545</v>
      </c>
      <c r="X52" s="10">
        <v>9.56</v>
      </c>
      <c r="Y52" s="10">
        <v>9.74</v>
      </c>
      <c r="Z52" s="10">
        <v>9.35</v>
      </c>
      <c r="AA52" s="10">
        <v>9.3800000000000008</v>
      </c>
      <c r="AB52" s="95">
        <v>34013600</v>
      </c>
      <c r="AC52" s="10">
        <v>9.35</v>
      </c>
      <c r="AD52" s="2">
        <f t="shared" si="0"/>
        <v>0.39000000000000057</v>
      </c>
      <c r="AE52" s="138">
        <f t="shared" si="1"/>
        <v>-7.6086956521739135E-2</v>
      </c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5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4"/>
        <v>546.64</v>
      </c>
      <c r="L53" s="261"/>
      <c r="M53" s="261"/>
      <c r="N53" s="261"/>
      <c r="O53" s="2"/>
      <c r="P53" s="83">
        <v>0.97</v>
      </c>
      <c r="Q53" s="83">
        <f t="shared" si="3"/>
        <v>10.010400000000001</v>
      </c>
      <c r="R53" s="83"/>
      <c r="T53" s="87" t="s">
        <v>111</v>
      </c>
      <c r="U53" s="88" t="s">
        <v>130</v>
      </c>
      <c r="W53" s="94">
        <v>42544</v>
      </c>
      <c r="X53" s="10">
        <v>10.08</v>
      </c>
      <c r="Y53" s="10">
        <v>10.17</v>
      </c>
      <c r="Z53" s="10">
        <v>9.98</v>
      </c>
      <c r="AA53" s="10">
        <v>10.15</v>
      </c>
      <c r="AB53" s="95">
        <v>20543000</v>
      </c>
      <c r="AC53" s="10">
        <v>10.119999999999999</v>
      </c>
      <c r="AD53" s="2">
        <f t="shared" si="0"/>
        <v>0.1899999999999995</v>
      </c>
      <c r="AE53" s="138">
        <f t="shared" si="1"/>
        <v>2.6369168356997985E-2</v>
      </c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5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4"/>
        <v>18997.150000000001</v>
      </c>
      <c r="L54" s="261"/>
      <c r="M54" s="261"/>
      <c r="N54" s="261"/>
      <c r="O54" s="2"/>
      <c r="P54" s="83">
        <v>0.96</v>
      </c>
      <c r="Q54" s="83">
        <f t="shared" si="3"/>
        <v>9.9071999999999996</v>
      </c>
      <c r="R54" s="83"/>
      <c r="T54" s="87" t="s">
        <v>112</v>
      </c>
      <c r="U54" s="88">
        <v>-0.44</v>
      </c>
      <c r="W54" s="94">
        <v>42543</v>
      </c>
      <c r="X54" s="10">
        <v>9.92</v>
      </c>
      <c r="Y54" s="10">
        <v>10.15</v>
      </c>
      <c r="Z54" s="10">
        <v>9.85</v>
      </c>
      <c r="AA54" s="10">
        <v>9.89</v>
      </c>
      <c r="AB54" s="95">
        <v>19506000</v>
      </c>
      <c r="AC54" s="10">
        <v>9.86</v>
      </c>
      <c r="AD54" s="2">
        <f t="shared" si="0"/>
        <v>0.30000000000000071</v>
      </c>
      <c r="AE54" s="138">
        <f t="shared" si="1"/>
        <v>3.0518819938962771E-3</v>
      </c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5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4"/>
        <v>5249.9</v>
      </c>
      <c r="L55" s="261"/>
      <c r="M55" s="261"/>
      <c r="N55" s="261"/>
      <c r="O55" s="2"/>
      <c r="P55" s="83">
        <v>0.95</v>
      </c>
      <c r="Q55" s="83">
        <f t="shared" si="3"/>
        <v>9.8040000000000003</v>
      </c>
      <c r="R55" s="83"/>
      <c r="T55" s="87" t="s">
        <v>109</v>
      </c>
      <c r="U55" s="88" t="s">
        <v>421</v>
      </c>
      <c r="W55" s="94">
        <v>42542</v>
      </c>
      <c r="X55" s="10">
        <v>9.73</v>
      </c>
      <c r="Y55" s="10">
        <v>9.9</v>
      </c>
      <c r="Z55" s="10">
        <v>9.67</v>
      </c>
      <c r="AA55" s="10">
        <v>9.86</v>
      </c>
      <c r="AB55" s="95">
        <v>13633900</v>
      </c>
      <c r="AC55" s="10">
        <v>9.83</v>
      </c>
      <c r="AD55" s="2">
        <f t="shared" si="0"/>
        <v>0.23000000000000043</v>
      </c>
      <c r="AE55" s="138">
        <f t="shared" si="1"/>
        <v>1.0277492291880685E-2</v>
      </c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5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4"/>
        <v>4549.92</v>
      </c>
      <c r="L56" s="261"/>
      <c r="M56" s="261"/>
      <c r="N56" s="261"/>
      <c r="O56" s="2"/>
      <c r="P56" s="83">
        <v>0.94</v>
      </c>
      <c r="Q56" s="83">
        <f t="shared" si="3"/>
        <v>9.7007999999999992</v>
      </c>
      <c r="R56" s="83"/>
      <c r="W56" s="94">
        <v>42541</v>
      </c>
      <c r="X56" s="10">
        <v>9.74</v>
      </c>
      <c r="Y56" s="10">
        <v>9.9499999999999993</v>
      </c>
      <c r="Z56" s="10">
        <v>9.7200000000000006</v>
      </c>
      <c r="AA56" s="10">
        <v>9.76</v>
      </c>
      <c r="AB56" s="95">
        <v>16913500</v>
      </c>
      <c r="AC56" s="10">
        <v>9.73</v>
      </c>
      <c r="AD56" s="2">
        <f t="shared" si="0"/>
        <v>0.22999999999999865</v>
      </c>
      <c r="AE56" s="138">
        <f t="shared" si="1"/>
        <v>1.884816753926688E-2</v>
      </c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5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4"/>
        <v>3739.93</v>
      </c>
      <c r="L57" s="261"/>
      <c r="M57" s="261"/>
      <c r="N57" s="261"/>
      <c r="O57" s="2"/>
      <c r="P57" s="83">
        <v>0.93</v>
      </c>
      <c r="Q57" s="83">
        <f t="shared" si="3"/>
        <v>9.5975999999999999</v>
      </c>
      <c r="R57" s="83"/>
      <c r="W57" s="94">
        <v>42538</v>
      </c>
      <c r="X57" s="10">
        <v>9.4499999999999993</v>
      </c>
      <c r="Y57" s="10">
        <v>9.65</v>
      </c>
      <c r="Z57" s="10">
        <v>9.41</v>
      </c>
      <c r="AA57" s="10">
        <v>9.58</v>
      </c>
      <c r="AB57" s="95">
        <v>29220800</v>
      </c>
      <c r="AC57" s="10">
        <v>9.5500000000000007</v>
      </c>
      <c r="AD57" s="2">
        <f t="shared" si="0"/>
        <v>0.24000000000000021</v>
      </c>
      <c r="AE57" s="138">
        <f t="shared" si="1"/>
        <v>2.0299145299145449E-2</v>
      </c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5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4"/>
        <v>4759.91</v>
      </c>
      <c r="L58" s="261"/>
      <c r="M58" s="261"/>
      <c r="N58" s="261"/>
      <c r="O58" s="2"/>
      <c r="P58" s="83">
        <v>0.92</v>
      </c>
      <c r="Q58" s="83">
        <f t="shared" si="3"/>
        <v>9.4944000000000006</v>
      </c>
      <c r="R58" s="83"/>
      <c r="W58" s="94">
        <v>42537</v>
      </c>
      <c r="X58" s="10">
        <v>9.2799999999999994</v>
      </c>
      <c r="Y58" s="10">
        <v>9.41</v>
      </c>
      <c r="Z58" s="10">
        <v>9.15</v>
      </c>
      <c r="AA58" s="10">
        <v>9.39</v>
      </c>
      <c r="AB58" s="95">
        <v>13639800</v>
      </c>
      <c r="AC58" s="10">
        <v>9.36</v>
      </c>
      <c r="AD58" s="2">
        <f t="shared" si="0"/>
        <v>0.25999999999999979</v>
      </c>
      <c r="AE58" s="138">
        <f t="shared" si="1"/>
        <v>-6.3694267515923553E-3</v>
      </c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5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4"/>
        <v>13964.74</v>
      </c>
      <c r="L59" s="261"/>
      <c r="M59" s="261"/>
      <c r="N59" s="261"/>
      <c r="O59" s="2"/>
      <c r="P59" s="83">
        <v>0.91</v>
      </c>
      <c r="Q59" s="83">
        <f t="shared" si="3"/>
        <v>9.3912000000000013</v>
      </c>
      <c r="R59" s="83"/>
      <c r="W59" s="94">
        <v>42536</v>
      </c>
      <c r="X59" s="10">
        <v>9.26</v>
      </c>
      <c r="Y59" s="10">
        <v>9.59</v>
      </c>
      <c r="Z59" s="10">
        <v>9.2100000000000009</v>
      </c>
      <c r="AA59" s="10">
        <v>9.4499999999999993</v>
      </c>
      <c r="AB59" s="95">
        <v>17775200</v>
      </c>
      <c r="AC59" s="10">
        <v>9.42</v>
      </c>
      <c r="AD59" s="2">
        <f t="shared" si="0"/>
        <v>0.37999999999999901</v>
      </c>
      <c r="AE59" s="138">
        <f t="shared" si="1"/>
        <v>3.8588754134509351E-2</v>
      </c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5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4"/>
        <v>1857.9699999999998</v>
      </c>
      <c r="L60" s="261"/>
      <c r="M60" s="261"/>
      <c r="N60" s="261"/>
      <c r="O60" s="2"/>
      <c r="P60" s="83">
        <v>0.9</v>
      </c>
      <c r="Q60" s="83">
        <f t="shared" si="3"/>
        <v>9.2880000000000003</v>
      </c>
      <c r="R60" s="83"/>
      <c r="W60" s="94">
        <v>42535</v>
      </c>
      <c r="X60" s="10">
        <v>9.2899999999999991</v>
      </c>
      <c r="Y60" s="10">
        <v>9.3699999999999992</v>
      </c>
      <c r="Z60" s="10">
        <v>9.01</v>
      </c>
      <c r="AA60" s="10">
        <v>9.1</v>
      </c>
      <c r="AB60" s="95">
        <v>23124000</v>
      </c>
      <c r="AC60" s="10">
        <v>9.07</v>
      </c>
      <c r="AD60" s="2">
        <f t="shared" si="0"/>
        <v>0.35999999999999943</v>
      </c>
      <c r="AE60" s="138">
        <f t="shared" si="1"/>
        <v>-2.3681377825618855E-2</v>
      </c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5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4"/>
        <v>4464.92</v>
      </c>
      <c r="L61" s="261"/>
      <c r="M61" s="261"/>
      <c r="N61" s="261"/>
      <c r="W61" s="94">
        <v>42534</v>
      </c>
      <c r="X61" s="10">
        <v>9.4700000000000006</v>
      </c>
      <c r="Y61" s="10">
        <v>9.61</v>
      </c>
      <c r="Z61" s="10">
        <v>9.32</v>
      </c>
      <c r="AA61" s="10">
        <v>9.32</v>
      </c>
      <c r="AB61" s="95">
        <v>13053800</v>
      </c>
      <c r="AC61" s="10">
        <v>9.2899999999999991</v>
      </c>
      <c r="AD61" s="2">
        <f t="shared" si="0"/>
        <v>0.28999999999999915</v>
      </c>
      <c r="AE61" s="138">
        <f t="shared" si="1"/>
        <v>-1.7970401691332127E-2</v>
      </c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5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4"/>
        <v>18899.650000000001</v>
      </c>
      <c r="L62" s="261"/>
      <c r="M62" s="261"/>
      <c r="N62" s="261"/>
      <c r="W62" s="94">
        <v>42531</v>
      </c>
      <c r="X62" s="10">
        <v>9.65</v>
      </c>
      <c r="Y62" s="10">
        <v>9.75</v>
      </c>
      <c r="Z62" s="10">
        <v>9.4499999999999993</v>
      </c>
      <c r="AA62" s="10">
        <v>9.49</v>
      </c>
      <c r="AB62" s="95">
        <v>18869300</v>
      </c>
      <c r="AC62" s="10">
        <v>9.4600000000000009</v>
      </c>
      <c r="AD62" s="2">
        <f t="shared" si="0"/>
        <v>0.30000000000000071</v>
      </c>
      <c r="AE62" s="138">
        <f t="shared" si="1"/>
        <v>-3.5677879714576921E-2</v>
      </c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5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4"/>
        <v>9889.82</v>
      </c>
      <c r="L63" s="261"/>
      <c r="M63" s="261"/>
      <c r="N63" s="261"/>
      <c r="W63" s="94">
        <v>42530</v>
      </c>
      <c r="X63" s="10">
        <v>9.6999999999999993</v>
      </c>
      <c r="Y63" s="10">
        <v>9.85</v>
      </c>
      <c r="Z63" s="10">
        <v>9.52</v>
      </c>
      <c r="AA63" s="10">
        <v>9.84</v>
      </c>
      <c r="AB63" s="95">
        <v>19691000</v>
      </c>
      <c r="AC63" s="10">
        <v>9.81</v>
      </c>
      <c r="AD63" s="2">
        <f t="shared" si="0"/>
        <v>0.33000000000000007</v>
      </c>
      <c r="AE63" s="138">
        <f t="shared" si="1"/>
        <v>-5.0709939148071426E-3</v>
      </c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5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4"/>
        <v>720.99</v>
      </c>
      <c r="L64" s="261"/>
      <c r="M64" s="261"/>
      <c r="N64" s="261"/>
      <c r="W64" s="94">
        <v>42529</v>
      </c>
      <c r="X64" s="10">
        <v>9.98</v>
      </c>
      <c r="Y64" s="10">
        <v>10.07</v>
      </c>
      <c r="Z64" s="10">
        <v>9.8800000000000008</v>
      </c>
      <c r="AA64" s="10">
        <v>9.89</v>
      </c>
      <c r="AB64" s="95">
        <v>16051700</v>
      </c>
      <c r="AC64" s="10">
        <v>9.86</v>
      </c>
      <c r="AD64" s="2">
        <f t="shared" si="0"/>
        <v>0.1899999999999995</v>
      </c>
      <c r="AE64" s="138">
        <f t="shared" si="1"/>
        <v>1.0245901639344135E-2</v>
      </c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5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4"/>
        <v>741.99</v>
      </c>
      <c r="L65" s="262"/>
      <c r="M65" s="261"/>
      <c r="N65" s="261"/>
      <c r="W65" s="94">
        <v>42528</v>
      </c>
      <c r="X65" s="10">
        <v>9.7899999999999991</v>
      </c>
      <c r="Y65" s="10">
        <v>9.85</v>
      </c>
      <c r="Z65" s="10">
        <v>9.74</v>
      </c>
      <c r="AA65" s="10">
        <v>9.7899999999999991</v>
      </c>
      <c r="AB65" s="95">
        <v>10596200</v>
      </c>
      <c r="AC65" s="10">
        <v>9.76</v>
      </c>
      <c r="AD65" s="2">
        <f t="shared" si="0"/>
        <v>0.10999999999999943</v>
      </c>
      <c r="AE65" s="138">
        <f t="shared" si="1"/>
        <v>-5.0968399592253855E-3</v>
      </c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5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4"/>
        <v>801.99</v>
      </c>
      <c r="L66" s="261"/>
      <c r="M66" s="261"/>
      <c r="N66" s="261"/>
      <c r="W66" s="94">
        <v>42527</v>
      </c>
      <c r="X66" s="10">
        <v>9.6300000000000008</v>
      </c>
      <c r="Y66" s="10">
        <v>9.86</v>
      </c>
      <c r="Z66" s="10">
        <v>9.6300000000000008</v>
      </c>
      <c r="AA66" s="10">
        <v>9.84</v>
      </c>
      <c r="AB66" s="95">
        <v>15311800</v>
      </c>
      <c r="AC66" s="10">
        <v>9.81</v>
      </c>
      <c r="AD66" s="2">
        <f t="shared" si="0"/>
        <v>0.22999999999999865</v>
      </c>
      <c r="AE66" s="138">
        <f t="shared" si="1"/>
        <v>3.3719704952581697E-2</v>
      </c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5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4"/>
        <v>2393.9499999999998</v>
      </c>
      <c r="L67" s="261"/>
      <c r="M67" s="261"/>
      <c r="N67" s="261"/>
      <c r="W67" s="94">
        <v>42524</v>
      </c>
      <c r="X67" s="10">
        <v>9.44</v>
      </c>
      <c r="Y67" s="10">
        <v>9.57</v>
      </c>
      <c r="Z67" s="10">
        <v>9.2799999999999994</v>
      </c>
      <c r="AA67" s="10">
        <v>9.52</v>
      </c>
      <c r="AB67" s="95">
        <v>20764800</v>
      </c>
      <c r="AC67" s="10">
        <v>9.49</v>
      </c>
      <c r="AD67" s="2">
        <f t="shared" si="0"/>
        <v>0.29000000000000092</v>
      </c>
      <c r="AE67" s="138">
        <f t="shared" si="1"/>
        <v>2.0430107526881569E-2</v>
      </c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5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W68" s="94">
        <v>42523</v>
      </c>
      <c r="X68" s="10">
        <v>9.25</v>
      </c>
      <c r="Y68" s="10">
        <v>9.4</v>
      </c>
      <c r="Z68" s="10">
        <v>9.18</v>
      </c>
      <c r="AA68" s="10">
        <v>9.33</v>
      </c>
      <c r="AB68" s="95">
        <v>13766300</v>
      </c>
      <c r="AC68" s="10">
        <v>9.3000000000000007</v>
      </c>
      <c r="AD68" s="2">
        <f>Y68-Z68</f>
        <v>0.22000000000000064</v>
      </c>
      <c r="AE68" s="138" t="e">
        <f>AC68/AC69-1</f>
        <v>#DIV/0!</v>
      </c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5"/>
        <v>30672.999999999996</v>
      </c>
      <c r="G69" s="266"/>
      <c r="H69" s="267"/>
      <c r="I69" s="262"/>
      <c r="J69" s="262"/>
      <c r="K69" s="262"/>
      <c r="L69" s="261"/>
      <c r="M69" s="261"/>
      <c r="N69" s="261"/>
      <c r="W69" s="215" t="s">
        <v>122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5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5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5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5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5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5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5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5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5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5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4"/>
      <c r="B81" s="384"/>
      <c r="C81" s="384"/>
      <c r="D81" s="385"/>
      <c r="E81" s="385"/>
      <c r="F81" s="385"/>
      <c r="G81" s="384"/>
      <c r="H81" s="384"/>
      <c r="I81" s="385"/>
      <c r="J81" s="385"/>
      <c r="K81" s="385"/>
      <c r="L81" s="384"/>
      <c r="M81" s="384"/>
      <c r="N81" s="384"/>
    </row>
    <row r="82" spans="1:14" x14ac:dyDescent="0.25">
      <c r="A82" s="384"/>
      <c r="B82" s="383">
        <v>42545</v>
      </c>
      <c r="C82" s="384">
        <v>250</v>
      </c>
      <c r="D82" s="385">
        <v>9.36</v>
      </c>
      <c r="E82" s="385">
        <v>0</v>
      </c>
      <c r="F82" s="385">
        <f>D82*C82+E82</f>
        <v>2340</v>
      </c>
      <c r="G82" s="384">
        <v>42577</v>
      </c>
      <c r="H82" s="388">
        <v>150</v>
      </c>
      <c r="I82" s="385">
        <v>10.58</v>
      </c>
      <c r="J82" s="385">
        <v>0.03</v>
      </c>
      <c r="K82" s="385">
        <f t="shared" ref="K82:K83" si="6">H82*I82-J82</f>
        <v>1586.97</v>
      </c>
      <c r="L82" s="384"/>
      <c r="M82" s="384"/>
      <c r="N82" s="384"/>
    </row>
    <row r="83" spans="1:14" x14ac:dyDescent="0.25">
      <c r="A83" s="384"/>
      <c r="B83" s="383"/>
      <c r="C83" s="384"/>
      <c r="D83" s="385"/>
      <c r="E83" s="385"/>
      <c r="F83" s="385"/>
      <c r="G83" s="384">
        <v>42577</v>
      </c>
      <c r="H83" s="388">
        <v>100</v>
      </c>
      <c r="I83" s="385">
        <v>10.65</v>
      </c>
      <c r="J83" s="385">
        <v>0.02</v>
      </c>
      <c r="K83" s="385">
        <f t="shared" si="6"/>
        <v>1064.98</v>
      </c>
      <c r="L83" s="384"/>
      <c r="M83" s="384"/>
      <c r="N83" s="384"/>
    </row>
    <row r="84" spans="1:14" x14ac:dyDescent="0.25">
      <c r="A84" s="384"/>
      <c r="B84" s="384"/>
      <c r="C84" s="384"/>
      <c r="D84" s="385"/>
      <c r="E84" s="385"/>
      <c r="F84" s="385"/>
      <c r="G84" s="384"/>
      <c r="H84" s="384"/>
      <c r="I84" s="385"/>
      <c r="J84" s="385"/>
      <c r="K84" s="385"/>
      <c r="L84" s="384"/>
      <c r="M84" s="384"/>
      <c r="N84" s="384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150</v>
      </c>
      <c r="D88" s="270" t="s">
        <v>149</v>
      </c>
      <c r="E88" s="271" t="s">
        <v>151</v>
      </c>
      <c r="F88" s="271" t="s">
        <v>65</v>
      </c>
      <c r="G88" s="273" t="s">
        <v>155</v>
      </c>
      <c r="H88" s="273" t="s">
        <v>88</v>
      </c>
      <c r="I88" s="273" t="s">
        <v>161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7">C90*(E90-D90)</f>
        <v>-2848.9999999999986</v>
      </c>
      <c r="G90" s="262">
        <f t="shared" ref="G90:G107" si="8">D90*C90</f>
        <v>36112</v>
      </c>
      <c r="H90" s="276">
        <f t="shared" ref="H90:H96" si="9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7"/>
        <v>-1294.9999999999986</v>
      </c>
      <c r="G91" s="262">
        <f t="shared" si="8"/>
        <v>36001</v>
      </c>
      <c r="H91" s="276">
        <f t="shared" si="9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7"/>
        <v>-8805.9999999999964</v>
      </c>
      <c r="G92" s="262">
        <f t="shared" si="8"/>
        <v>66674</v>
      </c>
      <c r="H92" s="276">
        <f t="shared" si="9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7"/>
        <v>-8959.9999999999945</v>
      </c>
      <c r="G93" s="262">
        <f t="shared" si="8"/>
        <v>71520</v>
      </c>
      <c r="H93" s="276">
        <f t="shared" si="9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7"/>
        <v>-4278.7799999999934</v>
      </c>
      <c r="G94" s="262">
        <f t="shared" si="8"/>
        <v>59784.779999999992</v>
      </c>
      <c r="H94" s="276">
        <f t="shared" si="9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7"/>
        <v>-4279.1179999999986</v>
      </c>
      <c r="G95" s="262">
        <f t="shared" si="8"/>
        <v>59238.468000000001</v>
      </c>
      <c r="H95" s="276">
        <f t="shared" si="9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7"/>
        <v>-2573.1199999999994</v>
      </c>
      <c r="G96" s="262">
        <f t="shared" si="8"/>
        <v>40241.119999999995</v>
      </c>
      <c r="H96" s="276">
        <f t="shared" si="9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7"/>
        <v>-2579.2700000000027</v>
      </c>
      <c r="G97" s="262">
        <f t="shared" si="8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7"/>
        <v>-1405.9999999999964</v>
      </c>
      <c r="G98" s="262">
        <f t="shared" si="8"/>
        <v>34965</v>
      </c>
      <c r="H98" s="276">
        <f t="shared" ref="H98:H107" si="10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7"/>
        <v>-67.320000000001386</v>
      </c>
      <c r="G99" s="262">
        <f t="shared" si="8"/>
        <v>31120.320000000003</v>
      </c>
      <c r="H99" s="276">
        <f t="shared" si="10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7"/>
        <v>183.40000000000032</v>
      </c>
      <c r="G100" s="262">
        <f t="shared" si="8"/>
        <v>26360.600000000002</v>
      </c>
      <c r="H100" s="276">
        <f t="shared" si="10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7"/>
        <v>-180.00000000000148</v>
      </c>
      <c r="G101" s="262">
        <f t="shared" si="8"/>
        <v>28230</v>
      </c>
      <c r="H101" s="276">
        <f t="shared" si="10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7"/>
        <v>-254.99999999999989</v>
      </c>
      <c r="G102" s="262">
        <f t="shared" si="8"/>
        <v>14265</v>
      </c>
      <c r="H102" s="276">
        <f t="shared" si="10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7"/>
        <v>-159.90000000000038</v>
      </c>
      <c r="G103" s="262">
        <f t="shared" si="8"/>
        <v>28179.9</v>
      </c>
      <c r="H103" s="276">
        <f t="shared" si="10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7"/>
        <v>-1050.9000000000012</v>
      </c>
      <c r="G104" s="262">
        <f t="shared" si="8"/>
        <v>29074.899999999998</v>
      </c>
      <c r="H104" s="276">
        <f t="shared" si="10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7"/>
        <v>-630.0000000000025</v>
      </c>
      <c r="G105" s="262">
        <f t="shared" si="8"/>
        <v>28140.000000000004</v>
      </c>
      <c r="H105" s="276">
        <f t="shared" si="10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7"/>
        <v>-1518.0000000000007</v>
      </c>
      <c r="G106" s="262">
        <f t="shared" si="8"/>
        <v>28098</v>
      </c>
      <c r="H106" s="276">
        <f t="shared" si="10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7"/>
        <v>360.00000000000119</v>
      </c>
      <c r="G107" s="262">
        <f t="shared" si="8"/>
        <v>9200</v>
      </c>
      <c r="H107" s="276">
        <f t="shared" si="10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11">C109*(E109-D109)</f>
        <v>704.00000000000023</v>
      </c>
      <c r="G109" s="262">
        <f t="shared" ref="G109:G114" si="12">D109*C109</f>
        <v>2524</v>
      </c>
      <c r="H109" s="276">
        <f t="shared" ref="H109:H114" si="13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11"/>
        <v>200.00000000000017</v>
      </c>
      <c r="G110" s="262">
        <f t="shared" si="12"/>
        <v>3170</v>
      </c>
      <c r="H110" s="276">
        <f t="shared" si="13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11"/>
        <v>407.99999999999983</v>
      </c>
      <c r="G111" s="262">
        <f t="shared" si="12"/>
        <v>2448</v>
      </c>
      <c r="H111" s="276">
        <f t="shared" si="13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11"/>
        <v>340.5499999999999</v>
      </c>
      <c r="G112" s="262">
        <f t="shared" si="12"/>
        <v>3144.45</v>
      </c>
      <c r="H112" s="276">
        <f t="shared" si="13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11"/>
        <v>616</v>
      </c>
      <c r="G113" s="262">
        <f t="shared" si="12"/>
        <v>2404</v>
      </c>
      <c r="H113" s="276">
        <f t="shared" si="13"/>
        <v>0.2562396006655574</v>
      </c>
      <c r="I113" s="262"/>
      <c r="J113" s="262"/>
      <c r="K113" s="262"/>
      <c r="L113" s="261"/>
      <c r="M113" s="261"/>
      <c r="N113" s="384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11"/>
        <v>892.53000000000009</v>
      </c>
      <c r="G114" s="262">
        <f t="shared" si="12"/>
        <v>1600.47</v>
      </c>
      <c r="H114" s="276">
        <f t="shared" si="13"/>
        <v>0.55766743519091266</v>
      </c>
      <c r="I114" s="262"/>
      <c r="J114" s="262"/>
      <c r="K114" s="262"/>
      <c r="L114" s="261"/>
      <c r="M114" s="261"/>
      <c r="N114" s="384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4"/>
    </row>
    <row r="116" spans="1:14" x14ac:dyDescent="0.25">
      <c r="A116" s="384"/>
      <c r="B116" s="383"/>
      <c r="C116" s="384"/>
      <c r="D116" s="385"/>
      <c r="E116" s="385"/>
      <c r="F116" s="385"/>
      <c r="G116" s="385"/>
      <c r="H116" s="386"/>
      <c r="I116" s="385"/>
      <c r="J116" s="385"/>
      <c r="K116" s="385"/>
      <c r="L116" s="384"/>
      <c r="M116" s="384"/>
      <c r="N116" s="384"/>
    </row>
    <row r="117" spans="1:14" x14ac:dyDescent="0.25">
      <c r="A117" s="384"/>
      <c r="B117" s="383">
        <v>42545</v>
      </c>
      <c r="C117" s="384">
        <v>250</v>
      </c>
      <c r="D117" s="385">
        <v>9.36</v>
      </c>
      <c r="E117" s="385">
        <v>9.3800000000000008</v>
      </c>
      <c r="F117" s="385">
        <f t="shared" ref="F117:F127" si="14">C117*(E117-D117)</f>
        <v>5.0000000000003375</v>
      </c>
      <c r="G117" s="385">
        <f t="shared" ref="G117:G127" si="15">D117*C117</f>
        <v>2340</v>
      </c>
      <c r="H117" s="386">
        <f t="shared" ref="H117:H127" si="16">(E117-D117)/D117</f>
        <v>2.1367521367522809E-3</v>
      </c>
      <c r="I117" s="385"/>
      <c r="J117" s="385"/>
      <c r="K117" s="385"/>
      <c r="L117" s="384"/>
      <c r="M117" s="384"/>
      <c r="N117" s="384"/>
    </row>
    <row r="118" spans="1:14" x14ac:dyDescent="0.25">
      <c r="A118" s="384"/>
      <c r="B118" s="383">
        <v>42548</v>
      </c>
      <c r="C118" s="384">
        <v>250</v>
      </c>
      <c r="D118" s="385">
        <v>9.36</v>
      </c>
      <c r="E118" s="385">
        <v>9.1</v>
      </c>
      <c r="F118" s="385">
        <f t="shared" si="14"/>
        <v>-64.999999999999943</v>
      </c>
      <c r="G118" s="385">
        <f t="shared" si="15"/>
        <v>2340</v>
      </c>
      <c r="H118" s="386">
        <f t="shared" si="16"/>
        <v>-2.7777777777777755E-2</v>
      </c>
      <c r="I118" s="385"/>
      <c r="J118" s="385"/>
      <c r="K118" s="385"/>
      <c r="L118" s="384"/>
      <c r="M118" s="384"/>
      <c r="N118" s="384"/>
    </row>
    <row r="119" spans="1:14" x14ac:dyDescent="0.25">
      <c r="A119" s="384"/>
      <c r="B119" s="383">
        <v>42549</v>
      </c>
      <c r="C119" s="384">
        <v>250</v>
      </c>
      <c r="D119" s="385">
        <v>9.36</v>
      </c>
      <c r="E119" s="385">
        <v>9.33</v>
      </c>
      <c r="F119" s="385">
        <f t="shared" si="14"/>
        <v>-7.4999999999998401</v>
      </c>
      <c r="G119" s="385">
        <f t="shared" si="15"/>
        <v>2340</v>
      </c>
      <c r="H119" s="386">
        <f t="shared" si="16"/>
        <v>-3.2051282051281369E-3</v>
      </c>
      <c r="I119" s="385"/>
      <c r="J119" s="385"/>
      <c r="K119" s="385"/>
      <c r="L119" s="384"/>
      <c r="M119" s="384"/>
      <c r="N119" s="384"/>
    </row>
    <row r="120" spans="1:14" x14ac:dyDescent="0.25">
      <c r="A120" s="384"/>
      <c r="B120" s="383">
        <v>42550</v>
      </c>
      <c r="C120" s="384">
        <v>250</v>
      </c>
      <c r="D120" s="385">
        <v>9.36</v>
      </c>
      <c r="E120" s="385">
        <v>9.1</v>
      </c>
      <c r="F120" s="385">
        <f t="shared" si="14"/>
        <v>-64.999999999999943</v>
      </c>
      <c r="G120" s="385">
        <f t="shared" si="15"/>
        <v>2340</v>
      </c>
      <c r="H120" s="386">
        <f t="shared" si="16"/>
        <v>-2.7777777777777755E-2</v>
      </c>
      <c r="I120" s="385"/>
      <c r="J120" s="385"/>
      <c r="K120" s="385"/>
      <c r="L120" s="384"/>
      <c r="M120" s="384"/>
      <c r="N120" s="384"/>
    </row>
    <row r="121" spans="1:14" x14ac:dyDescent="0.25">
      <c r="A121" s="384"/>
      <c r="B121" s="383">
        <v>42552</v>
      </c>
      <c r="C121" s="384">
        <v>250</v>
      </c>
      <c r="D121" s="385">
        <v>9.36</v>
      </c>
      <c r="E121" s="385">
        <v>9.5500000000000007</v>
      </c>
      <c r="F121" s="385">
        <f t="shared" si="14"/>
        <v>47.50000000000032</v>
      </c>
      <c r="G121" s="385">
        <f t="shared" si="15"/>
        <v>2340</v>
      </c>
      <c r="H121" s="386">
        <f t="shared" si="16"/>
        <v>2.0299145299145439E-2</v>
      </c>
      <c r="I121" s="385"/>
      <c r="J121" s="385"/>
      <c r="K121" s="385"/>
      <c r="L121" s="384"/>
      <c r="M121" s="384"/>
      <c r="N121" s="384"/>
    </row>
    <row r="122" spans="1:14" x14ac:dyDescent="0.25">
      <c r="A122" s="384"/>
      <c r="B122" s="383">
        <v>42556</v>
      </c>
      <c r="C122" s="384">
        <v>250</v>
      </c>
      <c r="D122" s="385">
        <v>9.36</v>
      </c>
      <c r="E122" s="385">
        <v>9.26</v>
      </c>
      <c r="F122" s="385">
        <f t="shared" si="14"/>
        <v>-24.999999999999911</v>
      </c>
      <c r="G122" s="385">
        <f t="shared" si="15"/>
        <v>2340</v>
      </c>
      <c r="H122" s="386">
        <f t="shared" si="16"/>
        <v>-1.0683760683760646E-2</v>
      </c>
      <c r="I122" s="385"/>
      <c r="J122" s="385"/>
      <c r="K122" s="385"/>
      <c r="L122" s="384"/>
      <c r="M122" s="384"/>
      <c r="N122" s="384"/>
    </row>
    <row r="123" spans="1:14" x14ac:dyDescent="0.25">
      <c r="A123" s="384"/>
      <c r="B123" s="383">
        <v>42557</v>
      </c>
      <c r="C123" s="384">
        <v>250</v>
      </c>
      <c r="D123" s="385">
        <v>9.36</v>
      </c>
      <c r="E123" s="385">
        <v>9.19</v>
      </c>
      <c r="F123" s="385">
        <f t="shared" si="14"/>
        <v>-42.499999999999986</v>
      </c>
      <c r="G123" s="385">
        <f t="shared" si="15"/>
        <v>2340</v>
      </c>
      <c r="H123" s="386">
        <f t="shared" si="16"/>
        <v>-1.8162393162393157E-2</v>
      </c>
      <c r="I123" s="385"/>
      <c r="J123" s="385"/>
      <c r="K123" s="385"/>
      <c r="L123" s="384"/>
      <c r="M123" s="384"/>
      <c r="N123" s="384"/>
    </row>
    <row r="124" spans="1:14" x14ac:dyDescent="0.25">
      <c r="A124" s="384"/>
      <c r="B124" s="383">
        <v>42559</v>
      </c>
      <c r="C124" s="384">
        <v>250</v>
      </c>
      <c r="D124" s="385">
        <v>9.36</v>
      </c>
      <c r="E124" s="385">
        <v>9.82</v>
      </c>
      <c r="F124" s="385">
        <f t="shared" si="14"/>
        <v>115.00000000000021</v>
      </c>
      <c r="G124" s="385">
        <f t="shared" si="15"/>
        <v>2340</v>
      </c>
      <c r="H124" s="386">
        <f t="shared" si="16"/>
        <v>4.9145299145299241E-2</v>
      </c>
      <c r="I124" s="385"/>
      <c r="J124" s="385"/>
      <c r="K124" s="385"/>
      <c r="L124" s="384"/>
      <c r="M124" s="384"/>
      <c r="N124" s="384"/>
    </row>
    <row r="125" spans="1:14" x14ac:dyDescent="0.25">
      <c r="A125" s="384"/>
      <c r="B125" s="383">
        <v>42562</v>
      </c>
      <c r="C125" s="384">
        <v>250</v>
      </c>
      <c r="D125" s="385">
        <v>9.36</v>
      </c>
      <c r="E125" s="385">
        <v>10.14</v>
      </c>
      <c r="F125" s="385">
        <f t="shared" si="14"/>
        <v>195.00000000000028</v>
      </c>
      <c r="G125" s="385">
        <f t="shared" si="15"/>
        <v>2340</v>
      </c>
      <c r="H125" s="386">
        <f t="shared" si="16"/>
        <v>8.3333333333333454E-2</v>
      </c>
      <c r="I125" s="385" t="s">
        <v>275</v>
      </c>
      <c r="J125" s="385"/>
      <c r="K125" s="385"/>
      <c r="L125" s="384"/>
      <c r="M125" s="384"/>
      <c r="N125" s="384"/>
    </row>
    <row r="126" spans="1:14" x14ac:dyDescent="0.25">
      <c r="A126" s="384"/>
      <c r="B126" s="383">
        <v>42566</v>
      </c>
      <c r="C126" s="384">
        <v>250</v>
      </c>
      <c r="D126" s="385">
        <v>9.36</v>
      </c>
      <c r="E126" s="385">
        <v>10.92</v>
      </c>
      <c r="F126" s="385">
        <f t="shared" si="14"/>
        <v>390.00000000000011</v>
      </c>
      <c r="G126" s="385">
        <f t="shared" si="15"/>
        <v>2340</v>
      </c>
      <c r="H126" s="386">
        <f t="shared" si="16"/>
        <v>0.16666666666666674</v>
      </c>
      <c r="I126" s="492">
        <v>8.8000000000000007</v>
      </c>
      <c r="J126" s="385"/>
      <c r="K126" s="385"/>
      <c r="L126" s="384"/>
      <c r="M126" s="384"/>
      <c r="N126" s="384"/>
    </row>
    <row r="127" spans="1:14" x14ac:dyDescent="0.25">
      <c r="A127" s="384"/>
      <c r="B127" s="383">
        <v>42570</v>
      </c>
      <c r="C127" s="384">
        <v>250</v>
      </c>
      <c r="D127" s="385">
        <v>9.36</v>
      </c>
      <c r="E127" s="385">
        <v>10.63</v>
      </c>
      <c r="F127" s="385">
        <f t="shared" si="14"/>
        <v>317.50000000000034</v>
      </c>
      <c r="G127" s="385">
        <f t="shared" si="15"/>
        <v>2340</v>
      </c>
      <c r="H127" s="386">
        <f t="shared" si="16"/>
        <v>0.13568376068376084</v>
      </c>
      <c r="I127" s="385"/>
      <c r="J127" s="385"/>
      <c r="K127" s="385"/>
      <c r="L127" s="384"/>
      <c r="M127" s="384"/>
      <c r="N127" s="384"/>
    </row>
    <row r="128" spans="1:14" x14ac:dyDescent="0.25">
      <c r="A128" s="384"/>
      <c r="B128" s="383">
        <v>42577</v>
      </c>
      <c r="C128" s="384">
        <v>0</v>
      </c>
      <c r="D128" s="385"/>
      <c r="E128" s="385"/>
      <c r="F128" s="385">
        <v>311.95</v>
      </c>
      <c r="G128" s="385"/>
      <c r="H128" s="386"/>
      <c r="I128" s="385"/>
      <c r="J128" s="385"/>
      <c r="K128" s="385"/>
      <c r="L128" s="384"/>
      <c r="M128" s="384"/>
    </row>
    <row r="129" spans="1:13" x14ac:dyDescent="0.25">
      <c r="A129" s="384"/>
      <c r="B129" s="383"/>
      <c r="C129" s="384"/>
      <c r="D129" s="385"/>
      <c r="E129" s="385"/>
      <c r="F129" s="385"/>
      <c r="G129" s="385"/>
      <c r="H129" s="386"/>
      <c r="I129" s="385"/>
      <c r="J129" s="385"/>
      <c r="K129" s="385"/>
      <c r="L129" s="384"/>
      <c r="M129" s="384"/>
    </row>
    <row r="130" spans="1:13" x14ac:dyDescent="0.25">
      <c r="A130" s="384"/>
      <c r="B130" s="383"/>
      <c r="C130" s="384"/>
      <c r="D130" s="385"/>
      <c r="E130" s="385"/>
      <c r="F130" s="385"/>
      <c r="G130" s="385"/>
      <c r="H130" s="386"/>
      <c r="I130" s="385"/>
      <c r="J130" s="385"/>
      <c r="K130" s="385"/>
      <c r="L130" s="384"/>
      <c r="M130" s="384"/>
    </row>
  </sheetData>
  <mergeCells count="1">
    <mergeCell ref="P39:Q39"/>
  </mergeCells>
  <conditionalFormatting sqref="F22:F39 H22:H39">
    <cfRule type="expression" dxfId="346" priority="66">
      <formula>F22&gt;0</formula>
    </cfRule>
    <cfRule type="expression" dxfId="345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44" priority="53">
      <formula>F41&gt;0</formula>
    </cfRule>
    <cfRule type="expression" dxfId="343" priority="54">
      <formula>F41&lt;0</formula>
    </cfRule>
  </conditionalFormatting>
  <conditionalFormatting sqref="F41">
    <cfRule type="expression" dxfId="342" priority="57">
      <formula>F41&gt;0</formula>
    </cfRule>
    <cfRule type="expression" dxfId="341" priority="58">
      <formula>F41&lt;0</formula>
    </cfRule>
  </conditionalFormatting>
  <conditionalFormatting sqref="H41">
    <cfRule type="expression" dxfId="340" priority="35">
      <formula>H41&gt;0</formula>
    </cfRule>
    <cfRule type="expression" dxfId="339" priority="36">
      <formula>H41&lt;0</formula>
    </cfRule>
  </conditionalFormatting>
  <conditionalFormatting sqref="F89:F95">
    <cfRule type="expression" dxfId="338" priority="29">
      <formula>F89&gt;0</formula>
    </cfRule>
    <cfRule type="expression" dxfId="337" priority="30">
      <formula>F89&lt;0</formula>
    </cfRule>
  </conditionalFormatting>
  <conditionalFormatting sqref="F96:F110">
    <cfRule type="expression" dxfId="336" priority="25">
      <formula>F96&gt;0</formula>
    </cfRule>
    <cfRule type="expression" dxfId="335" priority="26">
      <formula>F96&lt;0</formula>
    </cfRule>
  </conditionalFormatting>
  <conditionalFormatting sqref="F96:F110">
    <cfRule type="expression" dxfId="334" priority="27">
      <formula>F96&gt;0</formula>
    </cfRule>
    <cfRule type="expression" dxfId="333" priority="28">
      <formula>F96&lt;0</formula>
    </cfRule>
  </conditionalFormatting>
  <conditionalFormatting sqref="H89:H100">
    <cfRule type="expression" dxfId="332" priority="23">
      <formula>H89&gt;0</formula>
    </cfRule>
    <cfRule type="expression" dxfId="331" priority="24">
      <formula>H89&lt;0</formula>
    </cfRule>
  </conditionalFormatting>
  <conditionalFormatting sqref="H101">
    <cfRule type="expression" dxfId="330" priority="21">
      <formula>H101&gt;0</formula>
    </cfRule>
    <cfRule type="expression" dxfId="329" priority="22">
      <formula>H101&lt;0</formula>
    </cfRule>
  </conditionalFormatting>
  <conditionalFormatting sqref="F111:F116">
    <cfRule type="expression" dxfId="328" priority="19">
      <formula>F111&gt;0</formula>
    </cfRule>
    <cfRule type="expression" dxfId="327" priority="20">
      <formula>F111&lt;0</formula>
    </cfRule>
  </conditionalFormatting>
  <conditionalFormatting sqref="H103:H116">
    <cfRule type="expression" dxfId="326" priority="17">
      <formula>H103&gt;0</formula>
    </cfRule>
    <cfRule type="expression" dxfId="325" priority="18">
      <formula>H103&lt;0</formula>
    </cfRule>
  </conditionalFormatting>
  <conditionalFormatting sqref="H102">
    <cfRule type="expression" dxfId="324" priority="15">
      <formula>H102&gt;0</formula>
    </cfRule>
    <cfRule type="expression" dxfId="323" priority="16">
      <formula>H102&lt;0</formula>
    </cfRule>
  </conditionalFormatting>
  <conditionalFormatting sqref="M42">
    <cfRule type="expression" dxfId="322" priority="13">
      <formula>M42&gt;0</formula>
    </cfRule>
    <cfRule type="expression" dxfId="321" priority="14">
      <formula>M42&lt;0</formula>
    </cfRule>
  </conditionalFormatting>
  <conditionalFormatting sqref="Q7">
    <cfRule type="expression" dxfId="320" priority="9">
      <formula>Q7&gt;0</formula>
    </cfRule>
    <cfRule type="expression" dxfId="319" priority="10">
      <formula>Q7&lt;0</formula>
    </cfRule>
  </conditionalFormatting>
  <conditionalFormatting sqref="Q8">
    <cfRule type="expression" dxfId="318" priority="7">
      <formula>Q8&gt;0</formula>
    </cfRule>
    <cfRule type="expression" dxfId="317" priority="8">
      <formula>Q8&lt;0</formula>
    </cfRule>
  </conditionalFormatting>
  <conditionalFormatting sqref="F117:F130 H117:H130">
    <cfRule type="expression" dxfId="316" priority="1">
      <formula>F117&gt;0</formula>
    </cfRule>
    <cfRule type="expression" dxfId="315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3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42615</v>
      </c>
      <c r="X2" s="10">
        <v>18.920000000000002</v>
      </c>
      <c r="Y2" s="10">
        <v>19.36</v>
      </c>
      <c r="Z2" s="10">
        <v>18.73</v>
      </c>
      <c r="AA2" s="10">
        <v>19.12</v>
      </c>
      <c r="AB2" s="95">
        <v>1728400</v>
      </c>
      <c r="AC2" s="10">
        <v>19.12</v>
      </c>
      <c r="AD2" s="2">
        <f>Y2-Z2</f>
        <v>0.62999999999999901</v>
      </c>
      <c r="AE2" s="138">
        <f>AC2/AC3-1</f>
        <v>1.3785790031813461E-2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18.84</v>
      </c>
      <c r="W3" s="133">
        <v>42614</v>
      </c>
      <c r="X3" s="10">
        <v>18.63</v>
      </c>
      <c r="Y3" s="10">
        <v>18.98</v>
      </c>
      <c r="Z3" s="10">
        <v>18.54</v>
      </c>
      <c r="AA3" s="10">
        <v>18.86</v>
      </c>
      <c r="AB3" s="95">
        <v>1258700</v>
      </c>
      <c r="AC3" s="10">
        <v>18.86</v>
      </c>
      <c r="AD3" s="2">
        <f t="shared" ref="AD3:AD66" si="0">Y3-Z3</f>
        <v>0.44000000000000128</v>
      </c>
      <c r="AE3" s="138">
        <f t="shared" ref="AE3:AE66" si="1">AC3/AC4-1</f>
        <v>1.0718113612004254E-2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18.84</v>
      </c>
      <c r="W4" s="133">
        <v>42613</v>
      </c>
      <c r="X4" s="10">
        <v>18.75</v>
      </c>
      <c r="Y4" s="10">
        <v>18.93</v>
      </c>
      <c r="Z4" s="10">
        <v>18.43</v>
      </c>
      <c r="AA4" s="10">
        <v>18.66</v>
      </c>
      <c r="AB4" s="95">
        <v>1023800</v>
      </c>
      <c r="AC4" s="10">
        <v>18.66</v>
      </c>
      <c r="AD4" s="2">
        <f t="shared" si="0"/>
        <v>0.5</v>
      </c>
      <c r="AE4" s="138">
        <f t="shared" si="1"/>
        <v>-7.4468085106382809E-3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42612</v>
      </c>
      <c r="X5" s="10">
        <v>18.93</v>
      </c>
      <c r="Y5" s="10">
        <v>19.16</v>
      </c>
      <c r="Z5" s="10">
        <v>18.62</v>
      </c>
      <c r="AA5" s="10">
        <v>18.8</v>
      </c>
      <c r="AB5" s="95">
        <v>1250300</v>
      </c>
      <c r="AC5" s="10">
        <v>18.8</v>
      </c>
      <c r="AD5" s="2">
        <f t="shared" si="0"/>
        <v>0.53999999999999915</v>
      </c>
      <c r="AE5" s="138">
        <f t="shared" si="1"/>
        <v>-1.467505241090139E-2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42611</v>
      </c>
      <c r="X6" s="10">
        <v>19.05</v>
      </c>
      <c r="Y6" s="10">
        <v>19.28</v>
      </c>
      <c r="Z6" s="10">
        <v>19</v>
      </c>
      <c r="AA6" s="10">
        <v>19.079999999999998</v>
      </c>
      <c r="AB6" s="95">
        <v>1232100</v>
      </c>
      <c r="AC6" s="10">
        <v>19.079999999999998</v>
      </c>
      <c r="AD6" s="2">
        <f t="shared" si="0"/>
        <v>0.28000000000000114</v>
      </c>
      <c r="AE6" s="138">
        <f t="shared" si="1"/>
        <v>2.1008403361344463E-3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187</v>
      </c>
      <c r="Q7" s="2">
        <f>Q10+Q8</f>
        <v>155.90000000000146</v>
      </c>
      <c r="R7">
        <v>0</v>
      </c>
      <c r="W7" s="133">
        <v>42608</v>
      </c>
      <c r="X7" s="10">
        <v>19.440000000000001</v>
      </c>
      <c r="Y7" s="10">
        <v>19.579999999999998</v>
      </c>
      <c r="Z7" s="10">
        <v>18.86</v>
      </c>
      <c r="AA7" s="10">
        <v>19.04</v>
      </c>
      <c r="AB7" s="95">
        <v>1983900</v>
      </c>
      <c r="AC7" s="10">
        <v>19.04</v>
      </c>
      <c r="AD7" s="2">
        <f t="shared" si="0"/>
        <v>0.71999999999999886</v>
      </c>
      <c r="AE7" s="138">
        <f t="shared" si="1"/>
        <v>-1.6020671834625411E-2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42607</v>
      </c>
      <c r="X8" s="10">
        <v>19.25</v>
      </c>
      <c r="Y8" s="10">
        <v>19.61</v>
      </c>
      <c r="Z8" s="10">
        <v>19.18</v>
      </c>
      <c r="AA8" s="10">
        <v>19.350000000000001</v>
      </c>
      <c r="AB8" s="95">
        <v>1367200</v>
      </c>
      <c r="AC8" s="10">
        <v>19.350000000000001</v>
      </c>
      <c r="AD8" s="2">
        <f t="shared" si="0"/>
        <v>0.42999999999999972</v>
      </c>
      <c r="AE8" s="138">
        <f t="shared" si="1"/>
        <v>-1.0325245224573898E-3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33">
        <v>42606</v>
      </c>
      <c r="X9" s="10">
        <v>19.690000000000001</v>
      </c>
      <c r="Y9" s="10">
        <v>19.79</v>
      </c>
      <c r="Z9" s="10">
        <v>19.32</v>
      </c>
      <c r="AA9" s="10">
        <v>19.37</v>
      </c>
      <c r="AB9" s="95">
        <v>1374000</v>
      </c>
      <c r="AC9" s="10">
        <v>19.37</v>
      </c>
      <c r="AD9" s="2">
        <f t="shared" si="0"/>
        <v>0.46999999999999886</v>
      </c>
      <c r="AE9" s="138">
        <f t="shared" si="1"/>
        <v>-2.0728008088978789E-2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223</v>
      </c>
      <c r="P10" s="34"/>
      <c r="Q10" s="2">
        <f>M45</f>
        <v>155.90000000000146</v>
      </c>
      <c r="W10" s="133">
        <v>42605</v>
      </c>
      <c r="X10" s="10">
        <v>19.350000000000001</v>
      </c>
      <c r="Y10" s="10">
        <v>19.87</v>
      </c>
      <c r="Z10" s="10">
        <v>19.28</v>
      </c>
      <c r="AA10" s="10">
        <v>19.78</v>
      </c>
      <c r="AB10" s="95">
        <v>1728700</v>
      </c>
      <c r="AC10" s="10">
        <v>19.78</v>
      </c>
      <c r="AD10" s="2">
        <f t="shared" si="0"/>
        <v>0.58999999999999986</v>
      </c>
      <c r="AE10" s="138">
        <f t="shared" si="1"/>
        <v>3.1282586027111758E-2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42604</v>
      </c>
      <c r="X11" s="10">
        <v>19.39</v>
      </c>
      <c r="Y11" s="10">
        <v>19.420000000000002</v>
      </c>
      <c r="Z11" s="10">
        <v>19.07</v>
      </c>
      <c r="AA11" s="10">
        <v>19.18</v>
      </c>
      <c r="AB11" s="95">
        <v>1559200</v>
      </c>
      <c r="AC11" s="10">
        <v>19.18</v>
      </c>
      <c r="AD11" s="2">
        <f t="shared" si="0"/>
        <v>0.35000000000000142</v>
      </c>
      <c r="AE11" s="138">
        <f t="shared" si="1"/>
        <v>-1.4894709809963991E-2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42601</v>
      </c>
      <c r="X12" s="10">
        <v>19.170000000000002</v>
      </c>
      <c r="Y12" s="10">
        <v>19.64</v>
      </c>
      <c r="Z12" s="10">
        <v>18.97</v>
      </c>
      <c r="AA12" s="10">
        <v>19.47</v>
      </c>
      <c r="AB12" s="95">
        <v>2732400</v>
      </c>
      <c r="AC12" s="10">
        <v>19.47</v>
      </c>
      <c r="AD12" s="2">
        <f t="shared" si="0"/>
        <v>0.67000000000000171</v>
      </c>
      <c r="AE12" s="138">
        <f t="shared" si="1"/>
        <v>1.2480499219968744E-2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42600</v>
      </c>
      <c r="X13" s="10">
        <v>18.53</v>
      </c>
      <c r="Y13" s="10">
        <v>19.32</v>
      </c>
      <c r="Z13" s="10">
        <v>18.43</v>
      </c>
      <c r="AA13" s="10">
        <v>19.23</v>
      </c>
      <c r="AB13" s="95">
        <v>2836800</v>
      </c>
      <c r="AC13" s="10">
        <v>19.23</v>
      </c>
      <c r="AD13" s="2">
        <f t="shared" si="0"/>
        <v>0.89000000000000057</v>
      </c>
      <c r="AE13" s="138">
        <f t="shared" si="1"/>
        <v>4.0584415584415501E-2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42599</v>
      </c>
      <c r="X14" s="10">
        <v>18.75</v>
      </c>
      <c r="Y14" s="10">
        <v>18.87</v>
      </c>
      <c r="Z14" s="10">
        <v>18.47</v>
      </c>
      <c r="AA14" s="10">
        <v>18.48</v>
      </c>
      <c r="AB14" s="95">
        <v>1544700</v>
      </c>
      <c r="AC14" s="10">
        <v>18.48</v>
      </c>
      <c r="AD14" s="2">
        <f t="shared" si="0"/>
        <v>0.40000000000000213</v>
      </c>
      <c r="AE14" s="138">
        <f t="shared" si="1"/>
        <v>-1.5974440894568676E-2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42598</v>
      </c>
      <c r="X15" s="10">
        <v>18.87</v>
      </c>
      <c r="Y15" s="10">
        <v>19.03</v>
      </c>
      <c r="Z15" s="10">
        <v>18.66</v>
      </c>
      <c r="AA15" s="10">
        <v>18.78</v>
      </c>
      <c r="AB15" s="95">
        <v>2066800</v>
      </c>
      <c r="AC15" s="10">
        <v>18.78</v>
      </c>
      <c r="AD15" s="2">
        <f t="shared" si="0"/>
        <v>0.37000000000000099</v>
      </c>
      <c r="AE15" s="138">
        <f t="shared" si="1"/>
        <v>-5.8231868713605195E-3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42597</v>
      </c>
      <c r="X16" s="10">
        <v>19.05</v>
      </c>
      <c r="Y16" s="10">
        <v>19.53</v>
      </c>
      <c r="Z16" s="10">
        <v>18.82</v>
      </c>
      <c r="AA16" s="10">
        <v>18.89</v>
      </c>
      <c r="AB16" s="95">
        <v>3494400</v>
      </c>
      <c r="AC16" s="10">
        <v>18.89</v>
      </c>
      <c r="AD16" s="2">
        <f t="shared" si="0"/>
        <v>0.71000000000000085</v>
      </c>
      <c r="AE16" s="138">
        <f t="shared" si="1"/>
        <v>-3.1662269129286713E-3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42594</v>
      </c>
      <c r="X17" s="10">
        <v>18.309999999999999</v>
      </c>
      <c r="Y17" s="10">
        <v>19.2</v>
      </c>
      <c r="Z17" s="10">
        <v>18.260000000000002</v>
      </c>
      <c r="AA17" s="10">
        <v>18.95</v>
      </c>
      <c r="AB17" s="95">
        <v>4684100</v>
      </c>
      <c r="AC17" s="10">
        <v>18.95</v>
      </c>
      <c r="AD17" s="2">
        <f t="shared" si="0"/>
        <v>0.93999999999999773</v>
      </c>
      <c r="AE17" s="138">
        <f t="shared" si="1"/>
        <v>1.8269747447608786E-2</v>
      </c>
    </row>
    <row r="18" spans="1:31" x14ac:dyDescent="0.25">
      <c r="W18" s="133">
        <v>42593</v>
      </c>
      <c r="X18" s="10">
        <v>17.54</v>
      </c>
      <c r="Y18" s="10">
        <v>18.690000000000001</v>
      </c>
      <c r="Z18" s="10">
        <v>17.5</v>
      </c>
      <c r="AA18" s="10">
        <v>18.61</v>
      </c>
      <c r="AB18" s="95">
        <v>6094800</v>
      </c>
      <c r="AC18" s="10">
        <v>18.61</v>
      </c>
      <c r="AD18" s="2">
        <f t="shared" si="0"/>
        <v>1.1900000000000013</v>
      </c>
      <c r="AE18" s="138">
        <f t="shared" si="1"/>
        <v>8.2606166375799761E-2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42592</v>
      </c>
      <c r="X19" s="10">
        <v>17.41</v>
      </c>
      <c r="Y19" s="10">
        <v>17.61</v>
      </c>
      <c r="Z19" s="10">
        <v>17.100000000000001</v>
      </c>
      <c r="AA19" s="10">
        <v>17.190000000000001</v>
      </c>
      <c r="AB19" s="95">
        <v>2634300</v>
      </c>
      <c r="AC19" s="10">
        <v>17.190000000000001</v>
      </c>
      <c r="AD19" s="2">
        <f t="shared" si="0"/>
        <v>0.50999999999999801</v>
      </c>
      <c r="AE19" s="138">
        <f t="shared" si="1"/>
        <v>-6.9324090121315463E-3</v>
      </c>
    </row>
    <row r="20" spans="1:31" x14ac:dyDescent="0.25">
      <c r="W20" s="133">
        <v>42591</v>
      </c>
      <c r="X20" s="10">
        <v>17.260000000000002</v>
      </c>
      <c r="Y20" s="10">
        <v>17.59</v>
      </c>
      <c r="Z20" s="10">
        <v>16.86</v>
      </c>
      <c r="AA20" s="10">
        <v>17.309999999999999</v>
      </c>
      <c r="AB20" s="95">
        <v>3205500</v>
      </c>
      <c r="AC20" s="10">
        <v>17.309999999999999</v>
      </c>
      <c r="AD20" s="2">
        <f t="shared" si="0"/>
        <v>0.73000000000000043</v>
      </c>
      <c r="AE20" s="138">
        <f t="shared" si="1"/>
        <v>-8.5910652920963004E-3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133">
        <v>42590</v>
      </c>
      <c r="X21" s="10">
        <v>17.5</v>
      </c>
      <c r="Y21" s="10">
        <v>17.93</v>
      </c>
      <c r="Z21" s="10">
        <v>17.22</v>
      </c>
      <c r="AA21" s="10">
        <v>17.46</v>
      </c>
      <c r="AB21" s="95">
        <v>3147700</v>
      </c>
      <c r="AC21" s="10">
        <v>17.46</v>
      </c>
      <c r="AD21" s="2">
        <f t="shared" si="0"/>
        <v>0.71000000000000085</v>
      </c>
      <c r="AE21" s="138">
        <f t="shared" si="1"/>
        <v>-5.12820512820511E-3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42587</v>
      </c>
      <c r="X22" s="10">
        <v>17</v>
      </c>
      <c r="Y22" s="10">
        <v>17.68</v>
      </c>
      <c r="Z22" s="10">
        <v>16.95</v>
      </c>
      <c r="AA22" s="10">
        <v>17.55</v>
      </c>
      <c r="AB22" s="95">
        <v>5158200</v>
      </c>
      <c r="AC22" s="10">
        <v>17.55</v>
      </c>
      <c r="AD22" s="2">
        <f t="shared" si="0"/>
        <v>0.73000000000000043</v>
      </c>
      <c r="AE22" s="138">
        <f t="shared" si="1"/>
        <v>4.4642857142857206E-2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42586</v>
      </c>
      <c r="X23" s="10">
        <v>16.559999999999999</v>
      </c>
      <c r="Y23" s="10">
        <v>17.350000000000001</v>
      </c>
      <c r="Z23" s="10">
        <v>16.52</v>
      </c>
      <c r="AA23" s="10">
        <v>16.8</v>
      </c>
      <c r="AB23" s="95">
        <v>8193400</v>
      </c>
      <c r="AC23" s="10">
        <v>16.8</v>
      </c>
      <c r="AD23" s="2">
        <f t="shared" si="0"/>
        <v>0.83000000000000185</v>
      </c>
      <c r="AE23" s="138">
        <f t="shared" si="1"/>
        <v>2.0036429872495543E-2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42585</v>
      </c>
      <c r="X24" s="10">
        <v>20.14</v>
      </c>
      <c r="Y24" s="10">
        <v>20.14</v>
      </c>
      <c r="Z24" s="10">
        <v>15.66</v>
      </c>
      <c r="AA24" s="10">
        <v>16.47</v>
      </c>
      <c r="AB24" s="95">
        <v>26308900</v>
      </c>
      <c r="AC24" s="10">
        <v>16.47</v>
      </c>
      <c r="AD24" s="2">
        <f t="shared" si="0"/>
        <v>4.4800000000000004</v>
      </c>
      <c r="AE24" s="138">
        <f t="shared" si="1"/>
        <v>-0.18222442899702096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42584</v>
      </c>
      <c r="X25" s="10">
        <v>21.46</v>
      </c>
      <c r="Y25" s="10">
        <v>21.55</v>
      </c>
      <c r="Z25" s="10">
        <v>20.07</v>
      </c>
      <c r="AA25" s="10">
        <v>20.14</v>
      </c>
      <c r="AB25" s="95">
        <v>3886900</v>
      </c>
      <c r="AC25" s="10">
        <v>20.14</v>
      </c>
      <c r="AD25" s="2">
        <f t="shared" si="0"/>
        <v>1.4800000000000004</v>
      </c>
      <c r="AE25" s="138">
        <f t="shared" si="1"/>
        <v>-6.3255813953488338E-2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42583</v>
      </c>
      <c r="X26" s="10">
        <v>21.69</v>
      </c>
      <c r="Y26" s="10">
        <v>21.95</v>
      </c>
      <c r="Z26" s="10">
        <v>21.41</v>
      </c>
      <c r="AA26" s="10">
        <v>21.5</v>
      </c>
      <c r="AB26" s="95">
        <v>2348100</v>
      </c>
      <c r="AC26" s="10">
        <v>21.5</v>
      </c>
      <c r="AD26" s="2">
        <f t="shared" si="0"/>
        <v>0.53999999999999915</v>
      </c>
      <c r="AE26" s="138">
        <f t="shared" si="1"/>
        <v>-8.75979714153996E-3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42580</v>
      </c>
      <c r="X27" s="10">
        <v>21.69</v>
      </c>
      <c r="Y27" s="10">
        <v>21.89</v>
      </c>
      <c r="Z27" s="10">
        <v>21.36</v>
      </c>
      <c r="AA27" s="10">
        <v>21.69</v>
      </c>
      <c r="AB27" s="95">
        <v>1469000</v>
      </c>
      <c r="AC27" s="10">
        <v>21.69</v>
      </c>
      <c r="AD27" s="2">
        <f t="shared" si="0"/>
        <v>0.53000000000000114</v>
      </c>
      <c r="AE27" s="138">
        <f t="shared" si="1"/>
        <v>-6.8681318681318437E-3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42579</v>
      </c>
      <c r="X28" s="10">
        <v>21.63</v>
      </c>
      <c r="Y28" s="10">
        <v>21.95</v>
      </c>
      <c r="Z28" s="10">
        <v>21.41</v>
      </c>
      <c r="AA28" s="10">
        <v>21.84</v>
      </c>
      <c r="AB28" s="95">
        <v>2188100</v>
      </c>
      <c r="AC28" s="10">
        <v>21.84</v>
      </c>
      <c r="AD28" s="2">
        <f t="shared" si="0"/>
        <v>0.53999999999999915</v>
      </c>
      <c r="AE28" s="138">
        <f t="shared" si="1"/>
        <v>8.310249307479145E-3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42578</v>
      </c>
      <c r="X29" s="10">
        <v>21.78</v>
      </c>
      <c r="Y29" s="10">
        <v>21.79</v>
      </c>
      <c r="Z29" s="10">
        <v>21.24</v>
      </c>
      <c r="AA29" s="10">
        <v>21.66</v>
      </c>
      <c r="AB29" s="95">
        <v>3603700</v>
      </c>
      <c r="AC29" s="10">
        <v>21.66</v>
      </c>
      <c r="AD29" s="2">
        <f t="shared" si="0"/>
        <v>0.55000000000000071</v>
      </c>
      <c r="AE29" s="138">
        <f t="shared" si="1"/>
        <v>-4.1379310344827891E-3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42577</v>
      </c>
      <c r="X30" s="10">
        <v>21.59</v>
      </c>
      <c r="Y30" s="10">
        <v>21.88</v>
      </c>
      <c r="Z30" s="10">
        <v>21.44</v>
      </c>
      <c r="AA30" s="10">
        <v>21.75</v>
      </c>
      <c r="AB30" s="95">
        <v>1415200</v>
      </c>
      <c r="AC30" s="10">
        <v>21.75</v>
      </c>
      <c r="AD30" s="2">
        <f t="shared" si="0"/>
        <v>0.43999999999999773</v>
      </c>
      <c r="AE30" s="138">
        <f t="shared" si="1"/>
        <v>7.8776645041707116E-3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42576</v>
      </c>
      <c r="X31" s="10">
        <v>21.43</v>
      </c>
      <c r="Y31" s="10">
        <v>21.66</v>
      </c>
      <c r="Z31" s="10">
        <v>21.33</v>
      </c>
      <c r="AA31" s="10">
        <v>21.58</v>
      </c>
      <c r="AB31" s="95">
        <v>1127200</v>
      </c>
      <c r="AC31" s="10">
        <v>21.58</v>
      </c>
      <c r="AD31" s="2">
        <f t="shared" si="0"/>
        <v>0.33000000000000185</v>
      </c>
      <c r="AE31" s="138">
        <f t="shared" si="1"/>
        <v>4.6554934823090921E-3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42573</v>
      </c>
      <c r="X32" s="10">
        <v>21.22</v>
      </c>
      <c r="Y32" s="10">
        <v>21.55</v>
      </c>
      <c r="Z32" s="10">
        <v>20.89</v>
      </c>
      <c r="AA32" s="10">
        <v>21.48</v>
      </c>
      <c r="AB32" s="95">
        <v>987200</v>
      </c>
      <c r="AC32" s="10">
        <v>21.48</v>
      </c>
      <c r="AD32" s="2">
        <f t="shared" si="0"/>
        <v>0.66000000000000014</v>
      </c>
      <c r="AE32" s="138">
        <f t="shared" si="1"/>
        <v>1.0348071495766664E-2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42572</v>
      </c>
      <c r="X33" s="10">
        <v>21.54</v>
      </c>
      <c r="Y33" s="10">
        <v>21.75</v>
      </c>
      <c r="Z33" s="10">
        <v>21.2</v>
      </c>
      <c r="AA33" s="10">
        <v>21.26</v>
      </c>
      <c r="AB33" s="95">
        <v>1032100</v>
      </c>
      <c r="AC33" s="10">
        <v>21.26</v>
      </c>
      <c r="AD33" s="2">
        <f t="shared" si="0"/>
        <v>0.55000000000000071</v>
      </c>
      <c r="AE33" s="138">
        <f t="shared" si="1"/>
        <v>-1.29990714948931E-2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42571</v>
      </c>
      <c r="X34" s="10">
        <v>20.93</v>
      </c>
      <c r="Y34" s="10">
        <v>21.62</v>
      </c>
      <c r="Z34" s="10">
        <v>20.87</v>
      </c>
      <c r="AA34" s="10">
        <v>21.54</v>
      </c>
      <c r="AB34" s="95">
        <v>1587200</v>
      </c>
      <c r="AC34" s="10">
        <v>21.54</v>
      </c>
      <c r="AD34" s="2">
        <f t="shared" si="0"/>
        <v>0.75</v>
      </c>
      <c r="AE34" s="138">
        <f t="shared" si="1"/>
        <v>3.5079288803459896E-2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42570</v>
      </c>
      <c r="X35" s="10">
        <v>20.8</v>
      </c>
      <c r="Y35" s="10">
        <v>20.94</v>
      </c>
      <c r="Z35" s="10">
        <v>20.62</v>
      </c>
      <c r="AA35" s="10">
        <v>20.81</v>
      </c>
      <c r="AB35" s="95">
        <v>1221600</v>
      </c>
      <c r="AC35" s="10">
        <v>20.81</v>
      </c>
      <c r="AD35" s="2">
        <f t="shared" si="0"/>
        <v>0.32000000000000028</v>
      </c>
      <c r="AE35" s="138">
        <f t="shared" si="1"/>
        <v>-6.208213944603802E-3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42569</v>
      </c>
      <c r="X36" s="10">
        <v>21.47</v>
      </c>
      <c r="Y36" s="10">
        <v>21.47</v>
      </c>
      <c r="Z36" s="10">
        <v>20.89</v>
      </c>
      <c r="AA36" s="10">
        <v>20.94</v>
      </c>
      <c r="AB36" s="95">
        <v>1593500</v>
      </c>
      <c r="AC36" s="10">
        <v>20.94</v>
      </c>
      <c r="AD36" s="2">
        <f t="shared" si="0"/>
        <v>0.57999999999999829</v>
      </c>
      <c r="AE36" s="138">
        <f t="shared" si="1"/>
        <v>-5.6980056980056037E-3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42566</v>
      </c>
      <c r="X37" s="10">
        <v>21.11</v>
      </c>
      <c r="Y37" s="10">
        <v>21.34</v>
      </c>
      <c r="Z37" s="10">
        <v>20.9</v>
      </c>
      <c r="AA37" s="10">
        <v>21.06</v>
      </c>
      <c r="AB37" s="95">
        <v>3216100</v>
      </c>
      <c r="AC37" s="10">
        <v>21.06</v>
      </c>
      <c r="AD37" s="2">
        <f t="shared" si="0"/>
        <v>0.44000000000000128</v>
      </c>
      <c r="AE37" s="138">
        <f t="shared" si="1"/>
        <v>1.9029495718363432E-3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42565</v>
      </c>
      <c r="X38" s="10">
        <v>21.2</v>
      </c>
      <c r="Y38" s="10">
        <v>21.31</v>
      </c>
      <c r="Z38" s="10">
        <v>20.9</v>
      </c>
      <c r="AA38" s="10">
        <v>21.02</v>
      </c>
      <c r="AB38" s="95">
        <v>1176500</v>
      </c>
      <c r="AC38" s="10">
        <v>21.02</v>
      </c>
      <c r="AD38" s="2">
        <f t="shared" si="0"/>
        <v>0.41000000000000014</v>
      </c>
      <c r="AE38" s="138">
        <f t="shared" si="1"/>
        <v>1.4292520247738416E-3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42564</v>
      </c>
      <c r="X39" s="10">
        <v>21.75</v>
      </c>
      <c r="Y39" s="10">
        <v>21.77</v>
      </c>
      <c r="Z39" s="10">
        <v>20.79</v>
      </c>
      <c r="AA39" s="10">
        <v>20.99</v>
      </c>
      <c r="AB39" s="95">
        <v>1901200</v>
      </c>
      <c r="AC39" s="10">
        <v>20.99</v>
      </c>
      <c r="AD39" s="2">
        <f t="shared" si="0"/>
        <v>0.98000000000000043</v>
      </c>
      <c r="AE39" s="138">
        <f t="shared" si="1"/>
        <v>-2.7790643816581806E-2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42563</v>
      </c>
      <c r="X40" s="10">
        <v>21.74</v>
      </c>
      <c r="Y40" s="10">
        <v>22.1</v>
      </c>
      <c r="Z40" s="10">
        <v>21.58</v>
      </c>
      <c r="AA40" s="10">
        <v>21.59</v>
      </c>
      <c r="AB40" s="95">
        <v>3529300</v>
      </c>
      <c r="AC40" s="10">
        <v>21.59</v>
      </c>
      <c r="AD40" s="2">
        <f t="shared" si="0"/>
        <v>0.52000000000000313</v>
      </c>
      <c r="AE40" s="138">
        <f t="shared" si="1"/>
        <v>1.2189404594467934E-2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42562</v>
      </c>
      <c r="X41" s="10">
        <v>21.43</v>
      </c>
      <c r="Y41" s="10">
        <v>21.54</v>
      </c>
      <c r="Z41" s="10">
        <v>21.07</v>
      </c>
      <c r="AA41" s="10">
        <v>21.33</v>
      </c>
      <c r="AB41" s="95">
        <v>2269200</v>
      </c>
      <c r="AC41" s="10">
        <v>21.33</v>
      </c>
      <c r="AD41" s="2">
        <f t="shared" si="0"/>
        <v>0.46999999999999886</v>
      </c>
      <c r="AE41" s="138">
        <f t="shared" si="1"/>
        <v>-4.6663555762950226E-3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42559</v>
      </c>
      <c r="X42" s="10">
        <v>21</v>
      </c>
      <c r="Y42" s="10">
        <v>21.49</v>
      </c>
      <c r="Z42" s="10">
        <v>20.95</v>
      </c>
      <c r="AA42" s="10">
        <v>21.43</v>
      </c>
      <c r="AB42" s="95">
        <v>1504700</v>
      </c>
      <c r="AC42" s="10">
        <v>21.43</v>
      </c>
      <c r="AD42" s="2">
        <f t="shared" si="0"/>
        <v>0.53999999999999915</v>
      </c>
      <c r="AE42" s="138">
        <f t="shared" si="1"/>
        <v>3.4765813616610242E-2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18.86</v>
      </c>
      <c r="W43" s="133">
        <v>42558</v>
      </c>
      <c r="X43" s="10">
        <v>20.03</v>
      </c>
      <c r="Y43" s="10">
        <v>20.74</v>
      </c>
      <c r="Z43" s="10">
        <v>20.010000000000002</v>
      </c>
      <c r="AA43" s="10">
        <v>20.71</v>
      </c>
      <c r="AB43" s="95">
        <v>1718300</v>
      </c>
      <c r="AC43" s="10">
        <v>20.71</v>
      </c>
      <c r="AD43" s="2">
        <f t="shared" si="0"/>
        <v>0.72999999999999687</v>
      </c>
      <c r="AE43" s="138">
        <f t="shared" si="1"/>
        <v>3.2402791625124827E-2</v>
      </c>
    </row>
    <row r="44" spans="1:31" ht="20.25" thickBot="1" x14ac:dyDescent="0.35">
      <c r="O44" s="545" t="s">
        <v>78</v>
      </c>
      <c r="P44" s="545"/>
      <c r="T44" s="93" t="s">
        <v>99</v>
      </c>
      <c r="U44" s="88">
        <v>18.920000000000002</v>
      </c>
      <c r="W44" s="133">
        <v>42557</v>
      </c>
      <c r="X44" s="10">
        <v>19.809999999999999</v>
      </c>
      <c r="Y44" s="10">
        <v>20.09</v>
      </c>
      <c r="Z44" s="10">
        <v>19.57</v>
      </c>
      <c r="AA44" s="10">
        <v>20.059999999999999</v>
      </c>
      <c r="AB44" s="95">
        <v>2595000</v>
      </c>
      <c r="AC44" s="10">
        <v>20.059999999999999</v>
      </c>
      <c r="AD44" s="2">
        <f t="shared" si="0"/>
        <v>0.51999999999999957</v>
      </c>
      <c r="AE44" s="138">
        <f t="shared" si="1"/>
        <v>8.040201005025116E-3</v>
      </c>
    </row>
    <row r="45" spans="1:31" ht="15.75" thickTop="1" x14ac:dyDescent="0.25">
      <c r="L45" t="s">
        <v>223</v>
      </c>
      <c r="M45" s="2">
        <f>M64+K64-F64</f>
        <v>155.90000000000146</v>
      </c>
      <c r="O45" s="83">
        <v>1.1000000000000001</v>
      </c>
      <c r="P45" s="83">
        <f>O45*$Q$4</f>
        <v>20.724</v>
      </c>
      <c r="Q45" s="2"/>
      <c r="T45" s="93" t="s">
        <v>100</v>
      </c>
      <c r="U45" s="88" t="s">
        <v>422</v>
      </c>
      <c r="W45" s="133">
        <v>42556</v>
      </c>
      <c r="X45" s="10">
        <v>20.85</v>
      </c>
      <c r="Y45" s="10">
        <v>20.85</v>
      </c>
      <c r="Z45" s="10">
        <v>19.73</v>
      </c>
      <c r="AA45" s="10">
        <v>19.899999999999999</v>
      </c>
      <c r="AB45" s="95">
        <v>1651000</v>
      </c>
      <c r="AC45" s="10">
        <v>19.899999999999999</v>
      </c>
      <c r="AD45" s="2">
        <f t="shared" si="0"/>
        <v>1.120000000000001</v>
      </c>
      <c r="AE45" s="138">
        <f t="shared" si="1"/>
        <v>-5.4182509505703469E-2</v>
      </c>
    </row>
    <row r="46" spans="1:31" x14ac:dyDescent="0.25">
      <c r="A46" s="390" t="s">
        <v>1</v>
      </c>
      <c r="B46" s="390" t="s">
        <v>2</v>
      </c>
      <c r="C46" s="390" t="s">
        <v>4</v>
      </c>
      <c r="D46" s="392" t="s">
        <v>5</v>
      </c>
      <c r="E46" s="392" t="s">
        <v>94</v>
      </c>
      <c r="F46" s="392" t="s">
        <v>60</v>
      </c>
      <c r="G46" s="390" t="s">
        <v>3</v>
      </c>
      <c r="H46" s="390" t="s">
        <v>6</v>
      </c>
      <c r="I46" s="390" t="s">
        <v>7</v>
      </c>
      <c r="J46" s="390" t="s">
        <v>95</v>
      </c>
      <c r="K46" s="390" t="s">
        <v>61</v>
      </c>
      <c r="L46" s="390" t="s">
        <v>37</v>
      </c>
      <c r="M46" s="390" t="s">
        <v>38</v>
      </c>
      <c r="O46" s="83">
        <v>1.0900000000000001</v>
      </c>
      <c r="P46" s="83">
        <f t="shared" ref="P46:P65" si="5">O46*$Q$4</f>
        <v>20.535600000000002</v>
      </c>
      <c r="Q46" s="2"/>
      <c r="T46" s="93" t="s">
        <v>101</v>
      </c>
      <c r="U46" s="88" t="s">
        <v>423</v>
      </c>
      <c r="W46" s="133">
        <v>42552</v>
      </c>
      <c r="X46" s="10">
        <v>20.55</v>
      </c>
      <c r="Y46" s="10">
        <v>21.14</v>
      </c>
      <c r="Z46" s="10">
        <v>20.55</v>
      </c>
      <c r="AA46" s="10">
        <v>21.04</v>
      </c>
      <c r="AB46" s="95">
        <v>1770200</v>
      </c>
      <c r="AC46" s="10">
        <v>21.04</v>
      </c>
      <c r="AD46" s="2">
        <f t="shared" si="0"/>
        <v>0.58999999999999986</v>
      </c>
      <c r="AE46" s="138">
        <f t="shared" si="1"/>
        <v>2.0863658418243558E-2</v>
      </c>
    </row>
    <row r="47" spans="1:31" x14ac:dyDescent="0.25">
      <c r="A47" s="393" t="s">
        <v>15</v>
      </c>
      <c r="B47" s="383">
        <v>42153</v>
      </c>
      <c r="C47" s="384">
        <v>1</v>
      </c>
      <c r="D47" s="385">
        <v>26.75</v>
      </c>
      <c r="E47" s="385">
        <v>0</v>
      </c>
      <c r="F47" s="385">
        <f>C47*D47</f>
        <v>26.75</v>
      </c>
      <c r="G47" s="383">
        <v>42226</v>
      </c>
      <c r="H47" s="384">
        <v>170</v>
      </c>
      <c r="I47" s="384">
        <v>22.35</v>
      </c>
      <c r="J47" s="385">
        <v>7.0000000000000007E-2</v>
      </c>
      <c r="K47" s="384">
        <f t="shared" ref="K47:K54" si="6">H47*I47-J47</f>
        <v>3799.4300000000003</v>
      </c>
      <c r="L47" s="384" t="s">
        <v>80</v>
      </c>
      <c r="M47" s="384"/>
      <c r="O47" s="83">
        <v>1.08</v>
      </c>
      <c r="P47" s="83">
        <f t="shared" si="5"/>
        <v>20.347200000000001</v>
      </c>
      <c r="Q47" s="2"/>
      <c r="T47" s="93" t="s">
        <v>102</v>
      </c>
      <c r="U47" s="88">
        <v>21.67</v>
      </c>
      <c r="W47" s="133">
        <v>42551</v>
      </c>
      <c r="X47" s="10">
        <v>20.65</v>
      </c>
      <c r="Y47" s="10">
        <v>20.68</v>
      </c>
      <c r="Z47" s="10">
        <v>20.309999999999999</v>
      </c>
      <c r="AA47" s="10">
        <v>20.61</v>
      </c>
      <c r="AB47" s="95">
        <v>2411000</v>
      </c>
      <c r="AC47" s="10">
        <v>20.61</v>
      </c>
      <c r="AD47" s="2">
        <f t="shared" si="0"/>
        <v>0.37000000000000099</v>
      </c>
      <c r="AE47" s="138">
        <f t="shared" si="1"/>
        <v>-2.9027576197389049E-3</v>
      </c>
    </row>
    <row r="48" spans="1:31" x14ac:dyDescent="0.25">
      <c r="A48" s="394" t="s">
        <v>71</v>
      </c>
      <c r="B48" s="383">
        <v>42173</v>
      </c>
      <c r="C48" s="384">
        <v>19</v>
      </c>
      <c r="D48" s="385">
        <v>24.84</v>
      </c>
      <c r="E48" s="385">
        <v>0</v>
      </c>
      <c r="F48" s="385">
        <f t="shared" ref="F48:F61" si="7">C48*D48</f>
        <v>471.96</v>
      </c>
      <c r="G48" s="383">
        <v>42263</v>
      </c>
      <c r="H48" s="384">
        <v>120</v>
      </c>
      <c r="I48" s="384">
        <v>19.28</v>
      </c>
      <c r="J48" s="384">
        <v>0.04</v>
      </c>
      <c r="K48" s="384">
        <f t="shared" si="6"/>
        <v>2313.5600000000004</v>
      </c>
      <c r="L48" s="384"/>
      <c r="M48" s="384"/>
      <c r="O48" s="83">
        <v>1.07</v>
      </c>
      <c r="P48" s="83">
        <f t="shared" si="5"/>
        <v>20.158799999999999</v>
      </c>
      <c r="Q48" s="2"/>
      <c r="T48" s="93" t="s">
        <v>103</v>
      </c>
      <c r="U48" s="88">
        <v>1.4735</v>
      </c>
      <c r="W48" s="133">
        <v>42550</v>
      </c>
      <c r="X48" s="10">
        <v>20</v>
      </c>
      <c r="Y48" s="10">
        <v>20.77</v>
      </c>
      <c r="Z48" s="10">
        <v>19.940000000000001</v>
      </c>
      <c r="AA48" s="10">
        <v>20.67</v>
      </c>
      <c r="AB48" s="95">
        <v>2360600</v>
      </c>
      <c r="AC48" s="10">
        <v>20.67</v>
      </c>
      <c r="AD48" s="2">
        <f t="shared" si="0"/>
        <v>0.82999999999999829</v>
      </c>
      <c r="AE48" s="138">
        <f t="shared" si="1"/>
        <v>5.2980132450331174E-2</v>
      </c>
    </row>
    <row r="49" spans="1:31" x14ac:dyDescent="0.25">
      <c r="A49" s="384"/>
      <c r="B49" s="383">
        <v>42184</v>
      </c>
      <c r="C49" s="384">
        <v>10</v>
      </c>
      <c r="D49" s="385">
        <v>24.33</v>
      </c>
      <c r="E49" s="385">
        <v>0</v>
      </c>
      <c r="F49" s="385">
        <f t="shared" si="7"/>
        <v>243.29999999999998</v>
      </c>
      <c r="G49" s="383">
        <v>42284</v>
      </c>
      <c r="H49" s="384">
        <v>40</v>
      </c>
      <c r="I49" s="384">
        <v>20.45</v>
      </c>
      <c r="J49" s="384">
        <v>0.02</v>
      </c>
      <c r="K49" s="384">
        <f t="shared" si="6"/>
        <v>817.98</v>
      </c>
      <c r="L49" s="384"/>
      <c r="M49" s="384"/>
      <c r="O49" s="83">
        <v>1.06</v>
      </c>
      <c r="P49" s="83">
        <f t="shared" si="5"/>
        <v>19.970400000000001</v>
      </c>
      <c r="Q49" s="2"/>
      <c r="T49" s="93" t="s">
        <v>104</v>
      </c>
      <c r="U49" s="88" t="s">
        <v>332</v>
      </c>
      <c r="W49" s="133">
        <v>42549</v>
      </c>
      <c r="X49" s="10">
        <v>19.170000000000002</v>
      </c>
      <c r="Y49" s="10">
        <v>19.829999999999998</v>
      </c>
      <c r="Z49" s="10">
        <v>19.14</v>
      </c>
      <c r="AA49" s="10">
        <v>19.63</v>
      </c>
      <c r="AB49" s="95">
        <v>2317900</v>
      </c>
      <c r="AC49" s="10">
        <v>19.63</v>
      </c>
      <c r="AD49" s="2">
        <f t="shared" si="0"/>
        <v>0.68999999999999773</v>
      </c>
      <c r="AE49" s="138">
        <f t="shared" si="1"/>
        <v>4.1379310344827447E-2</v>
      </c>
    </row>
    <row r="50" spans="1:31" x14ac:dyDescent="0.25">
      <c r="A50" s="384"/>
      <c r="B50" s="383">
        <v>42185</v>
      </c>
      <c r="C50" s="384">
        <v>5</v>
      </c>
      <c r="D50" s="385">
        <v>23.82</v>
      </c>
      <c r="E50" s="385">
        <v>0</v>
      </c>
      <c r="F50" s="385">
        <f t="shared" si="7"/>
        <v>119.1</v>
      </c>
      <c r="G50" s="383">
        <v>42285</v>
      </c>
      <c r="H50" s="384">
        <v>80</v>
      </c>
      <c r="I50" s="385">
        <v>21.14</v>
      </c>
      <c r="J50" s="385">
        <v>0.03</v>
      </c>
      <c r="K50" s="384">
        <f t="shared" si="6"/>
        <v>1691.17</v>
      </c>
      <c r="L50" s="384"/>
      <c r="M50" s="384"/>
      <c r="O50" s="83">
        <v>1.05</v>
      </c>
      <c r="P50" s="83">
        <f t="shared" si="5"/>
        <v>19.782</v>
      </c>
      <c r="Q50" s="2"/>
      <c r="T50" s="93"/>
      <c r="U50" s="88"/>
      <c r="W50" s="133">
        <v>42548</v>
      </c>
      <c r="X50" s="10">
        <v>19.829999999999998</v>
      </c>
      <c r="Y50" s="10">
        <v>19.829999999999998</v>
      </c>
      <c r="Z50" s="10">
        <v>18.68</v>
      </c>
      <c r="AA50" s="10">
        <v>18.850000000000001</v>
      </c>
      <c r="AB50" s="95">
        <v>4803700</v>
      </c>
      <c r="AC50" s="10">
        <v>18.850000000000001</v>
      </c>
      <c r="AD50" s="2">
        <f t="shared" si="0"/>
        <v>1.1499999999999986</v>
      </c>
      <c r="AE50" s="138">
        <f t="shared" si="1"/>
        <v>-5.7971014492753659E-2</v>
      </c>
    </row>
    <row r="51" spans="1:31" x14ac:dyDescent="0.25">
      <c r="A51" s="384"/>
      <c r="B51" s="383">
        <v>42185</v>
      </c>
      <c r="C51" s="384">
        <v>15</v>
      </c>
      <c r="D51" s="385">
        <v>23.71</v>
      </c>
      <c r="E51" s="385">
        <v>0</v>
      </c>
      <c r="F51" s="385">
        <f t="shared" si="7"/>
        <v>355.65000000000003</v>
      </c>
      <c r="G51" s="383">
        <v>42010</v>
      </c>
      <c r="H51" s="384">
        <v>60</v>
      </c>
      <c r="I51" s="384">
        <v>17.760000000000002</v>
      </c>
      <c r="J51" s="384">
        <v>0.02</v>
      </c>
      <c r="K51" s="384">
        <f t="shared" si="6"/>
        <v>1065.5800000000002</v>
      </c>
      <c r="L51" s="384"/>
      <c r="M51" s="384"/>
      <c r="O51" s="83">
        <v>1.04</v>
      </c>
      <c r="P51" s="83">
        <f t="shared" si="5"/>
        <v>19.593600000000002</v>
      </c>
      <c r="Q51" s="2"/>
      <c r="T51" s="93" t="s">
        <v>105</v>
      </c>
      <c r="U51" s="88" t="s">
        <v>424</v>
      </c>
      <c r="W51" s="133">
        <v>42545</v>
      </c>
      <c r="X51" s="10">
        <v>20.34</v>
      </c>
      <c r="Y51" s="10">
        <v>20.58</v>
      </c>
      <c r="Z51" s="10">
        <v>19.809999999999999</v>
      </c>
      <c r="AA51" s="10">
        <v>20.010000000000002</v>
      </c>
      <c r="AB51" s="95">
        <v>2884600</v>
      </c>
      <c r="AC51" s="10">
        <v>20.010000000000002</v>
      </c>
      <c r="AD51" s="2">
        <f t="shared" si="0"/>
        <v>0.76999999999999957</v>
      </c>
      <c r="AE51" s="138">
        <f t="shared" si="1"/>
        <v>-6.7132867132867036E-2</v>
      </c>
    </row>
    <row r="52" spans="1:31" x14ac:dyDescent="0.25">
      <c r="A52" s="384"/>
      <c r="B52" s="383">
        <v>42185</v>
      </c>
      <c r="C52" s="384">
        <v>30</v>
      </c>
      <c r="D52" s="385">
        <v>23.65</v>
      </c>
      <c r="E52" s="385">
        <v>0</v>
      </c>
      <c r="F52" s="385">
        <f t="shared" si="7"/>
        <v>709.5</v>
      </c>
      <c r="G52" s="383">
        <v>42398</v>
      </c>
      <c r="H52" s="384">
        <v>60</v>
      </c>
      <c r="I52" s="384">
        <v>17.559999999999999</v>
      </c>
      <c r="J52" s="384">
        <v>0.02</v>
      </c>
      <c r="K52" s="384">
        <f t="shared" si="6"/>
        <v>1053.58</v>
      </c>
      <c r="L52" s="384"/>
      <c r="M52" s="384"/>
      <c r="O52" s="83">
        <v>1.03</v>
      </c>
      <c r="P52" s="83">
        <f t="shared" si="5"/>
        <v>19.405200000000001</v>
      </c>
      <c r="Q52" s="2"/>
      <c r="T52" s="93" t="s">
        <v>106</v>
      </c>
      <c r="U52" s="88" t="s">
        <v>235</v>
      </c>
      <c r="W52" s="133">
        <v>42544</v>
      </c>
      <c r="X52" s="10">
        <v>21.31</v>
      </c>
      <c r="Y52" s="10">
        <v>21.64</v>
      </c>
      <c r="Z52" s="10">
        <v>21.19</v>
      </c>
      <c r="AA52" s="10">
        <v>21.45</v>
      </c>
      <c r="AB52" s="95">
        <v>964200</v>
      </c>
      <c r="AC52" s="10">
        <v>21.45</v>
      </c>
      <c r="AD52" s="2">
        <f t="shared" si="0"/>
        <v>0.44999999999999929</v>
      </c>
      <c r="AE52" s="138">
        <f t="shared" si="1"/>
        <v>1.8035121025154144E-2</v>
      </c>
    </row>
    <row r="53" spans="1:31" x14ac:dyDescent="0.25">
      <c r="A53" s="384"/>
      <c r="B53" s="383">
        <v>42185</v>
      </c>
      <c r="C53" s="384">
        <v>40</v>
      </c>
      <c r="D53" s="385">
        <v>23.2</v>
      </c>
      <c r="E53" s="385">
        <v>0</v>
      </c>
      <c r="F53" s="385">
        <f t="shared" si="7"/>
        <v>928</v>
      </c>
      <c r="G53" s="383">
        <v>42416</v>
      </c>
      <c r="H53" s="384">
        <v>60</v>
      </c>
      <c r="I53" s="384">
        <v>16.82</v>
      </c>
      <c r="J53" s="384">
        <v>0.02</v>
      </c>
      <c r="K53" s="384">
        <f t="shared" si="6"/>
        <v>1009.1800000000001</v>
      </c>
      <c r="L53" s="384"/>
      <c r="M53" s="384"/>
      <c r="O53" s="83">
        <v>1.02</v>
      </c>
      <c r="P53" s="83">
        <f t="shared" si="5"/>
        <v>19.216799999999999</v>
      </c>
      <c r="Q53" s="2"/>
      <c r="T53" s="93" t="s">
        <v>107</v>
      </c>
      <c r="U53" s="90">
        <v>1728411</v>
      </c>
      <c r="W53" s="133">
        <v>42543</v>
      </c>
      <c r="X53" s="10">
        <v>21.39</v>
      </c>
      <c r="Y53" s="10">
        <v>21.65</v>
      </c>
      <c r="Z53" s="10">
        <v>21.06</v>
      </c>
      <c r="AA53" s="10">
        <v>21.07</v>
      </c>
      <c r="AB53" s="95">
        <v>972800</v>
      </c>
      <c r="AC53" s="10">
        <v>21.07</v>
      </c>
      <c r="AD53" s="2">
        <f t="shared" si="0"/>
        <v>0.58999999999999986</v>
      </c>
      <c r="AE53" s="138">
        <f t="shared" si="1"/>
        <v>-1.3576779026217234E-2</v>
      </c>
    </row>
    <row r="54" spans="1:31" x14ac:dyDescent="0.25">
      <c r="A54" s="384"/>
      <c r="B54" s="383">
        <v>42185</v>
      </c>
      <c r="C54" s="384">
        <v>50</v>
      </c>
      <c r="D54" s="385">
        <v>22.94</v>
      </c>
      <c r="E54" s="385">
        <v>0</v>
      </c>
      <c r="F54" s="385">
        <f t="shared" si="7"/>
        <v>1147</v>
      </c>
      <c r="G54" s="383">
        <v>42423</v>
      </c>
      <c r="H54" s="384">
        <v>60</v>
      </c>
      <c r="I54" s="384">
        <v>17.84</v>
      </c>
      <c r="J54" s="384">
        <v>0.02</v>
      </c>
      <c r="K54" s="384">
        <f t="shared" si="6"/>
        <v>1070.3800000000001</v>
      </c>
      <c r="L54" s="384"/>
      <c r="M54" s="384"/>
      <c r="O54" s="83">
        <v>1.01</v>
      </c>
      <c r="P54" s="83">
        <f t="shared" si="5"/>
        <v>19.028400000000001</v>
      </c>
      <c r="Q54" s="2"/>
      <c r="T54" s="93" t="s">
        <v>110</v>
      </c>
      <c r="U54" s="90">
        <v>2710580</v>
      </c>
      <c r="W54" s="133">
        <v>42542</v>
      </c>
      <c r="X54" s="10">
        <v>21.25</v>
      </c>
      <c r="Y54" s="10">
        <v>21.47</v>
      </c>
      <c r="Z54" s="10">
        <v>21.04</v>
      </c>
      <c r="AA54" s="10">
        <v>21.36</v>
      </c>
      <c r="AB54" s="95">
        <v>1353400</v>
      </c>
      <c r="AC54" s="10">
        <v>21.36</v>
      </c>
      <c r="AD54" s="2">
        <f t="shared" si="0"/>
        <v>0.42999999999999972</v>
      </c>
      <c r="AE54" s="138">
        <f t="shared" si="1"/>
        <v>8.9749645725081262E-3</v>
      </c>
    </row>
    <row r="55" spans="1:31" x14ac:dyDescent="0.25">
      <c r="A55" s="384"/>
      <c r="B55" s="383">
        <v>42209</v>
      </c>
      <c r="C55" s="384">
        <v>50</v>
      </c>
      <c r="D55" s="385">
        <v>19.75</v>
      </c>
      <c r="E55" s="385">
        <v>0</v>
      </c>
      <c r="F55" s="385">
        <f t="shared" si="7"/>
        <v>987.5</v>
      </c>
      <c r="G55" s="384"/>
      <c r="H55" s="384"/>
      <c r="I55" s="384"/>
      <c r="J55" s="384"/>
      <c r="K55" s="384"/>
      <c r="L55" s="384"/>
      <c r="M55" s="384"/>
      <c r="O55" s="83">
        <v>1</v>
      </c>
      <c r="P55" s="83">
        <f t="shared" si="5"/>
        <v>18.84</v>
      </c>
      <c r="Q55" s="2"/>
      <c r="T55" s="93" t="s">
        <v>108</v>
      </c>
      <c r="U55" s="88" t="s">
        <v>425</v>
      </c>
      <c r="W55" s="133">
        <v>42541</v>
      </c>
      <c r="X55" s="10">
        <v>21.12</v>
      </c>
      <c r="Y55" s="10">
        <v>21.53</v>
      </c>
      <c r="Z55" s="10">
        <v>20.96</v>
      </c>
      <c r="AA55" s="10">
        <v>21.17</v>
      </c>
      <c r="AB55" s="95">
        <v>1928500</v>
      </c>
      <c r="AC55" s="10">
        <v>21.17</v>
      </c>
      <c r="AD55" s="2">
        <f t="shared" si="0"/>
        <v>0.57000000000000028</v>
      </c>
      <c r="AE55" s="138">
        <f t="shared" si="1"/>
        <v>2.3199613339777603E-2</v>
      </c>
    </row>
    <row r="56" spans="1:31" x14ac:dyDescent="0.25">
      <c r="A56" s="384"/>
      <c r="B56" s="383">
        <v>42212</v>
      </c>
      <c r="C56" s="384">
        <v>30</v>
      </c>
      <c r="D56" s="385">
        <v>19.2</v>
      </c>
      <c r="E56" s="385">
        <v>0</v>
      </c>
      <c r="F56" s="385">
        <f t="shared" si="7"/>
        <v>576</v>
      </c>
      <c r="G56" s="384"/>
      <c r="H56" s="384"/>
      <c r="I56" s="384"/>
      <c r="J56" s="384"/>
      <c r="K56" s="384"/>
      <c r="L56" s="384"/>
      <c r="M56" s="384"/>
      <c r="O56" s="83">
        <v>0.99</v>
      </c>
      <c r="P56" s="83">
        <f t="shared" si="5"/>
        <v>18.651599999999998</v>
      </c>
      <c r="Q56" s="2"/>
      <c r="T56" s="93" t="s">
        <v>111</v>
      </c>
      <c r="U56" s="88">
        <v>23.93</v>
      </c>
      <c r="W56" s="133">
        <v>42538</v>
      </c>
      <c r="X56" s="10">
        <v>20.239999999999998</v>
      </c>
      <c r="Y56" s="10">
        <v>20.83</v>
      </c>
      <c r="Z56" s="10">
        <v>20</v>
      </c>
      <c r="AA56" s="10">
        <v>20.69</v>
      </c>
      <c r="AB56" s="95">
        <v>1715600</v>
      </c>
      <c r="AC56" s="10">
        <v>20.69</v>
      </c>
      <c r="AD56" s="2">
        <f t="shared" si="0"/>
        <v>0.82999999999999829</v>
      </c>
      <c r="AE56" s="138">
        <f t="shared" si="1"/>
        <v>2.6289682539682557E-2</v>
      </c>
    </row>
    <row r="57" spans="1:31" x14ac:dyDescent="0.25">
      <c r="A57" s="384"/>
      <c r="B57" s="383">
        <v>42240</v>
      </c>
      <c r="C57" s="384">
        <v>40</v>
      </c>
      <c r="D57" s="385">
        <v>19.93</v>
      </c>
      <c r="E57" s="385">
        <v>0</v>
      </c>
      <c r="F57" s="385">
        <f t="shared" si="7"/>
        <v>797.2</v>
      </c>
      <c r="G57" s="384"/>
      <c r="H57" s="384"/>
      <c r="I57" s="384"/>
      <c r="J57" s="384"/>
      <c r="K57" s="384"/>
      <c r="L57" s="384"/>
      <c r="M57" s="384"/>
      <c r="O57" s="83">
        <v>0.98</v>
      </c>
      <c r="P57" s="83">
        <f t="shared" si="5"/>
        <v>18.463200000000001</v>
      </c>
      <c r="Q57" s="2"/>
      <c r="T57" s="93" t="s">
        <v>112</v>
      </c>
      <c r="U57" s="88">
        <v>0.8</v>
      </c>
      <c r="W57" s="133">
        <v>42537</v>
      </c>
      <c r="X57" s="10">
        <v>20.09</v>
      </c>
      <c r="Y57" s="10">
        <v>20.28</v>
      </c>
      <c r="Z57" s="10">
        <v>19.43</v>
      </c>
      <c r="AA57" s="10">
        <v>20.16</v>
      </c>
      <c r="AB57" s="95">
        <v>2438300</v>
      </c>
      <c r="AC57" s="10">
        <v>20.16</v>
      </c>
      <c r="AD57" s="2">
        <f t="shared" si="0"/>
        <v>0.85000000000000142</v>
      </c>
      <c r="AE57" s="138">
        <f t="shared" si="1"/>
        <v>-5.4267390231869106E-3</v>
      </c>
    </row>
    <row r="58" spans="1:31" x14ac:dyDescent="0.25">
      <c r="A58" s="384"/>
      <c r="B58" s="383">
        <v>42261</v>
      </c>
      <c r="C58" s="384">
        <v>120</v>
      </c>
      <c r="D58" s="385">
        <v>18.7</v>
      </c>
      <c r="E58" s="385">
        <v>0</v>
      </c>
      <c r="F58" s="385">
        <f t="shared" si="7"/>
        <v>2244</v>
      </c>
      <c r="G58" s="384"/>
      <c r="H58" s="384"/>
      <c r="I58" s="384"/>
      <c r="J58" s="384"/>
      <c r="K58" s="384"/>
      <c r="L58" s="384"/>
      <c r="M58" s="384"/>
      <c r="O58" s="83">
        <v>0.97</v>
      </c>
      <c r="P58" s="83">
        <f t="shared" si="5"/>
        <v>18.274799999999999</v>
      </c>
      <c r="T58" s="93" t="s">
        <v>109</v>
      </c>
      <c r="U58" s="88" t="s">
        <v>124</v>
      </c>
      <c r="W58" s="133">
        <v>42536</v>
      </c>
      <c r="X58" s="10">
        <v>19.670000000000002</v>
      </c>
      <c r="Y58" s="10">
        <v>20.65</v>
      </c>
      <c r="Z58" s="10">
        <v>19.61</v>
      </c>
      <c r="AA58" s="10">
        <v>20.27</v>
      </c>
      <c r="AB58" s="95">
        <v>2661300</v>
      </c>
      <c r="AC58" s="10">
        <v>20.27</v>
      </c>
      <c r="AD58" s="2">
        <f t="shared" si="0"/>
        <v>1.0399999999999991</v>
      </c>
      <c r="AE58" s="138">
        <f t="shared" si="1"/>
        <v>3.6828644501278651E-2</v>
      </c>
    </row>
    <row r="59" spans="1:31" x14ac:dyDescent="0.25">
      <c r="A59" s="384"/>
      <c r="B59" s="383">
        <v>42349</v>
      </c>
      <c r="C59" s="384">
        <v>60</v>
      </c>
      <c r="D59" s="385">
        <v>18.04</v>
      </c>
      <c r="E59" s="385">
        <v>0</v>
      </c>
      <c r="F59" s="385">
        <f t="shared" si="7"/>
        <v>1082.3999999999999</v>
      </c>
      <c r="G59" s="384"/>
      <c r="H59" s="384"/>
      <c r="I59" s="384"/>
      <c r="J59" s="384"/>
      <c r="K59" s="384"/>
      <c r="L59" s="384"/>
      <c r="M59" s="384"/>
      <c r="O59" s="83">
        <v>0.96</v>
      </c>
      <c r="P59" s="83">
        <f t="shared" si="5"/>
        <v>18.086399999999998</v>
      </c>
      <c r="W59" s="133">
        <v>42535</v>
      </c>
      <c r="X59" s="10">
        <v>19.82</v>
      </c>
      <c r="Y59" s="10">
        <v>20.02</v>
      </c>
      <c r="Z59" s="10">
        <v>19.489999999999998</v>
      </c>
      <c r="AA59" s="10">
        <v>19.55</v>
      </c>
      <c r="AB59" s="95">
        <v>1391900</v>
      </c>
      <c r="AC59" s="10">
        <v>19.55</v>
      </c>
      <c r="AD59" s="2">
        <f t="shared" si="0"/>
        <v>0.53000000000000114</v>
      </c>
      <c r="AE59" s="138">
        <f t="shared" si="1"/>
        <v>-1.5609264853977733E-2</v>
      </c>
    </row>
    <row r="60" spans="1:31" x14ac:dyDescent="0.25">
      <c r="A60" s="384"/>
      <c r="B60" s="383">
        <v>42362</v>
      </c>
      <c r="C60" s="384">
        <v>120</v>
      </c>
      <c r="D60" s="385">
        <v>17.079999999999998</v>
      </c>
      <c r="E60" s="385">
        <v>0</v>
      </c>
      <c r="F60" s="385">
        <f t="shared" si="7"/>
        <v>2049.6</v>
      </c>
      <c r="G60" s="384"/>
      <c r="H60" s="384"/>
      <c r="I60" s="384"/>
      <c r="J60" s="384"/>
      <c r="K60" s="384"/>
      <c r="L60" s="384"/>
      <c r="M60" s="384"/>
      <c r="O60" s="83">
        <v>0.95</v>
      </c>
      <c r="P60" s="83">
        <f t="shared" si="5"/>
        <v>17.898</v>
      </c>
      <c r="W60" s="133">
        <v>42534</v>
      </c>
      <c r="X60" s="10">
        <v>20.149999999999999</v>
      </c>
      <c r="Y60" s="10">
        <v>20.420000000000002</v>
      </c>
      <c r="Z60" s="10">
        <v>19.86</v>
      </c>
      <c r="AA60" s="10">
        <v>19.86</v>
      </c>
      <c r="AB60" s="95">
        <v>1784600</v>
      </c>
      <c r="AC60" s="10">
        <v>19.86</v>
      </c>
      <c r="AD60" s="2">
        <f t="shared" si="0"/>
        <v>0.56000000000000227</v>
      </c>
      <c r="AE60" s="138">
        <f t="shared" si="1"/>
        <v>-2.1674876847290747E-2</v>
      </c>
    </row>
    <row r="61" spans="1:31" x14ac:dyDescent="0.25">
      <c r="A61" s="384"/>
      <c r="B61" s="383">
        <v>42409</v>
      </c>
      <c r="C61" s="384">
        <v>60</v>
      </c>
      <c r="D61" s="385">
        <v>15.45</v>
      </c>
      <c r="E61" s="385">
        <v>0</v>
      </c>
      <c r="F61" s="385">
        <f t="shared" si="7"/>
        <v>927</v>
      </c>
      <c r="G61" s="384"/>
      <c r="H61" s="384"/>
      <c r="I61" s="384"/>
      <c r="J61" s="384"/>
      <c r="K61" s="384"/>
      <c r="L61" s="384"/>
      <c r="M61" s="384"/>
      <c r="O61" s="83">
        <v>0.94</v>
      </c>
      <c r="P61" s="83">
        <f t="shared" si="5"/>
        <v>17.709599999999998</v>
      </c>
      <c r="W61" s="133">
        <v>42531</v>
      </c>
      <c r="X61" s="10">
        <v>21.18</v>
      </c>
      <c r="Y61" s="10">
        <v>21.19</v>
      </c>
      <c r="Z61" s="10">
        <v>20.18</v>
      </c>
      <c r="AA61" s="10">
        <v>20.3</v>
      </c>
      <c r="AB61" s="95">
        <v>2587600</v>
      </c>
      <c r="AC61" s="10">
        <v>20.3</v>
      </c>
      <c r="AD61" s="2">
        <f t="shared" si="0"/>
        <v>1.0100000000000016</v>
      </c>
      <c r="AE61" s="138">
        <f t="shared" si="1"/>
        <v>-5.2729818012132501E-2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4"/>
      <c r="I62" s="384"/>
      <c r="J62" s="384"/>
      <c r="K62" s="384"/>
      <c r="L62" s="384"/>
      <c r="M62" s="384"/>
      <c r="O62" s="83">
        <v>0.93</v>
      </c>
      <c r="P62" s="83">
        <f t="shared" si="5"/>
        <v>17.5212</v>
      </c>
      <c r="W62" s="133">
        <v>42530</v>
      </c>
      <c r="X62" s="10">
        <v>21.43</v>
      </c>
      <c r="Y62" s="10">
        <v>21.65</v>
      </c>
      <c r="Z62" s="10">
        <v>21.16</v>
      </c>
      <c r="AA62" s="10">
        <v>21.43</v>
      </c>
      <c r="AB62" s="95">
        <v>1722000</v>
      </c>
      <c r="AC62" s="10">
        <v>21.43</v>
      </c>
      <c r="AD62" s="2">
        <f t="shared" si="0"/>
        <v>0.48999999999999844</v>
      </c>
      <c r="AE62" s="138">
        <f t="shared" si="1"/>
        <v>-5.1067780872794399E-3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4"/>
      <c r="I63" s="384"/>
      <c r="J63" s="384"/>
      <c r="K63" s="384"/>
      <c r="L63" s="384"/>
      <c r="M63" s="384"/>
      <c r="O63" s="83">
        <v>0.92</v>
      </c>
      <c r="P63" s="83">
        <f t="shared" si="5"/>
        <v>17.332799999999999</v>
      </c>
      <c r="W63" s="133">
        <v>42529</v>
      </c>
      <c r="X63" s="10">
        <v>21.87</v>
      </c>
      <c r="Y63" s="10">
        <v>21.93</v>
      </c>
      <c r="Z63" s="10">
        <v>21.54</v>
      </c>
      <c r="AA63" s="10">
        <v>21.54</v>
      </c>
      <c r="AB63" s="95">
        <v>1432800</v>
      </c>
      <c r="AC63" s="10">
        <v>21.54</v>
      </c>
      <c r="AD63" s="2">
        <f t="shared" si="0"/>
        <v>0.39000000000000057</v>
      </c>
      <c r="AE63" s="138">
        <f t="shared" si="1"/>
        <v>-1.1019283746556585E-2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17.144400000000001</v>
      </c>
      <c r="W64" s="133">
        <v>42528</v>
      </c>
      <c r="X64" s="10">
        <v>21.13</v>
      </c>
      <c r="Y64" s="10">
        <v>21.99</v>
      </c>
      <c r="Z64" s="10">
        <v>21.02</v>
      </c>
      <c r="AA64" s="10">
        <v>21.78</v>
      </c>
      <c r="AB64" s="95">
        <v>1751900</v>
      </c>
      <c r="AC64" s="10">
        <v>21.78</v>
      </c>
      <c r="AD64" s="2">
        <f t="shared" si="0"/>
        <v>0.96999999999999886</v>
      </c>
      <c r="AE64" s="138">
        <f t="shared" si="1"/>
        <v>2.7358490566037785E-2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4"/>
      <c r="J65" s="384"/>
      <c r="K65" s="384"/>
      <c r="L65" s="384"/>
      <c r="M65" s="384"/>
      <c r="O65" s="83">
        <v>0.9</v>
      </c>
      <c r="P65" s="83">
        <f t="shared" si="5"/>
        <v>16.956</v>
      </c>
      <c r="W65" s="133">
        <v>42527</v>
      </c>
      <c r="X65" s="10">
        <v>21.25</v>
      </c>
      <c r="Y65" s="10">
        <v>21.6</v>
      </c>
      <c r="Z65" s="10">
        <v>21.03</v>
      </c>
      <c r="AA65" s="10">
        <v>21.2</v>
      </c>
      <c r="AB65" s="95">
        <v>3179600</v>
      </c>
      <c r="AC65" s="10">
        <v>21.2</v>
      </c>
      <c r="AD65" s="2">
        <f t="shared" si="0"/>
        <v>0.57000000000000028</v>
      </c>
      <c r="AE65" s="138">
        <f t="shared" si="1"/>
        <v>5.6925996204935103E-3</v>
      </c>
    </row>
    <row r="66" spans="1:31" x14ac:dyDescent="0.25">
      <c r="O66" s="34"/>
      <c r="W66" s="133">
        <v>42524</v>
      </c>
      <c r="X66" s="10">
        <v>21.44</v>
      </c>
      <c r="Y66" s="10">
        <v>21.48</v>
      </c>
      <c r="Z66" s="10">
        <v>20.84</v>
      </c>
      <c r="AA66" s="10">
        <v>21.08</v>
      </c>
      <c r="AB66" s="95">
        <v>5058200</v>
      </c>
      <c r="AC66" s="10">
        <v>21.08</v>
      </c>
      <c r="AD66" s="2">
        <f t="shared" si="0"/>
        <v>0.64000000000000057</v>
      </c>
      <c r="AE66" s="138">
        <f t="shared" si="1"/>
        <v>-2.5427646786870151E-2</v>
      </c>
    </row>
    <row r="67" spans="1:31" x14ac:dyDescent="0.25">
      <c r="W67" s="133">
        <v>42523</v>
      </c>
      <c r="X67" s="10">
        <v>22.47</v>
      </c>
      <c r="Y67" s="10">
        <v>22.94</v>
      </c>
      <c r="Z67" s="10">
        <v>20.87</v>
      </c>
      <c r="AA67" s="10">
        <v>21.63</v>
      </c>
      <c r="AB67" s="95">
        <v>8642600</v>
      </c>
      <c r="AC67" s="10">
        <v>21.63</v>
      </c>
      <c r="AD67" s="2">
        <f>Y67-Z67</f>
        <v>2.0700000000000003</v>
      </c>
      <c r="AE67" s="138" t="e">
        <f>AC67/AC68-1</f>
        <v>#DIV/0!</v>
      </c>
    </row>
    <row r="68" spans="1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314" priority="27">
      <formula>F27&gt;0</formula>
    </cfRule>
    <cfRule type="expression" dxfId="313" priority="28">
      <formula>F27&lt;0</formula>
    </cfRule>
  </conditionalFormatting>
  <conditionalFormatting sqref="F29:F33">
    <cfRule type="expression" dxfId="312" priority="23">
      <formula>F29&gt;0</formula>
    </cfRule>
    <cfRule type="expression" dxfId="311" priority="24">
      <formula>F29&lt;0</formula>
    </cfRule>
  </conditionalFormatting>
  <conditionalFormatting sqref="F29:F32">
    <cfRule type="expression" dxfId="310" priority="25">
      <formula>F29&gt;0</formula>
    </cfRule>
    <cfRule type="expression" dxfId="309" priority="26">
      <formula>F29&lt;0</formula>
    </cfRule>
  </conditionalFormatting>
  <conditionalFormatting sqref="H27:H33">
    <cfRule type="expression" dxfId="308" priority="21">
      <formula>H27&gt;0</formula>
    </cfRule>
    <cfRule type="expression" dxfId="307" priority="22">
      <formula>H27&lt;0</formula>
    </cfRule>
  </conditionalFormatting>
  <conditionalFormatting sqref="F34">
    <cfRule type="expression" dxfId="306" priority="19">
      <formula>F34&gt;0</formula>
    </cfRule>
    <cfRule type="expression" dxfId="305" priority="20">
      <formula>F34&lt;0</formula>
    </cfRule>
  </conditionalFormatting>
  <conditionalFormatting sqref="H34">
    <cfRule type="expression" dxfId="304" priority="17">
      <formula>H34&gt;0</formula>
    </cfRule>
    <cfRule type="expression" dxfId="303" priority="18">
      <formula>H34&lt;0</formula>
    </cfRule>
  </conditionalFormatting>
  <conditionalFormatting sqref="F36:F43">
    <cfRule type="expression" dxfId="302" priority="15">
      <formula>F36&gt;0</formula>
    </cfRule>
    <cfRule type="expression" dxfId="301" priority="16">
      <formula>F36&lt;0</formula>
    </cfRule>
  </conditionalFormatting>
  <conditionalFormatting sqref="H36:H43">
    <cfRule type="expression" dxfId="300" priority="13">
      <formula>H36&gt;0</formula>
    </cfRule>
    <cfRule type="expression" dxfId="299" priority="14">
      <formula>H36&lt;0</formula>
    </cfRule>
  </conditionalFormatting>
  <conditionalFormatting sqref="F35">
    <cfRule type="expression" dxfId="298" priority="11">
      <formula>F35&gt;0</formula>
    </cfRule>
    <cfRule type="expression" dxfId="297" priority="12">
      <formula>F35&lt;0</formula>
    </cfRule>
  </conditionalFormatting>
  <conditionalFormatting sqref="H35">
    <cfRule type="expression" dxfId="296" priority="9">
      <formula>H35&gt;0</formula>
    </cfRule>
    <cfRule type="expression" dxfId="295" priority="10">
      <formula>H35&lt;0</formula>
    </cfRule>
  </conditionalFormatting>
  <conditionalFormatting sqref="F22:F26">
    <cfRule type="expression" dxfId="294" priority="7">
      <formula>F22&gt;0</formula>
    </cfRule>
    <cfRule type="expression" dxfId="293" priority="8">
      <formula>F22&lt;0</formula>
    </cfRule>
  </conditionalFormatting>
  <conditionalFormatting sqref="H22:H26">
    <cfRule type="expression" dxfId="292" priority="5">
      <formula>H22&gt;0</formula>
    </cfRule>
    <cfRule type="expression" dxfId="291" priority="6">
      <formula>H22&lt;0</formula>
    </cfRule>
  </conditionalFormatting>
  <conditionalFormatting sqref="Q8">
    <cfRule type="expression" dxfId="290" priority="1">
      <formula>Q8&gt;0</formula>
    </cfRule>
    <cfRule type="expression" dxfId="289" priority="2">
      <formula>Q8&lt;0</formula>
    </cfRule>
  </conditionalFormatting>
  <conditionalFormatting sqref="Q7">
    <cfRule type="expression" dxfId="288" priority="3">
      <formula>Q7&gt;0</formula>
    </cfRule>
    <cfRule type="expression" dxfId="287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285156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1" x14ac:dyDescent="0.25">
      <c r="A2" s="6" t="s">
        <v>182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42615</v>
      </c>
      <c r="X2" s="10">
        <v>53.51</v>
      </c>
      <c r="Y2" s="10">
        <v>53.96</v>
      </c>
      <c r="Z2" s="10">
        <v>53.35</v>
      </c>
      <c r="AA2" s="10">
        <v>53.57</v>
      </c>
      <c r="AB2" s="95">
        <v>2258900</v>
      </c>
      <c r="AC2" s="10">
        <v>53.57</v>
      </c>
      <c r="AD2" s="2">
        <f>Y2-Z2</f>
        <v>0.60999999999999943</v>
      </c>
      <c r="AE2" s="138">
        <f>AC2/AC3-1</f>
        <v>6.5764750093950664E-3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54.04</v>
      </c>
      <c r="T3" s="1">
        <v>42312</v>
      </c>
      <c r="U3" t="s">
        <v>152</v>
      </c>
      <c r="W3" s="133">
        <v>42614</v>
      </c>
      <c r="X3" s="10">
        <v>52.84</v>
      </c>
      <c r="Y3" s="10">
        <v>53.25</v>
      </c>
      <c r="Z3" s="10">
        <v>52.45</v>
      </c>
      <c r="AA3" s="10">
        <v>53.22</v>
      </c>
      <c r="AB3" s="95">
        <v>2351800</v>
      </c>
      <c r="AC3" s="10">
        <v>53.22</v>
      </c>
      <c r="AD3" s="2">
        <f t="shared" ref="AD3:AD66" si="0">Y3-Z3</f>
        <v>0.79999999999999716</v>
      </c>
      <c r="AE3" s="138">
        <f t="shared" ref="AE3:AE66" si="1">AC3/AC4-1</f>
        <v>2.6375282592314697E-3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54.04</v>
      </c>
      <c r="W4" s="133">
        <v>42613</v>
      </c>
      <c r="X4" s="10">
        <v>53.42</v>
      </c>
      <c r="Y4" s="10">
        <v>53.58</v>
      </c>
      <c r="Z4" s="10">
        <v>52.84</v>
      </c>
      <c r="AA4" s="10">
        <v>53.08</v>
      </c>
      <c r="AB4" s="95">
        <v>4518700</v>
      </c>
      <c r="AC4" s="10">
        <v>53.08</v>
      </c>
      <c r="AD4" s="2">
        <f t="shared" si="0"/>
        <v>0.73999999999999488</v>
      </c>
      <c r="AE4" s="138">
        <f t="shared" si="1"/>
        <v>-8.7768440709616868E-3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42612</v>
      </c>
      <c r="X5" s="10">
        <v>53.84</v>
      </c>
      <c r="Y5" s="10">
        <v>53.97</v>
      </c>
      <c r="Z5" s="10">
        <v>53.44</v>
      </c>
      <c r="AA5" s="10">
        <v>53.55</v>
      </c>
      <c r="AB5" s="95">
        <v>1944200</v>
      </c>
      <c r="AC5" s="10">
        <v>53.55</v>
      </c>
      <c r="AD5" s="2">
        <f t="shared" si="0"/>
        <v>0.53000000000000114</v>
      </c>
      <c r="AE5" s="138">
        <f t="shared" si="1"/>
        <v>-6.6777963272119933E-3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42611</v>
      </c>
      <c r="X6" s="10">
        <v>53.67</v>
      </c>
      <c r="Y6" s="10">
        <v>54.2</v>
      </c>
      <c r="Z6" s="10">
        <v>53.58</v>
      </c>
      <c r="AA6" s="10">
        <v>53.91</v>
      </c>
      <c r="AB6" s="95">
        <v>1896500</v>
      </c>
      <c r="AC6" s="10">
        <v>53.91</v>
      </c>
      <c r="AD6" s="2">
        <f t="shared" si="0"/>
        <v>0.62000000000000455</v>
      </c>
      <c r="AE6" s="138" t="e">
        <f t="shared" si="1"/>
        <v>#DIV/0!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187</v>
      </c>
      <c r="Q7" s="2">
        <f>Q10+Q8</f>
        <v>75.019999999999982</v>
      </c>
      <c r="R7">
        <v>0</v>
      </c>
      <c r="W7" s="133">
        <v>42611</v>
      </c>
      <c r="X7" s="10" t="s">
        <v>186</v>
      </c>
      <c r="Y7" s="10"/>
      <c r="Z7" s="10"/>
      <c r="AA7" s="10"/>
      <c r="AB7" s="95"/>
      <c r="AC7" s="10"/>
      <c r="AD7" s="2">
        <f t="shared" si="0"/>
        <v>0</v>
      </c>
      <c r="AE7" s="138">
        <f t="shared" si="1"/>
        <v>-1</v>
      </c>
    </row>
    <row r="8" spans="1:41" x14ac:dyDescent="0.25">
      <c r="O8" s="11" t="s">
        <v>190</v>
      </c>
      <c r="P8" s="34"/>
      <c r="Q8" s="2">
        <f>K18+M18-F18+Q2*Q4</f>
        <v>0</v>
      </c>
      <c r="W8" s="133">
        <v>42608</v>
      </c>
      <c r="X8" s="10">
        <v>53.89</v>
      </c>
      <c r="Y8" s="10">
        <v>54.42</v>
      </c>
      <c r="Z8" s="10">
        <v>53.42</v>
      </c>
      <c r="AA8" s="10">
        <v>53.87</v>
      </c>
      <c r="AB8" s="95">
        <v>3835200</v>
      </c>
      <c r="AC8" s="10">
        <v>53.68</v>
      </c>
      <c r="AD8" s="2">
        <f t="shared" si="0"/>
        <v>1</v>
      </c>
      <c r="AE8" s="138">
        <f t="shared" si="1"/>
        <v>3.1769762661184586E-3</v>
      </c>
    </row>
    <row r="9" spans="1:41" x14ac:dyDescent="0.25">
      <c r="O9" s="11" t="s">
        <v>224</v>
      </c>
      <c r="Q9" s="138">
        <f>IF(Q2=0, 0, Q8/Q6)</f>
        <v>0</v>
      </c>
      <c r="W9" s="133">
        <v>42607</v>
      </c>
      <c r="X9" s="10">
        <v>53.54</v>
      </c>
      <c r="Y9" s="10">
        <v>53.74</v>
      </c>
      <c r="Z9" s="10">
        <v>53.26</v>
      </c>
      <c r="AA9" s="10">
        <v>53.7</v>
      </c>
      <c r="AB9" s="95">
        <v>3712000</v>
      </c>
      <c r="AC9" s="10">
        <v>53.51</v>
      </c>
      <c r="AD9" s="2">
        <f t="shared" si="0"/>
        <v>0.48000000000000398</v>
      </c>
      <c r="AE9" s="138">
        <f t="shared" si="1"/>
        <v>-2.6095060577819851E-3</v>
      </c>
    </row>
    <row r="10" spans="1:41" x14ac:dyDescent="0.25">
      <c r="O10" s="11" t="s">
        <v>223</v>
      </c>
      <c r="P10" s="34"/>
      <c r="Q10" s="2">
        <f>M36</f>
        <v>75.019999999999982</v>
      </c>
      <c r="W10" s="133">
        <v>42606</v>
      </c>
      <c r="X10" s="10">
        <v>54.19</v>
      </c>
      <c r="Y10" s="10">
        <v>54.53</v>
      </c>
      <c r="Z10" s="10">
        <v>53.53</v>
      </c>
      <c r="AA10" s="10">
        <v>53.84</v>
      </c>
      <c r="AB10" s="95">
        <v>2807700</v>
      </c>
      <c r="AC10" s="10">
        <v>53.65</v>
      </c>
      <c r="AD10" s="2">
        <f t="shared" si="0"/>
        <v>1</v>
      </c>
      <c r="AE10" s="138">
        <f t="shared" si="1"/>
        <v>-1.142435968306621E-2</v>
      </c>
    </row>
    <row r="11" spans="1:41" x14ac:dyDescent="0.25">
      <c r="O11" s="11" t="s">
        <v>184</v>
      </c>
      <c r="P11" s="34"/>
      <c r="Q11" s="138">
        <f>IF(U58="N/A (N/A)", 0, VALUE(TRIM(CLEAN(MID(U58, FIND("(", U58)+1, 5)))))</f>
        <v>1.4200000000000001E-2</v>
      </c>
      <c r="W11" s="133">
        <v>42605</v>
      </c>
      <c r="X11" s="10">
        <v>54.33</v>
      </c>
      <c r="Y11" s="10">
        <v>54.48</v>
      </c>
      <c r="Z11" s="10">
        <v>54.07</v>
      </c>
      <c r="AA11" s="10">
        <v>54.46</v>
      </c>
      <c r="AB11" s="95">
        <v>4026600</v>
      </c>
      <c r="AC11" s="10">
        <v>54.27</v>
      </c>
      <c r="AD11" s="2">
        <f t="shared" si="0"/>
        <v>0.40999999999999659</v>
      </c>
      <c r="AE11" s="138">
        <f t="shared" si="1"/>
        <v>1.1367871785315176E-2</v>
      </c>
    </row>
    <row r="12" spans="1:41" x14ac:dyDescent="0.25">
      <c r="W12" s="133">
        <v>42604</v>
      </c>
      <c r="X12" s="10">
        <v>53.72</v>
      </c>
      <c r="Y12" s="10">
        <v>53.87</v>
      </c>
      <c r="Z12" s="10">
        <v>53.43</v>
      </c>
      <c r="AA12" s="10">
        <v>53.85</v>
      </c>
      <c r="AB12" s="95">
        <v>2936600</v>
      </c>
      <c r="AC12" s="10">
        <v>53.66</v>
      </c>
      <c r="AD12" s="2">
        <f t="shared" si="0"/>
        <v>0.43999999999999773</v>
      </c>
      <c r="AE12" s="138">
        <f t="shared" si="1"/>
        <v>9.3266181682527538E-4</v>
      </c>
    </row>
    <row r="13" spans="1:41" x14ac:dyDescent="0.25">
      <c r="W13" s="133">
        <v>42601</v>
      </c>
      <c r="X13" s="10">
        <v>53.76</v>
      </c>
      <c r="Y13" s="10">
        <v>54.08</v>
      </c>
      <c r="Z13" s="10">
        <v>53.64</v>
      </c>
      <c r="AA13" s="10">
        <v>53.8</v>
      </c>
      <c r="AB13" s="95">
        <v>7010000</v>
      </c>
      <c r="AC13" s="10">
        <v>53.61</v>
      </c>
      <c r="AD13" s="2">
        <f t="shared" si="0"/>
        <v>0.43999999999999773</v>
      </c>
      <c r="AE13" s="138">
        <f t="shared" si="1"/>
        <v>-3.7167812674224754E-3</v>
      </c>
    </row>
    <row r="14" spans="1:41" x14ac:dyDescent="0.25">
      <c r="W14" s="133">
        <v>42600</v>
      </c>
      <c r="X14" s="10">
        <v>54.12</v>
      </c>
      <c r="Y14" s="10">
        <v>54.12</v>
      </c>
      <c r="Z14" s="10">
        <v>53.63</v>
      </c>
      <c r="AA14" s="10">
        <v>54</v>
      </c>
      <c r="AB14" s="95">
        <v>2784900</v>
      </c>
      <c r="AC14" s="10">
        <v>53.81</v>
      </c>
      <c r="AD14" s="2">
        <f t="shared" si="0"/>
        <v>0.48999999999999488</v>
      </c>
      <c r="AE14" s="138">
        <f t="shared" si="1"/>
        <v>9.3005952380953438E-4</v>
      </c>
    </row>
    <row r="15" spans="1:41" x14ac:dyDescent="0.25">
      <c r="W15" s="133">
        <v>42599</v>
      </c>
      <c r="X15" s="10">
        <v>54.34</v>
      </c>
      <c r="Y15" s="10">
        <v>54.54</v>
      </c>
      <c r="Z15" s="10">
        <v>53.62</v>
      </c>
      <c r="AA15" s="10">
        <v>53.95</v>
      </c>
      <c r="AB15" s="95">
        <v>3564100</v>
      </c>
      <c r="AC15" s="10">
        <v>53.76</v>
      </c>
      <c r="AD15" s="2">
        <f t="shared" si="0"/>
        <v>0.92000000000000171</v>
      </c>
      <c r="AE15" s="138">
        <f t="shared" si="1"/>
        <v>-8.1180811808119202E-3</v>
      </c>
    </row>
    <row r="16" spans="1:41" x14ac:dyDescent="0.25">
      <c r="W16" s="133">
        <v>42598</v>
      </c>
      <c r="X16" s="10">
        <v>54.87</v>
      </c>
      <c r="Y16" s="10">
        <v>54.95</v>
      </c>
      <c r="Z16" s="10">
        <v>54.14</v>
      </c>
      <c r="AA16" s="10">
        <v>54.39</v>
      </c>
      <c r="AB16" s="95">
        <v>2938300</v>
      </c>
      <c r="AC16" s="10">
        <v>54.2</v>
      </c>
      <c r="AD16" s="2">
        <f t="shared" si="0"/>
        <v>0.81000000000000227</v>
      </c>
      <c r="AE16" s="138">
        <f t="shared" si="1"/>
        <v>-9.1407678244972423E-3</v>
      </c>
    </row>
    <row r="17" spans="1:31" x14ac:dyDescent="0.25">
      <c r="W17" s="133">
        <v>42597</v>
      </c>
      <c r="X17" s="10">
        <v>55</v>
      </c>
      <c r="Y17" s="10">
        <v>55.45</v>
      </c>
      <c r="Z17" s="10">
        <v>54.82</v>
      </c>
      <c r="AA17" s="10">
        <v>54.89</v>
      </c>
      <c r="AB17" s="95">
        <v>3725600</v>
      </c>
      <c r="AC17" s="10">
        <v>54.7</v>
      </c>
      <c r="AD17" s="2">
        <f t="shared" si="0"/>
        <v>0.63000000000000256</v>
      </c>
      <c r="AE17" s="138">
        <f t="shared" si="1"/>
        <v>0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42594</v>
      </c>
      <c r="X18" s="10">
        <v>54.31</v>
      </c>
      <c r="Y18" s="10">
        <v>54.98</v>
      </c>
      <c r="Z18" s="10">
        <v>54.26</v>
      </c>
      <c r="AA18" s="10">
        <v>54.89</v>
      </c>
      <c r="AB18" s="95">
        <v>3167700</v>
      </c>
      <c r="AC18" s="10">
        <v>54.7</v>
      </c>
      <c r="AD18" s="2">
        <f t="shared" si="0"/>
        <v>0.71999999999999886</v>
      </c>
      <c r="AE18" s="138">
        <f t="shared" si="1"/>
        <v>7.7376565954310195E-3</v>
      </c>
    </row>
    <row r="19" spans="1:31" x14ac:dyDescent="0.25">
      <c r="G19" s="2"/>
      <c r="W19" s="133">
        <v>42593</v>
      </c>
      <c r="X19" s="10">
        <v>54.3</v>
      </c>
      <c r="Y19" s="10">
        <v>54.71</v>
      </c>
      <c r="Z19" s="10">
        <v>54.23</v>
      </c>
      <c r="AA19" s="10">
        <v>54.47</v>
      </c>
      <c r="AB19" s="95">
        <v>3393700</v>
      </c>
      <c r="AC19" s="10">
        <v>54.28</v>
      </c>
      <c r="AD19" s="2">
        <f t="shared" si="0"/>
        <v>0.48000000000000398</v>
      </c>
      <c r="AE19" s="138">
        <f t="shared" si="1"/>
        <v>5.1851851851851816E-3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W20" s="133">
        <v>42592</v>
      </c>
      <c r="X20" s="10">
        <v>54.32</v>
      </c>
      <c r="Y20" s="10">
        <v>54.56</v>
      </c>
      <c r="Z20" s="10">
        <v>53.97</v>
      </c>
      <c r="AA20" s="10">
        <v>54.19</v>
      </c>
      <c r="AB20" s="95">
        <v>1908300</v>
      </c>
      <c r="AC20" s="10">
        <v>54</v>
      </c>
      <c r="AD20" s="2">
        <f t="shared" si="0"/>
        <v>0.59000000000000341</v>
      </c>
      <c r="AE20" s="138">
        <f t="shared" si="1"/>
        <v>7.4128984432908496E-4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42591</v>
      </c>
      <c r="X21" s="10">
        <v>54.27</v>
      </c>
      <c r="Y21" s="10">
        <v>54.46</v>
      </c>
      <c r="Z21" s="10">
        <v>53.99</v>
      </c>
      <c r="AA21" s="10">
        <v>54.15</v>
      </c>
      <c r="AB21" s="95">
        <v>2586100</v>
      </c>
      <c r="AC21" s="10">
        <v>53.96</v>
      </c>
      <c r="AD21" s="2">
        <f t="shared" si="0"/>
        <v>0.46999999999999886</v>
      </c>
      <c r="AE21" s="138">
        <f t="shared" si="1"/>
        <v>-1.8528812303131303E-4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42590</v>
      </c>
      <c r="X22" s="10">
        <v>54.09</v>
      </c>
      <c r="Y22" s="10">
        <v>54.41</v>
      </c>
      <c r="Z22" s="10">
        <v>53.59</v>
      </c>
      <c r="AA22" s="10">
        <v>54.16</v>
      </c>
      <c r="AB22" s="95">
        <v>3780800</v>
      </c>
      <c r="AC22" s="10">
        <v>53.97</v>
      </c>
      <c r="AD22" s="2">
        <f t="shared" si="0"/>
        <v>0.81999999999999318</v>
      </c>
      <c r="AE22" s="138">
        <f t="shared" si="1"/>
        <v>7.6549663928304756E-3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42587</v>
      </c>
      <c r="X23" s="10">
        <v>53.43</v>
      </c>
      <c r="Y23" s="10">
        <v>53.99</v>
      </c>
      <c r="Z23" s="10">
        <v>53.31</v>
      </c>
      <c r="AA23" s="10">
        <v>53.75</v>
      </c>
      <c r="AB23" s="95">
        <v>3260900</v>
      </c>
      <c r="AC23" s="10">
        <v>53.56</v>
      </c>
      <c r="AD23" s="2">
        <f t="shared" si="0"/>
        <v>0.67999999999999972</v>
      </c>
      <c r="AE23" s="138">
        <f t="shared" si="1"/>
        <v>8.8528913166321388E-3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42586</v>
      </c>
      <c r="X24" s="10">
        <v>53.51</v>
      </c>
      <c r="Y24" s="10">
        <v>53.78</v>
      </c>
      <c r="Z24" s="10">
        <v>53.25</v>
      </c>
      <c r="AA24" s="10">
        <v>53.28</v>
      </c>
      <c r="AB24" s="95">
        <v>2537800</v>
      </c>
      <c r="AC24" s="10">
        <v>53.09</v>
      </c>
      <c r="AD24" s="2">
        <f t="shared" si="0"/>
        <v>0.53000000000000114</v>
      </c>
      <c r="AE24" s="138">
        <f t="shared" si="1"/>
        <v>-4.3135783945985606E-3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42585</v>
      </c>
      <c r="X25" s="10">
        <v>53.55</v>
      </c>
      <c r="Y25" s="10">
        <v>53.58</v>
      </c>
      <c r="Z25" s="10">
        <v>53.09</v>
      </c>
      <c r="AA25" s="10">
        <v>53.51</v>
      </c>
      <c r="AB25" s="95">
        <v>2780900</v>
      </c>
      <c r="AC25" s="10">
        <v>53.32</v>
      </c>
      <c r="AD25" s="2">
        <f t="shared" si="0"/>
        <v>0.48999999999999488</v>
      </c>
      <c r="AE25" s="138">
        <f t="shared" si="1"/>
        <v>-5.7803468208093012E-3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42584</v>
      </c>
      <c r="X26" s="10">
        <v>53.93</v>
      </c>
      <c r="Y26" s="10">
        <v>54.06</v>
      </c>
      <c r="Z26" s="10">
        <v>53.09</v>
      </c>
      <c r="AA26" s="10">
        <v>53.82</v>
      </c>
      <c r="AB26" s="95">
        <v>5514500</v>
      </c>
      <c r="AC26" s="10">
        <v>53.63</v>
      </c>
      <c r="AD26" s="2">
        <f t="shared" si="0"/>
        <v>0.96999999999999886</v>
      </c>
      <c r="AE26" s="138">
        <f t="shared" si="1"/>
        <v>-2.7891409445890414E-3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42583</v>
      </c>
      <c r="X27" s="10">
        <v>52.58</v>
      </c>
      <c r="Y27" s="10">
        <v>54.53</v>
      </c>
      <c r="Z27" s="10">
        <v>52.41</v>
      </c>
      <c r="AA27" s="10">
        <v>53.97</v>
      </c>
      <c r="AB27" s="95">
        <v>10461500</v>
      </c>
      <c r="AC27" s="10">
        <v>53.78</v>
      </c>
      <c r="AD27" s="2">
        <f t="shared" si="0"/>
        <v>2.1200000000000045</v>
      </c>
      <c r="AE27" s="138">
        <f t="shared" si="1"/>
        <v>2.8888463745934567E-2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42580</v>
      </c>
      <c r="X28" s="10">
        <v>51.82</v>
      </c>
      <c r="Y28" s="10">
        <v>53.75</v>
      </c>
      <c r="Z28" s="10">
        <v>51.82</v>
      </c>
      <c r="AA28" s="10">
        <v>52.46</v>
      </c>
      <c r="AB28" s="95">
        <v>11512700</v>
      </c>
      <c r="AC28" s="10">
        <v>52.27</v>
      </c>
      <c r="AD28" s="2">
        <f t="shared" si="0"/>
        <v>1.9299999999999997</v>
      </c>
      <c r="AE28" s="138">
        <f t="shared" si="1"/>
        <v>6.1966680211296365E-2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42579</v>
      </c>
      <c r="X29" s="10">
        <v>49.09</v>
      </c>
      <c r="Y29" s="10">
        <v>49.51</v>
      </c>
      <c r="Z29" s="10">
        <v>48.78</v>
      </c>
      <c r="AA29" s="10">
        <v>49.39</v>
      </c>
      <c r="AB29" s="95">
        <v>3742400</v>
      </c>
      <c r="AC29" s="10">
        <v>49.22</v>
      </c>
      <c r="AD29" s="2">
        <f t="shared" si="0"/>
        <v>0.72999999999999687</v>
      </c>
      <c r="AE29" s="138">
        <f t="shared" si="1"/>
        <v>4.6948356807510194E-3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42578</v>
      </c>
      <c r="X30" s="10">
        <v>49.58</v>
      </c>
      <c r="Y30" s="10">
        <v>49.93</v>
      </c>
      <c r="Z30" s="10">
        <v>48.99</v>
      </c>
      <c r="AA30" s="10">
        <v>49.16</v>
      </c>
      <c r="AB30" s="95">
        <v>3298700</v>
      </c>
      <c r="AC30" s="10">
        <v>48.99</v>
      </c>
      <c r="AD30" s="2">
        <f t="shared" si="0"/>
        <v>0.93999999999999773</v>
      </c>
      <c r="AE30" s="138">
        <f t="shared" si="1"/>
        <v>-8.0988054261995623E-3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192</v>
      </c>
      <c r="W31" s="133">
        <v>42577</v>
      </c>
      <c r="X31" s="10">
        <v>49.09</v>
      </c>
      <c r="Y31" s="10">
        <v>49.63</v>
      </c>
      <c r="Z31" s="10">
        <v>49.01</v>
      </c>
      <c r="AA31" s="10">
        <v>49.56</v>
      </c>
      <c r="AB31" s="95">
        <v>3131300</v>
      </c>
      <c r="AC31" s="10">
        <v>49.39</v>
      </c>
      <c r="AD31" s="2">
        <f t="shared" si="0"/>
        <v>0.62000000000000455</v>
      </c>
      <c r="AE31" s="138">
        <f t="shared" si="1"/>
        <v>1.209016393442619E-2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42576</v>
      </c>
      <c r="X32" s="10">
        <v>48.75</v>
      </c>
      <c r="Y32" s="10">
        <v>49</v>
      </c>
      <c r="Z32" s="10">
        <v>48.42</v>
      </c>
      <c r="AA32" s="10">
        <v>48.97</v>
      </c>
      <c r="AB32" s="95">
        <v>1879800</v>
      </c>
      <c r="AC32" s="10">
        <v>48.8</v>
      </c>
      <c r="AD32" s="2">
        <f t="shared" si="0"/>
        <v>0.57999999999999829</v>
      </c>
      <c r="AE32" s="138">
        <f t="shared" si="1"/>
        <v>-2.0487604998986608E-4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42573</v>
      </c>
      <c r="X33" s="10">
        <v>48.74</v>
      </c>
      <c r="Y33" s="10">
        <v>49.08</v>
      </c>
      <c r="Z33" s="10">
        <v>48.68</v>
      </c>
      <c r="AA33" s="10">
        <v>48.98</v>
      </c>
      <c r="AB33" s="95">
        <v>2673500</v>
      </c>
      <c r="AC33" s="10">
        <v>48.81</v>
      </c>
      <c r="AD33" s="2">
        <f t="shared" si="0"/>
        <v>0.39999999999999858</v>
      </c>
      <c r="AE33" s="138">
        <f t="shared" si="1"/>
        <v>7.4303405572755388E-3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42572</v>
      </c>
      <c r="X34" s="10">
        <v>48.71</v>
      </c>
      <c r="Y34" s="10">
        <v>48.83</v>
      </c>
      <c r="Z34" s="10">
        <v>48.45</v>
      </c>
      <c r="AA34" s="10">
        <v>48.62</v>
      </c>
      <c r="AB34" s="95">
        <v>2463600</v>
      </c>
      <c r="AC34" s="10">
        <v>48.45</v>
      </c>
      <c r="AD34" s="2">
        <f t="shared" si="0"/>
        <v>0.37999999999999545</v>
      </c>
      <c r="AE34" s="138">
        <f t="shared" si="1"/>
        <v>-4.3156596794080571E-3</v>
      </c>
    </row>
    <row r="35" spans="1:31" x14ac:dyDescent="0.25">
      <c r="W35" s="133">
        <v>42571</v>
      </c>
      <c r="X35" s="10">
        <v>48.24</v>
      </c>
      <c r="Y35" s="10">
        <v>48.89</v>
      </c>
      <c r="Z35" s="10">
        <v>48.07</v>
      </c>
      <c r="AA35" s="10">
        <v>48.83</v>
      </c>
      <c r="AB35" s="95">
        <v>2701700</v>
      </c>
      <c r="AC35" s="10">
        <v>48.66</v>
      </c>
      <c r="AD35" s="2">
        <f t="shared" si="0"/>
        <v>0.82000000000000028</v>
      </c>
      <c r="AE35" s="138">
        <f t="shared" si="1"/>
        <v>1.6503029036975203E-2</v>
      </c>
    </row>
    <row r="36" spans="1:31" x14ac:dyDescent="0.25">
      <c r="L36" t="s">
        <v>225</v>
      </c>
      <c r="M36" s="2">
        <f>M50+K50-F50</f>
        <v>75.019999999999982</v>
      </c>
      <c r="W36" s="133">
        <v>42570</v>
      </c>
      <c r="X36" s="10">
        <v>48.09</v>
      </c>
      <c r="Y36" s="10">
        <v>48.39</v>
      </c>
      <c r="Z36" s="10">
        <v>47.41</v>
      </c>
      <c r="AA36" s="10">
        <v>48.04</v>
      </c>
      <c r="AB36" s="95">
        <v>2349800</v>
      </c>
      <c r="AC36" s="10">
        <v>47.87</v>
      </c>
      <c r="AD36" s="2">
        <f t="shared" si="0"/>
        <v>0.98000000000000398</v>
      </c>
      <c r="AE36" s="138">
        <f t="shared" si="1"/>
        <v>-5.6086414624013647E-3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2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2" t="s">
        <v>7</v>
      </c>
      <c r="J37" s="392" t="s">
        <v>95</v>
      </c>
      <c r="K37" s="392" t="s">
        <v>61</v>
      </c>
      <c r="L37" s="390" t="s">
        <v>77</v>
      </c>
      <c r="M37" s="390" t="s">
        <v>38</v>
      </c>
      <c r="W37" s="133">
        <v>42569</v>
      </c>
      <c r="X37" s="10">
        <v>48.61</v>
      </c>
      <c r="Y37" s="10">
        <v>48.84</v>
      </c>
      <c r="Z37" s="10">
        <v>48.13</v>
      </c>
      <c r="AA37" s="10">
        <v>48.31</v>
      </c>
      <c r="AB37" s="95">
        <v>2853400</v>
      </c>
      <c r="AC37" s="10">
        <v>48.14</v>
      </c>
      <c r="AD37" s="2">
        <f t="shared" si="0"/>
        <v>0.71000000000000085</v>
      </c>
      <c r="AE37" s="138">
        <f t="shared" si="1"/>
        <v>-7.831821929101479E-3</v>
      </c>
    </row>
    <row r="38" spans="1:31" x14ac:dyDescent="0.25">
      <c r="A38" s="393" t="s">
        <v>182</v>
      </c>
      <c r="B38" s="383">
        <v>42376</v>
      </c>
      <c r="C38" s="384">
        <v>60</v>
      </c>
      <c r="D38" s="385">
        <v>41.01</v>
      </c>
      <c r="E38" s="385">
        <v>0</v>
      </c>
      <c r="F38" s="385">
        <f>C38*D38</f>
        <v>2460.6</v>
      </c>
      <c r="G38" s="383">
        <v>42426</v>
      </c>
      <c r="H38" s="388">
        <v>20</v>
      </c>
      <c r="I38" s="385">
        <v>38.450000000000003</v>
      </c>
      <c r="J38" s="385">
        <v>0.02</v>
      </c>
      <c r="K38" s="385">
        <f>H38*I38-J38</f>
        <v>768.98</v>
      </c>
      <c r="L38" s="383">
        <v>42444</v>
      </c>
      <c r="M38" s="385">
        <v>15.2</v>
      </c>
      <c r="W38" s="133">
        <v>42566</v>
      </c>
      <c r="X38" s="10">
        <v>48.8</v>
      </c>
      <c r="Y38" s="10">
        <v>48.96</v>
      </c>
      <c r="Z38" s="10">
        <v>48.55</v>
      </c>
      <c r="AA38" s="10">
        <v>48.69</v>
      </c>
      <c r="AB38" s="95">
        <v>2316100</v>
      </c>
      <c r="AC38" s="10">
        <v>48.52</v>
      </c>
      <c r="AD38" s="2">
        <f t="shared" si="0"/>
        <v>0.41000000000000369</v>
      </c>
      <c r="AE38" s="138">
        <f t="shared" si="1"/>
        <v>-6.1791967044266816E-4</v>
      </c>
    </row>
    <row r="39" spans="1:31" x14ac:dyDescent="0.25">
      <c r="A39" s="394" t="s">
        <v>71</v>
      </c>
      <c r="B39" s="383">
        <v>42403</v>
      </c>
      <c r="C39" s="384">
        <v>20</v>
      </c>
      <c r="D39" s="385">
        <v>35.5</v>
      </c>
      <c r="E39" s="385">
        <v>0</v>
      </c>
      <c r="F39" s="385">
        <f>C39*D39</f>
        <v>710</v>
      </c>
      <c r="G39" s="383">
        <v>42426</v>
      </c>
      <c r="H39" s="388">
        <v>30</v>
      </c>
      <c r="I39" s="385">
        <v>38.75</v>
      </c>
      <c r="J39" s="385">
        <v>0.03</v>
      </c>
      <c r="K39" s="385">
        <f>H39*I39-J39</f>
        <v>1162.47</v>
      </c>
      <c r="L39" s="384"/>
      <c r="M39" s="384"/>
      <c r="W39" s="133">
        <v>42565</v>
      </c>
      <c r="X39" s="10">
        <v>49.24</v>
      </c>
      <c r="Y39" s="10">
        <v>49.5</v>
      </c>
      <c r="Z39" s="10">
        <v>48.64</v>
      </c>
      <c r="AA39" s="10">
        <v>48.72</v>
      </c>
      <c r="AB39" s="95">
        <v>2921200</v>
      </c>
      <c r="AC39" s="10">
        <v>48.55</v>
      </c>
      <c r="AD39" s="2">
        <f t="shared" si="0"/>
        <v>0.85999999999999943</v>
      </c>
      <c r="AE39" s="138">
        <f t="shared" si="1"/>
        <v>-5.1229508196721785E-3</v>
      </c>
    </row>
    <row r="40" spans="1:31" x14ac:dyDescent="0.25">
      <c r="A40" s="384"/>
      <c r="B40" s="384"/>
      <c r="C40" s="384"/>
      <c r="D40" s="385"/>
      <c r="E40" s="385"/>
      <c r="F40" s="385"/>
      <c r="G40" s="383">
        <v>42447</v>
      </c>
      <c r="H40" s="388">
        <v>30</v>
      </c>
      <c r="I40" s="385">
        <v>43.3</v>
      </c>
      <c r="J40" s="385">
        <v>0.03</v>
      </c>
      <c r="K40" s="385">
        <f>H40*I40-J40</f>
        <v>1298.97</v>
      </c>
      <c r="L40" s="384"/>
      <c r="M40" s="384"/>
      <c r="W40" s="133">
        <v>42564</v>
      </c>
      <c r="X40" s="10">
        <v>49.29</v>
      </c>
      <c r="Y40" s="10">
        <v>49.41</v>
      </c>
      <c r="Z40" s="10">
        <v>48.61</v>
      </c>
      <c r="AA40" s="10">
        <v>48.97</v>
      </c>
      <c r="AB40" s="95">
        <v>2958700</v>
      </c>
      <c r="AC40" s="10">
        <v>48.8</v>
      </c>
      <c r="AD40" s="2">
        <f t="shared" si="0"/>
        <v>0.79999999999999716</v>
      </c>
      <c r="AE40" s="138">
        <f t="shared" si="1"/>
        <v>-6.514657980456029E-3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5"/>
      <c r="J41" s="385"/>
      <c r="K41" s="385"/>
      <c r="L41" s="384"/>
      <c r="M41" s="384"/>
      <c r="O41" s="34"/>
      <c r="R41" s="34"/>
      <c r="W41" s="133">
        <v>42563</v>
      </c>
      <c r="X41" s="10">
        <v>49.09</v>
      </c>
      <c r="Y41" s="10">
        <v>49.42</v>
      </c>
      <c r="Z41" s="10">
        <v>48.88</v>
      </c>
      <c r="AA41" s="10">
        <v>49.29</v>
      </c>
      <c r="AB41" s="95">
        <v>10751400</v>
      </c>
      <c r="AC41" s="10">
        <v>49.12</v>
      </c>
      <c r="AD41" s="2">
        <f t="shared" si="0"/>
        <v>0.53999999999999915</v>
      </c>
      <c r="AE41" s="138">
        <f t="shared" si="1"/>
        <v>1.4456836018174268E-2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5"/>
      <c r="J42" s="385"/>
      <c r="K42" s="385"/>
      <c r="L42" s="384"/>
      <c r="M42" s="384"/>
      <c r="O42" s="245" t="s">
        <v>78</v>
      </c>
      <c r="P42" s="245"/>
      <c r="Q42" s="34"/>
      <c r="R42" s="34"/>
      <c r="T42" s="91" t="s">
        <v>113</v>
      </c>
      <c r="W42" s="133">
        <v>42562</v>
      </c>
      <c r="X42" s="10">
        <v>48.93</v>
      </c>
      <c r="Y42" s="10">
        <v>49.33</v>
      </c>
      <c r="Z42" s="10">
        <v>48.56</v>
      </c>
      <c r="AA42" s="10">
        <v>48.59</v>
      </c>
      <c r="AB42" s="95">
        <v>5338500</v>
      </c>
      <c r="AC42" s="10">
        <v>48.42</v>
      </c>
      <c r="AD42" s="2">
        <f t="shared" si="0"/>
        <v>0.76999999999999602</v>
      </c>
      <c r="AE42" s="138">
        <f t="shared" si="1"/>
        <v>-5.5452865064694601E-3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5"/>
      <c r="J43" s="385"/>
      <c r="K43" s="385"/>
      <c r="L43" s="384"/>
      <c r="M43" s="384"/>
      <c r="O43" s="83">
        <v>1.1000000000000001</v>
      </c>
      <c r="P43" s="83">
        <f>O43*$Q$4</f>
        <v>59.444000000000003</v>
      </c>
      <c r="Q43" s="34"/>
      <c r="R43" s="34"/>
      <c r="T43" s="128" t="s">
        <v>98</v>
      </c>
      <c r="U43" s="98">
        <v>53.22</v>
      </c>
      <c r="W43" s="133">
        <v>42559</v>
      </c>
      <c r="X43" s="10">
        <v>48.52</v>
      </c>
      <c r="Y43" s="10">
        <v>49.2</v>
      </c>
      <c r="Z43" s="10">
        <v>48.43</v>
      </c>
      <c r="AA43" s="10">
        <v>48.86</v>
      </c>
      <c r="AB43" s="95">
        <v>3488200</v>
      </c>
      <c r="AC43" s="10">
        <v>48.69</v>
      </c>
      <c r="AD43" s="2">
        <f t="shared" si="0"/>
        <v>0.77000000000000313</v>
      </c>
      <c r="AE43" s="138">
        <f t="shared" si="1"/>
        <v>1.5644555694618312E-2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5"/>
      <c r="J44" s="385"/>
      <c r="K44" s="385"/>
      <c r="L44" s="384"/>
      <c r="M44" s="384"/>
      <c r="O44" s="83">
        <v>1.0900000000000001</v>
      </c>
      <c r="P44" s="83">
        <f t="shared" ref="P44:P63" si="5">O44*$Q$4</f>
        <v>58.903600000000004</v>
      </c>
      <c r="Q44" s="34"/>
      <c r="R44" s="34"/>
      <c r="T44" s="93" t="s">
        <v>99</v>
      </c>
      <c r="U44" s="88">
        <v>53.51</v>
      </c>
      <c r="W44" s="133">
        <v>42558</v>
      </c>
      <c r="X44" s="10">
        <v>48.19</v>
      </c>
      <c r="Y44" s="10">
        <v>48.62</v>
      </c>
      <c r="Z44" s="10">
        <v>47.68</v>
      </c>
      <c r="AA44" s="10">
        <v>48.11</v>
      </c>
      <c r="AB44" s="95">
        <v>2793300</v>
      </c>
      <c r="AC44" s="10">
        <v>47.94</v>
      </c>
      <c r="AD44" s="2">
        <f t="shared" si="0"/>
        <v>0.93999999999999773</v>
      </c>
      <c r="AE44" s="138">
        <f t="shared" si="1"/>
        <v>-1.2500000000000844E-3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5"/>
      <c r="J45" s="385"/>
      <c r="K45" s="385"/>
      <c r="L45" s="384"/>
      <c r="M45" s="384"/>
      <c r="O45" s="83">
        <v>1.08</v>
      </c>
      <c r="P45" s="83">
        <f t="shared" si="5"/>
        <v>58.363200000000006</v>
      </c>
      <c r="Q45" s="34"/>
      <c r="R45" s="34"/>
      <c r="T45" s="93" t="s">
        <v>100</v>
      </c>
      <c r="U45" s="88" t="s">
        <v>426</v>
      </c>
      <c r="W45" s="133">
        <v>42557</v>
      </c>
      <c r="X45" s="10">
        <v>47.76</v>
      </c>
      <c r="Y45" s="10">
        <v>48.2</v>
      </c>
      <c r="Z45" s="10">
        <v>47.07</v>
      </c>
      <c r="AA45" s="10">
        <v>48.17</v>
      </c>
      <c r="AB45" s="95">
        <v>5170100</v>
      </c>
      <c r="AC45" s="10">
        <v>48</v>
      </c>
      <c r="AD45" s="2">
        <f t="shared" si="0"/>
        <v>1.1300000000000026</v>
      </c>
      <c r="AE45" s="138">
        <f t="shared" si="1"/>
        <v>3.1347962382444194E-3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5"/>
      <c r="J46" s="385"/>
      <c r="K46" s="385"/>
      <c r="L46" s="384"/>
      <c r="M46" s="384"/>
      <c r="O46" s="83">
        <v>1.07</v>
      </c>
      <c r="P46" s="83">
        <f t="shared" si="5"/>
        <v>57.822800000000001</v>
      </c>
      <c r="Q46" s="83"/>
      <c r="R46" s="34"/>
      <c r="T46" s="93" t="s">
        <v>101</v>
      </c>
      <c r="U46" s="88" t="s">
        <v>427</v>
      </c>
      <c r="W46" s="133">
        <v>42556</v>
      </c>
      <c r="X46" s="10">
        <v>48.41</v>
      </c>
      <c r="Y46" s="10">
        <v>48.69</v>
      </c>
      <c r="Z46" s="10">
        <v>47.51</v>
      </c>
      <c r="AA46" s="10">
        <v>48.02</v>
      </c>
      <c r="AB46" s="95">
        <v>3022000</v>
      </c>
      <c r="AC46" s="10">
        <v>47.85</v>
      </c>
      <c r="AD46" s="2">
        <f t="shared" si="0"/>
        <v>1.1799999999999997</v>
      </c>
      <c r="AE46" s="138">
        <f t="shared" si="1"/>
        <v>-1.5634643077556021E-2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5"/>
      <c r="J47" s="385"/>
      <c r="K47" s="385"/>
      <c r="L47" s="384"/>
      <c r="M47" s="384"/>
      <c r="O47" s="83">
        <v>1.06</v>
      </c>
      <c r="P47" s="83">
        <f t="shared" si="5"/>
        <v>57.282400000000003</v>
      </c>
      <c r="Q47" s="83"/>
      <c r="R47" s="34"/>
      <c r="T47" s="93" t="s">
        <v>102</v>
      </c>
      <c r="U47" s="88">
        <v>59.57</v>
      </c>
      <c r="W47" s="133">
        <v>42552</v>
      </c>
      <c r="X47" s="10">
        <v>48.57</v>
      </c>
      <c r="Y47" s="10">
        <v>49.26</v>
      </c>
      <c r="Z47" s="10">
        <v>48.47</v>
      </c>
      <c r="AA47" s="10">
        <v>48.78</v>
      </c>
      <c r="AB47" s="95">
        <v>3187000</v>
      </c>
      <c r="AC47" s="10">
        <v>48.61</v>
      </c>
      <c r="AD47" s="2">
        <f t="shared" si="0"/>
        <v>0.78999999999999915</v>
      </c>
      <c r="AE47" s="138">
        <f t="shared" si="1"/>
        <v>4.3388429752067026E-3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5"/>
        <v>56.742000000000004</v>
      </c>
      <c r="Q48" s="83"/>
      <c r="R48" s="34"/>
      <c r="T48" s="93" t="s">
        <v>103</v>
      </c>
      <c r="U48" s="88">
        <v>1.21637</v>
      </c>
      <c r="W48" s="133">
        <v>42551</v>
      </c>
      <c r="X48" s="10">
        <v>47.88</v>
      </c>
      <c r="Y48" s="10">
        <v>48.7</v>
      </c>
      <c r="Z48" s="10">
        <v>47.6</v>
      </c>
      <c r="AA48" s="10">
        <v>48.57</v>
      </c>
      <c r="AB48" s="95">
        <v>4978000</v>
      </c>
      <c r="AC48" s="10">
        <v>48.4</v>
      </c>
      <c r="AD48" s="2">
        <f t="shared" si="0"/>
        <v>1.1000000000000014</v>
      </c>
      <c r="AE48" s="138">
        <f t="shared" si="1"/>
        <v>1.5313614432557188E-2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5"/>
        <v>56.201599999999999</v>
      </c>
      <c r="Q49" s="83"/>
      <c r="R49" s="34"/>
      <c r="T49" s="93" t="s">
        <v>123</v>
      </c>
      <c r="U49" s="88" t="s">
        <v>320</v>
      </c>
      <c r="W49" s="133">
        <v>42550</v>
      </c>
      <c r="X49" s="10">
        <v>47.53</v>
      </c>
      <c r="Y49" s="10">
        <v>48.19</v>
      </c>
      <c r="Z49" s="10">
        <v>47.53</v>
      </c>
      <c r="AA49" s="10">
        <v>47.84</v>
      </c>
      <c r="AB49" s="95">
        <v>4270600</v>
      </c>
      <c r="AC49" s="10">
        <v>47.67</v>
      </c>
      <c r="AD49" s="2">
        <f t="shared" si="0"/>
        <v>0.65999999999999659</v>
      </c>
      <c r="AE49" s="138">
        <f t="shared" si="1"/>
        <v>1.8807437486642486E-2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55.661200000000001</v>
      </c>
      <c r="Q50" s="83"/>
      <c r="R50" s="34"/>
      <c r="T50" s="93"/>
      <c r="U50" s="88"/>
      <c r="W50" s="133">
        <v>42549</v>
      </c>
      <c r="X50" s="10">
        <v>45.67</v>
      </c>
      <c r="Y50" s="10">
        <v>46.96</v>
      </c>
      <c r="Z50" s="10">
        <v>45.57</v>
      </c>
      <c r="AA50" s="10">
        <v>46.96</v>
      </c>
      <c r="AB50" s="95">
        <v>5266700</v>
      </c>
      <c r="AC50" s="10">
        <v>46.79</v>
      </c>
      <c r="AD50" s="2">
        <f t="shared" si="0"/>
        <v>1.3900000000000006</v>
      </c>
      <c r="AE50" s="138">
        <f t="shared" si="1"/>
        <v>4.1629563668744485E-2</v>
      </c>
    </row>
    <row r="51" spans="1:31" x14ac:dyDescent="0.25">
      <c r="G51" s="2"/>
      <c r="O51" s="83">
        <v>1.02</v>
      </c>
      <c r="P51" s="83">
        <f t="shared" si="5"/>
        <v>55.120800000000003</v>
      </c>
      <c r="Q51" s="83"/>
      <c r="R51" s="34"/>
      <c r="T51" s="93" t="s">
        <v>105</v>
      </c>
      <c r="U51" s="88" t="s">
        <v>428</v>
      </c>
      <c r="W51" s="133">
        <v>42548</v>
      </c>
      <c r="X51" s="10">
        <v>45.85</v>
      </c>
      <c r="Y51" s="10">
        <v>45.96</v>
      </c>
      <c r="Z51" s="10">
        <v>44.83</v>
      </c>
      <c r="AA51" s="10">
        <v>45.08</v>
      </c>
      <c r="AB51" s="95">
        <v>6297100</v>
      </c>
      <c r="AC51" s="10">
        <v>44.92</v>
      </c>
      <c r="AD51" s="2">
        <f t="shared" si="0"/>
        <v>1.1300000000000026</v>
      </c>
      <c r="AE51" s="138">
        <f t="shared" si="1"/>
        <v>-3.085221143473571E-2</v>
      </c>
    </row>
    <row r="52" spans="1:31" x14ac:dyDescent="0.25">
      <c r="O52" s="83">
        <v>1.01</v>
      </c>
      <c r="P52" s="83">
        <f t="shared" si="5"/>
        <v>54.580399999999997</v>
      </c>
      <c r="Q52" s="83"/>
      <c r="R52" s="34"/>
      <c r="T52" s="93" t="s">
        <v>106</v>
      </c>
      <c r="U52" s="88" t="s">
        <v>347</v>
      </c>
      <c r="W52" s="133">
        <v>42545</v>
      </c>
      <c r="X52" s="10">
        <v>47.1</v>
      </c>
      <c r="Y52" s="10">
        <v>48.16</v>
      </c>
      <c r="Z52" s="10">
        <v>46.27</v>
      </c>
      <c r="AA52" s="10">
        <v>46.51</v>
      </c>
      <c r="AB52" s="95">
        <v>8470500</v>
      </c>
      <c r="AC52" s="10">
        <v>46.35</v>
      </c>
      <c r="AD52" s="2">
        <f t="shared" si="0"/>
        <v>1.8899999999999935</v>
      </c>
      <c r="AE52" s="138">
        <f t="shared" si="1"/>
        <v>-5.9646987218502701E-2</v>
      </c>
    </row>
    <row r="53" spans="1:31" x14ac:dyDescent="0.25">
      <c r="O53" s="83">
        <v>1</v>
      </c>
      <c r="P53" s="83">
        <f t="shared" si="5"/>
        <v>54.04</v>
      </c>
      <c r="Q53" s="83"/>
      <c r="R53" s="34"/>
      <c r="T53" s="93" t="s">
        <v>107</v>
      </c>
      <c r="U53" s="90">
        <v>2260930</v>
      </c>
      <c r="W53" s="133">
        <v>42544</v>
      </c>
      <c r="X53" s="10">
        <v>49.02</v>
      </c>
      <c r="Y53" s="10">
        <v>49.49</v>
      </c>
      <c r="Z53" s="10">
        <v>48.99</v>
      </c>
      <c r="AA53" s="10">
        <v>49.46</v>
      </c>
      <c r="AB53" s="95">
        <v>3091700</v>
      </c>
      <c r="AC53" s="10">
        <v>49.29</v>
      </c>
      <c r="AD53" s="2">
        <f t="shared" si="0"/>
        <v>0.5</v>
      </c>
      <c r="AE53" s="138">
        <f t="shared" si="1"/>
        <v>1.8178062383805038E-2</v>
      </c>
    </row>
    <row r="54" spans="1:31" x14ac:dyDescent="0.25">
      <c r="O54" s="83">
        <v>0.99</v>
      </c>
      <c r="P54" s="83">
        <f t="shared" si="5"/>
        <v>53.499600000000001</v>
      </c>
      <c r="Q54" s="83"/>
      <c r="R54" s="34"/>
      <c r="T54" s="93" t="s">
        <v>110</v>
      </c>
      <c r="U54" s="90">
        <v>3969350</v>
      </c>
      <c r="W54" s="133">
        <v>42543</v>
      </c>
      <c r="X54" s="10">
        <v>48.51</v>
      </c>
      <c r="Y54" s="10">
        <v>49.06</v>
      </c>
      <c r="Z54" s="10">
        <v>48.43</v>
      </c>
      <c r="AA54" s="10">
        <v>48.58</v>
      </c>
      <c r="AB54" s="95">
        <v>3230600</v>
      </c>
      <c r="AC54" s="10">
        <v>48.41</v>
      </c>
      <c r="AD54" s="2">
        <f t="shared" si="0"/>
        <v>0.63000000000000256</v>
      </c>
      <c r="AE54" s="138">
        <f t="shared" si="1"/>
        <v>1.4480761274304754E-3</v>
      </c>
    </row>
    <row r="55" spans="1:31" x14ac:dyDescent="0.25">
      <c r="O55" s="83">
        <v>0.98</v>
      </c>
      <c r="P55" s="83">
        <f t="shared" si="5"/>
        <v>52.959199999999996</v>
      </c>
      <c r="Q55" s="83"/>
      <c r="T55" s="93" t="s">
        <v>108</v>
      </c>
      <c r="U55" s="88" t="s">
        <v>429</v>
      </c>
      <c r="W55" s="133">
        <v>42542</v>
      </c>
      <c r="X55" s="10">
        <v>48.88</v>
      </c>
      <c r="Y55" s="10">
        <v>48.96</v>
      </c>
      <c r="Z55" s="10">
        <v>48.23</v>
      </c>
      <c r="AA55" s="10">
        <v>48.51</v>
      </c>
      <c r="AB55" s="95">
        <v>3423100</v>
      </c>
      <c r="AC55" s="10">
        <v>48.34</v>
      </c>
      <c r="AD55" s="2">
        <f t="shared" si="0"/>
        <v>0.73000000000000398</v>
      </c>
      <c r="AE55" s="138">
        <f t="shared" si="1"/>
        <v>-2.0644095788603378E-3</v>
      </c>
    </row>
    <row r="56" spans="1:31" x14ac:dyDescent="0.25">
      <c r="O56" s="83">
        <v>0.97</v>
      </c>
      <c r="P56" s="83">
        <f t="shared" si="5"/>
        <v>52.418799999999997</v>
      </c>
      <c r="Q56" s="83"/>
      <c r="T56" s="93" t="s">
        <v>111</v>
      </c>
      <c r="U56" s="88">
        <v>51.96</v>
      </c>
      <c r="W56" s="133">
        <v>42541</v>
      </c>
      <c r="X56" s="10">
        <v>48.85</v>
      </c>
      <c r="Y56" s="10">
        <v>49.21</v>
      </c>
      <c r="Z56" s="10">
        <v>48.51</v>
      </c>
      <c r="AA56" s="10">
        <v>48.61</v>
      </c>
      <c r="AB56" s="95">
        <v>3318900</v>
      </c>
      <c r="AC56" s="10">
        <v>48.44</v>
      </c>
      <c r="AD56" s="2">
        <f t="shared" si="0"/>
        <v>0.70000000000000284</v>
      </c>
      <c r="AE56" s="138">
        <f t="shared" si="1"/>
        <v>4.9792531120331773E-3</v>
      </c>
    </row>
    <row r="57" spans="1:31" x14ac:dyDescent="0.25">
      <c r="O57" s="83">
        <v>0.96</v>
      </c>
      <c r="P57" s="83">
        <f t="shared" si="5"/>
        <v>51.878399999999999</v>
      </c>
      <c r="Q57" s="83"/>
      <c r="T57" s="93" t="s">
        <v>112</v>
      </c>
      <c r="U57" s="88">
        <v>1.03</v>
      </c>
      <c r="W57" s="133">
        <v>42538</v>
      </c>
      <c r="X57" s="10">
        <v>48.7</v>
      </c>
      <c r="Y57" s="10">
        <v>48.92</v>
      </c>
      <c r="Z57" s="10">
        <v>48.27</v>
      </c>
      <c r="AA57" s="10">
        <v>48.37</v>
      </c>
      <c r="AB57" s="95">
        <v>8023600</v>
      </c>
      <c r="AC57" s="10">
        <v>48.2</v>
      </c>
      <c r="AD57" s="2">
        <f t="shared" si="0"/>
        <v>0.64999999999999858</v>
      </c>
      <c r="AE57" s="138">
        <f t="shared" si="1"/>
        <v>-7.2090628218330899E-3</v>
      </c>
    </row>
    <row r="58" spans="1:31" x14ac:dyDescent="0.25">
      <c r="O58" s="83">
        <v>0.95</v>
      </c>
      <c r="P58" s="83">
        <f t="shared" si="5"/>
        <v>51.337999999999994</v>
      </c>
      <c r="Q58" s="83"/>
      <c r="T58" s="93" t="s">
        <v>109</v>
      </c>
      <c r="U58" s="88" t="s">
        <v>430</v>
      </c>
      <c r="W58" s="133">
        <v>42537</v>
      </c>
      <c r="X58" s="10">
        <v>48.26</v>
      </c>
      <c r="Y58" s="10">
        <v>48.78</v>
      </c>
      <c r="Z58" s="10">
        <v>47.89</v>
      </c>
      <c r="AA58" s="10">
        <v>48.72</v>
      </c>
      <c r="AB58" s="95">
        <v>3182300</v>
      </c>
      <c r="AC58" s="10">
        <v>48.55</v>
      </c>
      <c r="AD58" s="2">
        <f t="shared" si="0"/>
        <v>0.89000000000000057</v>
      </c>
      <c r="AE58" s="138">
        <f t="shared" si="1"/>
        <v>5.3841375025884819E-3</v>
      </c>
    </row>
    <row r="59" spans="1:31" x14ac:dyDescent="0.25">
      <c r="O59" s="83">
        <v>0.94</v>
      </c>
      <c r="P59" s="83">
        <f t="shared" si="5"/>
        <v>50.797599999999996</v>
      </c>
      <c r="Q59" s="83"/>
      <c r="W59" s="133">
        <v>42536</v>
      </c>
      <c r="X59" s="10">
        <v>48.31</v>
      </c>
      <c r="Y59" s="10">
        <v>49.08</v>
      </c>
      <c r="Z59" s="10">
        <v>47.95</v>
      </c>
      <c r="AA59" s="10">
        <v>48.46</v>
      </c>
      <c r="AB59" s="95">
        <v>3602300</v>
      </c>
      <c r="AC59" s="10">
        <v>48.29</v>
      </c>
      <c r="AD59" s="2">
        <f t="shared" si="0"/>
        <v>1.1299999999999955</v>
      </c>
      <c r="AE59" s="138">
        <f t="shared" si="1"/>
        <v>8.3524744205469847E-3</v>
      </c>
    </row>
    <row r="60" spans="1:31" x14ac:dyDescent="0.25">
      <c r="O60" s="83">
        <v>0.93</v>
      </c>
      <c r="P60" s="83">
        <f t="shared" si="5"/>
        <v>50.257200000000005</v>
      </c>
      <c r="Q60" s="83"/>
      <c r="W60" s="133">
        <v>42535</v>
      </c>
      <c r="X60" s="10">
        <v>47.61</v>
      </c>
      <c r="Y60" s="10">
        <v>48.12</v>
      </c>
      <c r="Z60" s="10">
        <v>47.36</v>
      </c>
      <c r="AA60" s="10">
        <v>48.06</v>
      </c>
      <c r="AB60" s="95">
        <v>3589300</v>
      </c>
      <c r="AC60" s="10">
        <v>47.89</v>
      </c>
      <c r="AD60" s="2">
        <f t="shared" si="0"/>
        <v>0.75999999999999801</v>
      </c>
      <c r="AE60" s="138">
        <f t="shared" si="1"/>
        <v>6.9386038687972995E-3</v>
      </c>
    </row>
    <row r="61" spans="1:31" x14ac:dyDescent="0.25">
      <c r="O61" s="83">
        <v>0.92</v>
      </c>
      <c r="P61" s="83">
        <f t="shared" si="5"/>
        <v>49.716799999999999</v>
      </c>
      <c r="Q61" s="83"/>
      <c r="W61" s="133">
        <v>42534</v>
      </c>
      <c r="X61" s="10">
        <v>47.72</v>
      </c>
      <c r="Y61" s="10">
        <v>48.03</v>
      </c>
      <c r="Z61" s="10">
        <v>47.47</v>
      </c>
      <c r="AA61" s="10">
        <v>47.73</v>
      </c>
      <c r="AB61" s="95">
        <v>3772000</v>
      </c>
      <c r="AC61" s="10">
        <v>47.56</v>
      </c>
      <c r="AD61" s="2">
        <f t="shared" si="0"/>
        <v>0.56000000000000227</v>
      </c>
      <c r="AE61" s="138">
        <f t="shared" si="1"/>
        <v>-4.6044370029301174E-3</v>
      </c>
    </row>
    <row r="62" spans="1:31" x14ac:dyDescent="0.25">
      <c r="O62" s="83">
        <v>0.91</v>
      </c>
      <c r="P62" s="83">
        <f t="shared" si="5"/>
        <v>49.176400000000001</v>
      </c>
      <c r="Q62" s="83"/>
      <c r="W62" s="133">
        <v>42531</v>
      </c>
      <c r="X62" s="10">
        <v>48.59</v>
      </c>
      <c r="Y62" s="10">
        <v>48.67</v>
      </c>
      <c r="Z62" s="10">
        <v>47.94</v>
      </c>
      <c r="AA62" s="10">
        <v>47.95</v>
      </c>
      <c r="AB62" s="95">
        <v>4735000</v>
      </c>
      <c r="AC62" s="10">
        <v>47.78</v>
      </c>
      <c r="AD62" s="2">
        <f t="shared" si="0"/>
        <v>0.73000000000000398</v>
      </c>
      <c r="AE62" s="138">
        <f t="shared" si="1"/>
        <v>-2.0700963312154097E-2</v>
      </c>
    </row>
    <row r="63" spans="1:31" x14ac:dyDescent="0.25">
      <c r="O63" s="83">
        <v>0.9</v>
      </c>
      <c r="P63" s="83">
        <f t="shared" si="5"/>
        <v>48.636000000000003</v>
      </c>
      <c r="Q63" s="83"/>
      <c r="W63" s="133">
        <v>42530</v>
      </c>
      <c r="X63" s="10">
        <v>48.65</v>
      </c>
      <c r="Y63" s="10">
        <v>49.03</v>
      </c>
      <c r="Z63" s="10">
        <v>48.44</v>
      </c>
      <c r="AA63" s="10">
        <v>48.96</v>
      </c>
      <c r="AB63" s="95">
        <v>2569300</v>
      </c>
      <c r="AC63" s="10">
        <v>48.79</v>
      </c>
      <c r="AD63" s="2">
        <f t="shared" si="0"/>
        <v>0.59000000000000341</v>
      </c>
      <c r="AE63" s="138">
        <f t="shared" si="1"/>
        <v>-4.0975209997962114E-4</v>
      </c>
    </row>
    <row r="64" spans="1:31" x14ac:dyDescent="0.25">
      <c r="O64" s="34"/>
      <c r="W64" s="133">
        <v>42529</v>
      </c>
      <c r="X64" s="10">
        <v>49.04</v>
      </c>
      <c r="Y64" s="10">
        <v>49.46</v>
      </c>
      <c r="Z64" s="10">
        <v>48.77</v>
      </c>
      <c r="AA64" s="10">
        <v>48.98</v>
      </c>
      <c r="AB64" s="95">
        <v>3460500</v>
      </c>
      <c r="AC64" s="10">
        <v>48.81</v>
      </c>
      <c r="AD64" s="2">
        <f t="shared" si="0"/>
        <v>0.68999999999999773</v>
      </c>
      <c r="AE64" s="138">
        <f t="shared" si="1"/>
        <v>2.4645717806532907E-3</v>
      </c>
    </row>
    <row r="65" spans="15:31" x14ac:dyDescent="0.25">
      <c r="W65" s="133">
        <v>42528</v>
      </c>
      <c r="X65" s="10">
        <v>48.21</v>
      </c>
      <c r="Y65" s="10">
        <v>49.2</v>
      </c>
      <c r="Z65" s="10">
        <v>48.21</v>
      </c>
      <c r="AA65" s="10">
        <v>48.86</v>
      </c>
      <c r="AB65" s="95">
        <v>4169900</v>
      </c>
      <c r="AC65" s="10">
        <v>48.69</v>
      </c>
      <c r="AD65" s="2">
        <f t="shared" si="0"/>
        <v>0.99000000000000199</v>
      </c>
      <c r="AE65" s="138">
        <f t="shared" si="1"/>
        <v>1.6704948841094192E-2</v>
      </c>
    </row>
    <row r="66" spans="15:31" x14ac:dyDescent="0.25">
      <c r="W66" s="133">
        <v>42527</v>
      </c>
      <c r="X66" s="10">
        <v>48.01</v>
      </c>
      <c r="Y66" s="10">
        <v>48.16</v>
      </c>
      <c r="Z66" s="10">
        <v>47.87</v>
      </c>
      <c r="AA66" s="10">
        <v>48.06</v>
      </c>
      <c r="AB66" s="95">
        <v>5026600</v>
      </c>
      <c r="AC66" s="10">
        <v>47.89</v>
      </c>
      <c r="AD66" s="2">
        <f t="shared" si="0"/>
        <v>0.28999999999999915</v>
      </c>
      <c r="AE66" s="138">
        <f t="shared" si="1"/>
        <v>2.0924879681942787E-3</v>
      </c>
    </row>
    <row r="67" spans="15:31" x14ac:dyDescent="0.25">
      <c r="W67" s="133">
        <v>42524</v>
      </c>
      <c r="X67" s="10">
        <v>47.88</v>
      </c>
      <c r="Y67" s="10">
        <v>48.01</v>
      </c>
      <c r="Z67" s="10">
        <v>46.95</v>
      </c>
      <c r="AA67" s="10">
        <v>47.96</v>
      </c>
      <c r="AB67" s="95">
        <v>3564600</v>
      </c>
      <c r="AC67" s="10">
        <v>47.79</v>
      </c>
      <c r="AD67" s="2">
        <f>Y67-Z67</f>
        <v>1.0599999999999952</v>
      </c>
      <c r="AE67" s="138">
        <f>AC67/AC68-1</f>
        <v>-8.362952122098477E-4</v>
      </c>
    </row>
    <row r="68" spans="15:31" x14ac:dyDescent="0.25">
      <c r="W68" s="133">
        <v>42523</v>
      </c>
      <c r="X68" s="10">
        <v>47.9</v>
      </c>
      <c r="Y68" s="10">
        <v>48</v>
      </c>
      <c r="Z68" s="10">
        <v>47.58</v>
      </c>
      <c r="AA68" s="10">
        <v>48</v>
      </c>
      <c r="AB68" s="95">
        <v>2843400</v>
      </c>
      <c r="AC68" s="10">
        <v>47.83</v>
      </c>
      <c r="AD68" s="2">
        <f>Y68-Z68</f>
        <v>0.42000000000000171</v>
      </c>
      <c r="AE68" s="138" t="e">
        <f>AC68/AC69-1</f>
        <v>#DIV/0!</v>
      </c>
    </row>
    <row r="69" spans="15:31" x14ac:dyDescent="0.25">
      <c r="O69" s="34"/>
      <c r="W69" s="284" t="s">
        <v>122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86" priority="33">
      <formula>F25&gt;0</formula>
    </cfRule>
    <cfRule type="expression" dxfId="285" priority="34">
      <formula>F25&lt;0</formula>
    </cfRule>
  </conditionalFormatting>
  <conditionalFormatting sqref="H25:H27">
    <cfRule type="expression" dxfId="284" priority="31">
      <formula>H25&gt;0</formula>
    </cfRule>
    <cfRule type="expression" dxfId="283" priority="32">
      <formula>H25&lt;0</formula>
    </cfRule>
  </conditionalFormatting>
  <conditionalFormatting sqref="H28">
    <cfRule type="expression" dxfId="282" priority="29">
      <formula>H28&gt;0</formula>
    </cfRule>
    <cfRule type="expression" dxfId="281" priority="30">
      <formula>H28&lt;0</formula>
    </cfRule>
  </conditionalFormatting>
  <conditionalFormatting sqref="H29">
    <cfRule type="expression" dxfId="280" priority="27">
      <formula>H29&gt;0</formula>
    </cfRule>
    <cfRule type="expression" dxfId="279" priority="28">
      <formula>H29&lt;0</formula>
    </cfRule>
  </conditionalFormatting>
  <conditionalFormatting sqref="H30:H34">
    <cfRule type="expression" dxfId="278" priority="25">
      <formula>H30&gt;0</formula>
    </cfRule>
    <cfRule type="expression" dxfId="277" priority="26">
      <formula>H30&lt;0</formula>
    </cfRule>
  </conditionalFormatting>
  <conditionalFormatting sqref="F21:F24">
    <cfRule type="expression" dxfId="276" priority="23">
      <formula>F21&gt;0</formula>
    </cfRule>
    <cfRule type="expression" dxfId="275" priority="24">
      <formula>F21&lt;0</formula>
    </cfRule>
  </conditionalFormatting>
  <conditionalFormatting sqref="H21:H24">
    <cfRule type="expression" dxfId="274" priority="21">
      <formula>H21&gt;0</formula>
    </cfRule>
    <cfRule type="expression" dxfId="273" priority="22">
      <formula>H21&lt;0</formula>
    </cfRule>
  </conditionalFormatting>
  <conditionalFormatting sqref="F30:F31">
    <cfRule type="expression" dxfId="272" priority="17">
      <formula>F30&gt;0</formula>
    </cfRule>
    <cfRule type="expression" dxfId="271" priority="18">
      <formula>F30&lt;0</formula>
    </cfRule>
  </conditionalFormatting>
  <conditionalFormatting sqref="I25:I27">
    <cfRule type="expression" dxfId="270" priority="15">
      <formula>I25&gt;0</formula>
    </cfRule>
    <cfRule type="expression" dxfId="269" priority="16">
      <formula>I25&lt;0</formula>
    </cfRule>
  </conditionalFormatting>
  <conditionalFormatting sqref="I28">
    <cfRule type="expression" dxfId="268" priority="13">
      <formula>I28&gt;0</formula>
    </cfRule>
    <cfRule type="expression" dxfId="267" priority="14">
      <formula>I28&lt;0</formula>
    </cfRule>
  </conditionalFormatting>
  <conditionalFormatting sqref="I29">
    <cfRule type="expression" dxfId="266" priority="11">
      <formula>I29&gt;0</formula>
    </cfRule>
    <cfRule type="expression" dxfId="265" priority="12">
      <formula>I29&lt;0</formula>
    </cfRule>
  </conditionalFormatting>
  <conditionalFormatting sqref="I30:I34">
    <cfRule type="expression" dxfId="264" priority="9">
      <formula>I30&gt;0</formula>
    </cfRule>
    <cfRule type="expression" dxfId="263" priority="10">
      <formula>I30&lt;0</formula>
    </cfRule>
  </conditionalFormatting>
  <conditionalFormatting sqref="I21:I24">
    <cfRule type="expression" dxfId="262" priority="7">
      <formula>I21&gt;0</formula>
    </cfRule>
    <cfRule type="expression" dxfId="261" priority="8">
      <formula>I21&lt;0</formula>
    </cfRule>
  </conditionalFormatting>
  <conditionalFormatting sqref="F32">
    <cfRule type="expression" dxfId="260" priority="5">
      <formula>F32&gt;0</formula>
    </cfRule>
    <cfRule type="expression" dxfId="259" priority="6">
      <formula>F32&lt;0</formula>
    </cfRule>
  </conditionalFormatting>
  <conditionalFormatting sqref="Q8">
    <cfRule type="expression" dxfId="258" priority="1">
      <formula>Q8&gt;0</formula>
    </cfRule>
    <cfRule type="expression" dxfId="257" priority="2">
      <formula>Q8&lt;0</formula>
    </cfRule>
  </conditionalFormatting>
  <conditionalFormatting sqref="Q7">
    <cfRule type="expression" dxfId="256" priority="3">
      <formula>Q7&gt;0</formula>
    </cfRule>
    <cfRule type="expression" dxfId="255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42615</v>
      </c>
      <c r="X2" s="10">
        <v>49.48</v>
      </c>
      <c r="Y2" s="10">
        <v>50.36</v>
      </c>
      <c r="Z2" s="10">
        <v>49.16</v>
      </c>
      <c r="AA2" s="10">
        <v>49.21</v>
      </c>
      <c r="AB2" s="95">
        <v>2541800</v>
      </c>
      <c r="AC2" s="10">
        <v>49.21</v>
      </c>
      <c r="AD2" s="2">
        <f>Y2-Z2</f>
        <v>1.2000000000000028</v>
      </c>
      <c r="AE2" s="138">
        <f>AC2/AC3-1</f>
        <v>-8.2627972591696741E-3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48.74</v>
      </c>
      <c r="T3" s="1">
        <v>42312</v>
      </c>
      <c r="U3" t="s">
        <v>152</v>
      </c>
      <c r="W3" s="133">
        <v>42614</v>
      </c>
      <c r="X3" s="10">
        <v>48.88</v>
      </c>
      <c r="Y3" s="10">
        <v>49.67</v>
      </c>
      <c r="Z3" s="10">
        <v>48.71</v>
      </c>
      <c r="AA3" s="10">
        <v>49.62</v>
      </c>
      <c r="AB3" s="95">
        <v>1762000</v>
      </c>
      <c r="AC3" s="10">
        <v>49.62</v>
      </c>
      <c r="AD3" s="2">
        <f t="shared" ref="AD3:AD66" si="0">Y3-Z3</f>
        <v>0.96000000000000085</v>
      </c>
      <c r="AE3" s="138">
        <f t="shared" ref="AE3:AE66" si="1">AC3/AC4-1</f>
        <v>1.36874361593462E-2</v>
      </c>
      <c r="AI3" t="s">
        <v>169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48.74</v>
      </c>
      <c r="W4" s="133">
        <v>42613</v>
      </c>
      <c r="X4" s="10">
        <v>49.14</v>
      </c>
      <c r="Y4" s="10">
        <v>49.72</v>
      </c>
      <c r="Z4" s="10">
        <v>48.46</v>
      </c>
      <c r="AA4" s="10">
        <v>48.95</v>
      </c>
      <c r="AB4" s="95">
        <v>2106500</v>
      </c>
      <c r="AC4" s="10">
        <v>48.95</v>
      </c>
      <c r="AD4" s="2">
        <f t="shared" si="0"/>
        <v>1.259999999999998</v>
      </c>
      <c r="AE4" s="138">
        <f t="shared" si="1"/>
        <v>-6.0913705583756084E-3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42612</v>
      </c>
      <c r="X5" s="10">
        <v>49.96</v>
      </c>
      <c r="Y5" s="10">
        <v>50.11</v>
      </c>
      <c r="Z5" s="10">
        <v>49.14</v>
      </c>
      <c r="AA5" s="10">
        <v>49.25</v>
      </c>
      <c r="AB5" s="95">
        <v>1675800</v>
      </c>
      <c r="AC5" s="10">
        <v>49.25</v>
      </c>
      <c r="AD5" s="2">
        <f t="shared" si="0"/>
        <v>0.96999999999999886</v>
      </c>
      <c r="AE5" s="138">
        <f t="shared" si="1"/>
        <v>-1.9119697271459901E-2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42611</v>
      </c>
      <c r="X6" s="10">
        <v>49.59</v>
      </c>
      <c r="Y6" s="10">
        <v>50.58</v>
      </c>
      <c r="Z6" s="10">
        <v>49.59</v>
      </c>
      <c r="AA6" s="10">
        <v>50.21</v>
      </c>
      <c r="AB6" s="95">
        <v>1445400</v>
      </c>
      <c r="AC6" s="10">
        <v>50.21</v>
      </c>
      <c r="AD6" s="2">
        <f t="shared" si="0"/>
        <v>0.98999999999999488</v>
      </c>
      <c r="AE6" s="138">
        <f t="shared" si="1"/>
        <v>1.2502520669489758E-2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187</v>
      </c>
      <c r="Q7" s="2">
        <f>Q10+Q8</f>
        <v>745.43999999999505</v>
      </c>
      <c r="R7">
        <v>0</v>
      </c>
      <c r="W7" s="133">
        <v>42608</v>
      </c>
      <c r="X7" s="10">
        <v>50.13</v>
      </c>
      <c r="Y7" s="10">
        <v>50.65</v>
      </c>
      <c r="Z7" s="10">
        <v>49.43</v>
      </c>
      <c r="AA7" s="10">
        <v>49.59</v>
      </c>
      <c r="AB7" s="95">
        <v>1944200</v>
      </c>
      <c r="AC7" s="10">
        <v>49.59</v>
      </c>
      <c r="AD7" s="2">
        <f t="shared" si="0"/>
        <v>1.2199999999999989</v>
      </c>
      <c r="AE7" s="138">
        <f t="shared" si="1"/>
        <v>-1.3330680461599576E-2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42607</v>
      </c>
      <c r="X8" s="10">
        <v>50.11</v>
      </c>
      <c r="Y8" s="10">
        <v>50.87</v>
      </c>
      <c r="Z8" s="10">
        <v>49.78</v>
      </c>
      <c r="AA8" s="10">
        <v>50.26</v>
      </c>
      <c r="AB8" s="95">
        <v>2548300</v>
      </c>
      <c r="AC8" s="10">
        <v>50.26</v>
      </c>
      <c r="AD8" s="2">
        <f t="shared" si="0"/>
        <v>1.0899999999999963</v>
      </c>
      <c r="AE8" s="138">
        <f t="shared" si="1"/>
        <v>-1.5891934843068611E-3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0</v>
      </c>
      <c r="W9" s="133">
        <v>42606</v>
      </c>
      <c r="X9" s="10">
        <v>50.66</v>
      </c>
      <c r="Y9" s="10">
        <v>51</v>
      </c>
      <c r="Z9" s="10">
        <v>49.99</v>
      </c>
      <c r="AA9" s="10">
        <v>50.34</v>
      </c>
      <c r="AB9" s="95">
        <v>2171600</v>
      </c>
      <c r="AC9" s="10">
        <v>50.34</v>
      </c>
      <c r="AD9" s="2">
        <f t="shared" si="0"/>
        <v>1.009999999999998</v>
      </c>
      <c r="AE9" s="138">
        <f t="shared" si="1"/>
        <v>-8.6648286727057933E-3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223</v>
      </c>
      <c r="P10" s="34"/>
      <c r="Q10" s="2">
        <f>M35</f>
        <v>745.43999999999505</v>
      </c>
      <c r="W10" s="133">
        <v>42605</v>
      </c>
      <c r="X10" s="10">
        <v>50.33</v>
      </c>
      <c r="Y10" s="10">
        <v>50.96</v>
      </c>
      <c r="Z10" s="10">
        <v>50.23</v>
      </c>
      <c r="AA10" s="10">
        <v>50.78</v>
      </c>
      <c r="AB10" s="95">
        <v>2197500</v>
      </c>
      <c r="AC10" s="10">
        <v>50.78</v>
      </c>
      <c r="AD10" s="2">
        <f t="shared" si="0"/>
        <v>0.73000000000000398</v>
      </c>
      <c r="AE10" s="138">
        <f t="shared" si="1"/>
        <v>1.2966287652104391E-2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42604</v>
      </c>
      <c r="X11" s="10">
        <v>49.84</v>
      </c>
      <c r="Y11" s="10">
        <v>50.31</v>
      </c>
      <c r="Z11" s="10">
        <v>49.68</v>
      </c>
      <c r="AA11" s="10">
        <v>50.13</v>
      </c>
      <c r="AB11" s="95">
        <v>2025700</v>
      </c>
      <c r="AC11" s="10">
        <v>50.13</v>
      </c>
      <c r="AD11" s="2">
        <f t="shared" si="0"/>
        <v>0.63000000000000256</v>
      </c>
      <c r="AE11" s="138">
        <f t="shared" si="1"/>
        <v>9.9840255591066018E-4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42601</v>
      </c>
      <c r="X12" s="10">
        <v>49.21</v>
      </c>
      <c r="Y12" s="10">
        <v>50.32</v>
      </c>
      <c r="Z12" s="10">
        <v>48.98</v>
      </c>
      <c r="AA12" s="10">
        <v>50.08</v>
      </c>
      <c r="AB12" s="95">
        <v>2497600</v>
      </c>
      <c r="AC12" s="10">
        <v>50.08</v>
      </c>
      <c r="AD12" s="2">
        <f t="shared" si="0"/>
        <v>1.3400000000000034</v>
      </c>
      <c r="AE12" s="138">
        <f t="shared" si="1"/>
        <v>1.5615493814642001E-2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42600</v>
      </c>
      <c r="X13" s="10">
        <v>48.95</v>
      </c>
      <c r="Y13" s="10">
        <v>49.44</v>
      </c>
      <c r="Z13" s="10">
        <v>48.51</v>
      </c>
      <c r="AA13" s="10">
        <v>49.31</v>
      </c>
      <c r="AB13" s="95">
        <v>2737400</v>
      </c>
      <c r="AC13" s="10">
        <v>49.31</v>
      </c>
      <c r="AD13" s="2">
        <f t="shared" si="0"/>
        <v>0.92999999999999972</v>
      </c>
      <c r="AE13" s="138">
        <f t="shared" si="1"/>
        <v>1.0450819672131351E-2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42599</v>
      </c>
      <c r="X14" s="10">
        <v>49.77</v>
      </c>
      <c r="Y14" s="10">
        <v>49.94</v>
      </c>
      <c r="Z14" s="10">
        <v>48.68</v>
      </c>
      <c r="AA14" s="10">
        <v>48.8</v>
      </c>
      <c r="AB14" s="95">
        <v>3607600</v>
      </c>
      <c r="AC14" s="10">
        <v>48.8</v>
      </c>
      <c r="AD14" s="2">
        <f t="shared" si="0"/>
        <v>1.259999999999998</v>
      </c>
      <c r="AE14" s="138">
        <f t="shared" si="1"/>
        <v>-2.2044088176352727E-2</v>
      </c>
    </row>
    <row r="15" spans="1:43" x14ac:dyDescent="0.25">
      <c r="W15" s="133">
        <v>42598</v>
      </c>
      <c r="X15" s="10">
        <v>49.69</v>
      </c>
      <c r="Y15" s="10">
        <v>50.52</v>
      </c>
      <c r="Z15" s="10">
        <v>49.55</v>
      </c>
      <c r="AA15" s="10">
        <v>49.9</v>
      </c>
      <c r="AB15" s="95">
        <v>2091500</v>
      </c>
      <c r="AC15" s="10">
        <v>49.9</v>
      </c>
      <c r="AD15" s="2">
        <f t="shared" si="0"/>
        <v>0.97000000000000597</v>
      </c>
      <c r="AE15" s="138">
        <f t="shared" si="1"/>
        <v>-1.2009607686149781E-3</v>
      </c>
    </row>
    <row r="16" spans="1:43" x14ac:dyDescent="0.25">
      <c r="W16" s="133">
        <v>42597</v>
      </c>
      <c r="X16" s="10">
        <v>49</v>
      </c>
      <c r="Y16" s="10">
        <v>50.34</v>
      </c>
      <c r="Z16" s="10">
        <v>48.79</v>
      </c>
      <c r="AA16" s="10">
        <v>49.96</v>
      </c>
      <c r="AB16" s="95">
        <v>2883100</v>
      </c>
      <c r="AC16" s="10">
        <v>49.96</v>
      </c>
      <c r="AD16" s="2">
        <f t="shared" si="0"/>
        <v>1.5500000000000043</v>
      </c>
      <c r="AE16" s="138">
        <f t="shared" si="1"/>
        <v>2.3980323836851891E-2</v>
      </c>
    </row>
    <row r="17" spans="1:31" x14ac:dyDescent="0.25">
      <c r="B17" s="1"/>
      <c r="C17" s="4"/>
      <c r="W17" s="133">
        <v>42594</v>
      </c>
      <c r="X17" s="10">
        <v>48.81</v>
      </c>
      <c r="Y17" s="10">
        <v>49.21</v>
      </c>
      <c r="Z17" s="10">
        <v>48.5</v>
      </c>
      <c r="AA17" s="10">
        <v>48.79</v>
      </c>
      <c r="AB17" s="95">
        <v>2481500</v>
      </c>
      <c r="AC17" s="10">
        <v>48.79</v>
      </c>
      <c r="AD17" s="2">
        <f t="shared" si="0"/>
        <v>0.71000000000000085</v>
      </c>
      <c r="AE17" s="138">
        <f t="shared" si="1"/>
        <v>-6.9204152249136008E-3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42593</v>
      </c>
      <c r="X18" s="10">
        <v>49.22</v>
      </c>
      <c r="Y18" s="10">
        <v>49.84</v>
      </c>
      <c r="Z18" s="10">
        <v>48.48</v>
      </c>
      <c r="AA18" s="10">
        <v>49.13</v>
      </c>
      <c r="AB18" s="95">
        <v>4339600</v>
      </c>
      <c r="AC18" s="10">
        <v>49.13</v>
      </c>
      <c r="AD18" s="2">
        <f t="shared" si="0"/>
        <v>1.3600000000000065</v>
      </c>
      <c r="AE18" s="138">
        <f t="shared" si="1"/>
        <v>8.6224594539110466E-3</v>
      </c>
    </row>
    <row r="19" spans="1:31" x14ac:dyDescent="0.25">
      <c r="G19" s="2"/>
      <c r="W19" s="133">
        <v>42592</v>
      </c>
      <c r="X19" s="10">
        <v>49.59</v>
      </c>
      <c r="Y19" s="10">
        <v>51.14</v>
      </c>
      <c r="Z19" s="10">
        <v>48.45</v>
      </c>
      <c r="AA19" s="10">
        <v>48.71</v>
      </c>
      <c r="AB19" s="95">
        <v>8246700</v>
      </c>
      <c r="AC19" s="10">
        <v>48.71</v>
      </c>
      <c r="AD19" s="2">
        <f t="shared" si="0"/>
        <v>2.6899999999999977</v>
      </c>
      <c r="AE19" s="138">
        <f t="shared" si="1"/>
        <v>-2.7938535222510441E-2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42591</v>
      </c>
      <c r="X20" s="10">
        <v>49.97</v>
      </c>
      <c r="Y20" s="10">
        <v>50.55</v>
      </c>
      <c r="Z20" s="10">
        <v>49.51</v>
      </c>
      <c r="AA20" s="10">
        <v>50.11</v>
      </c>
      <c r="AB20" s="95">
        <v>5645600</v>
      </c>
      <c r="AC20" s="10">
        <v>50.11</v>
      </c>
      <c r="AD20" s="2">
        <f t="shared" si="0"/>
        <v>1.0399999999999991</v>
      </c>
      <c r="AE20" s="138">
        <f t="shared" si="1"/>
        <v>-3.1828128108216669E-3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42590</v>
      </c>
      <c r="X21" s="10">
        <v>50.88</v>
      </c>
      <c r="Y21" s="10">
        <v>51.84</v>
      </c>
      <c r="Z21" s="10">
        <v>50.09</v>
      </c>
      <c r="AA21" s="10">
        <v>50.27</v>
      </c>
      <c r="AB21" s="95">
        <v>4161800</v>
      </c>
      <c r="AC21" s="10">
        <v>50.27</v>
      </c>
      <c r="AD21" s="2">
        <f t="shared" si="0"/>
        <v>1.75</v>
      </c>
      <c r="AE21" s="138">
        <f t="shared" si="1"/>
        <v>-2.777226740725891E-3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42587</v>
      </c>
      <c r="X22" s="10">
        <v>49.89</v>
      </c>
      <c r="Y22" s="10">
        <v>50.73</v>
      </c>
      <c r="Z22" s="10">
        <v>49.81</v>
      </c>
      <c r="AA22" s="10">
        <v>50.41</v>
      </c>
      <c r="AB22" s="95">
        <v>2645000</v>
      </c>
      <c r="AC22" s="10">
        <v>50.41</v>
      </c>
      <c r="AD22" s="2">
        <f t="shared" si="0"/>
        <v>0.9199999999999946</v>
      </c>
      <c r="AE22" s="138">
        <f t="shared" si="1"/>
        <v>1.4898328971209907E-2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42586</v>
      </c>
      <c r="X23" s="10">
        <v>49.26</v>
      </c>
      <c r="Y23" s="10">
        <v>50.66</v>
      </c>
      <c r="Z23" s="10">
        <v>49.26</v>
      </c>
      <c r="AA23" s="10">
        <v>49.67</v>
      </c>
      <c r="AB23" s="95">
        <v>3211100</v>
      </c>
      <c r="AC23" s="10">
        <v>49.67</v>
      </c>
      <c r="AD23" s="2">
        <f t="shared" si="0"/>
        <v>1.3999999999999986</v>
      </c>
      <c r="AE23" s="138">
        <f t="shared" si="1"/>
        <v>1.3259893920848587E-2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42585</v>
      </c>
      <c r="X24" s="10">
        <v>47.64</v>
      </c>
      <c r="Y24" s="10">
        <v>49.29</v>
      </c>
      <c r="Z24" s="10">
        <v>46.5</v>
      </c>
      <c r="AA24" s="10">
        <v>49.02</v>
      </c>
      <c r="AB24" s="95">
        <v>5565000</v>
      </c>
      <c r="AC24" s="10">
        <v>49.02</v>
      </c>
      <c r="AD24" s="2">
        <f t="shared" si="0"/>
        <v>2.7899999999999991</v>
      </c>
      <c r="AE24" s="138">
        <f t="shared" si="1"/>
        <v>-2.5834658187599335E-2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42584</v>
      </c>
      <c r="X25" s="10">
        <v>52.65</v>
      </c>
      <c r="Y25" s="10">
        <v>53.17</v>
      </c>
      <c r="Z25" s="10">
        <v>50.32</v>
      </c>
      <c r="AA25" s="10">
        <v>50.32</v>
      </c>
      <c r="AB25" s="95">
        <v>3304800</v>
      </c>
      <c r="AC25" s="10">
        <v>50.32</v>
      </c>
      <c r="AD25" s="2">
        <f t="shared" si="0"/>
        <v>2.8500000000000014</v>
      </c>
      <c r="AE25" s="138">
        <f t="shared" si="1"/>
        <v>-4.8771266540642677E-2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42583</v>
      </c>
      <c r="X26" s="10">
        <v>51.8</v>
      </c>
      <c r="Y26" s="10">
        <v>53.29</v>
      </c>
      <c r="Z26" s="10">
        <v>51.52</v>
      </c>
      <c r="AA26" s="10">
        <v>52.9</v>
      </c>
      <c r="AB26" s="95">
        <v>3217900</v>
      </c>
      <c r="AC26" s="10">
        <v>52.9</v>
      </c>
      <c r="AD26" s="2">
        <f t="shared" si="0"/>
        <v>1.769999999999996</v>
      </c>
      <c r="AE26" s="138">
        <f t="shared" si="1"/>
        <v>2.2815158546017011E-2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42580</v>
      </c>
      <c r="X27" s="10">
        <v>51.86</v>
      </c>
      <c r="Y27" s="10">
        <v>51.97</v>
      </c>
      <c r="Z27" s="10">
        <v>51.27</v>
      </c>
      <c r="AA27" s="10">
        <v>51.72</v>
      </c>
      <c r="AB27" s="95">
        <v>1628500</v>
      </c>
      <c r="AC27" s="10">
        <v>51.72</v>
      </c>
      <c r="AD27" s="2">
        <f t="shared" si="0"/>
        <v>0.69999999999999574</v>
      </c>
      <c r="AE27" s="138">
        <f t="shared" si="1"/>
        <v>-6.5309258547829874E-3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42579</v>
      </c>
      <c r="X28" s="10">
        <v>52.23</v>
      </c>
      <c r="Y28" s="10">
        <v>52.36</v>
      </c>
      <c r="Z28" s="10">
        <v>51.78</v>
      </c>
      <c r="AA28" s="10">
        <v>52.06</v>
      </c>
      <c r="AB28" s="95">
        <v>1743300</v>
      </c>
      <c r="AC28" s="10">
        <v>52.06</v>
      </c>
      <c r="AD28" s="2">
        <f t="shared" si="0"/>
        <v>0.57999999999999829</v>
      </c>
      <c r="AE28" s="138">
        <f t="shared" si="1"/>
        <v>-5.1595643034587635E-3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42578</v>
      </c>
      <c r="X29" s="10">
        <v>52.16</v>
      </c>
      <c r="Y29" s="10">
        <v>52.85</v>
      </c>
      <c r="Z29" s="10">
        <v>51.93</v>
      </c>
      <c r="AA29" s="10">
        <v>52.33</v>
      </c>
      <c r="AB29" s="95">
        <v>2904900</v>
      </c>
      <c r="AC29" s="10">
        <v>52.33</v>
      </c>
      <c r="AD29" s="2">
        <f t="shared" si="0"/>
        <v>0.92000000000000171</v>
      </c>
      <c r="AE29" s="138">
        <f t="shared" si="1"/>
        <v>3.2592024539876974E-3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42577</v>
      </c>
      <c r="X30" s="10">
        <v>51.68</v>
      </c>
      <c r="Y30" s="10">
        <v>52.97</v>
      </c>
      <c r="Z30" s="10">
        <v>51.56</v>
      </c>
      <c r="AA30" s="10">
        <v>52.16</v>
      </c>
      <c r="AB30" s="95">
        <v>2694100</v>
      </c>
      <c r="AC30" s="10">
        <v>52.16</v>
      </c>
      <c r="AD30" s="2">
        <f t="shared" si="0"/>
        <v>1.4099999999999966</v>
      </c>
      <c r="AE30" s="138">
        <f t="shared" si="1"/>
        <v>9.2879256965943124E-3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42576</v>
      </c>
      <c r="X31" s="10">
        <v>50.95</v>
      </c>
      <c r="Y31" s="10">
        <v>51.88</v>
      </c>
      <c r="Z31" s="10">
        <v>50.64</v>
      </c>
      <c r="AA31" s="10">
        <v>51.68</v>
      </c>
      <c r="AB31" s="95">
        <v>1824000</v>
      </c>
      <c r="AC31" s="10">
        <v>51.68</v>
      </c>
      <c r="AD31" s="2">
        <f t="shared" si="0"/>
        <v>1.240000000000002</v>
      </c>
      <c r="AE31" s="138">
        <f t="shared" si="1"/>
        <v>4.6656298600311619E-3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42573</v>
      </c>
      <c r="X32" s="10">
        <v>51.22</v>
      </c>
      <c r="Y32" s="10">
        <v>51.6</v>
      </c>
      <c r="Z32" s="10">
        <v>50.45</v>
      </c>
      <c r="AA32" s="10">
        <v>51.44</v>
      </c>
      <c r="AB32" s="95">
        <v>1903100</v>
      </c>
      <c r="AC32" s="10">
        <v>51.44</v>
      </c>
      <c r="AD32" s="2">
        <f t="shared" si="0"/>
        <v>1.1499999999999986</v>
      </c>
      <c r="AE32" s="138">
        <f t="shared" si="1"/>
        <v>1.7526777020446804E-3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42572</v>
      </c>
      <c r="X33" s="10">
        <v>51.5</v>
      </c>
      <c r="Y33" s="10">
        <v>52.21</v>
      </c>
      <c r="Z33" s="10">
        <v>51.26</v>
      </c>
      <c r="AA33" s="10">
        <v>51.35</v>
      </c>
      <c r="AB33" s="95">
        <v>2001500</v>
      </c>
      <c r="AC33" s="10">
        <v>51.35</v>
      </c>
      <c r="AD33" s="2">
        <f t="shared" si="0"/>
        <v>0.95000000000000284</v>
      </c>
      <c r="AE33" s="138">
        <f t="shared" si="1"/>
        <v>-4.6520643535569173E-3</v>
      </c>
    </row>
    <row r="34" spans="1:31" x14ac:dyDescent="0.25">
      <c r="W34" s="133">
        <v>42571</v>
      </c>
      <c r="X34" s="10">
        <v>51.16</v>
      </c>
      <c r="Y34" s="10">
        <v>51.67</v>
      </c>
      <c r="Z34" s="10">
        <v>50.89</v>
      </c>
      <c r="AA34" s="10">
        <v>51.59</v>
      </c>
      <c r="AB34" s="95">
        <v>1470300</v>
      </c>
      <c r="AC34" s="10">
        <v>51.59</v>
      </c>
      <c r="AD34" s="2">
        <f t="shared" si="0"/>
        <v>0.78000000000000114</v>
      </c>
      <c r="AE34" s="138">
        <f t="shared" si="1"/>
        <v>7.8140261769878983E-3</v>
      </c>
    </row>
    <row r="35" spans="1:31" x14ac:dyDescent="0.25">
      <c r="L35" t="s">
        <v>223</v>
      </c>
      <c r="M35" s="2">
        <f>M51+K51-F51</f>
        <v>745.43999999999505</v>
      </c>
      <c r="W35" s="133">
        <v>42570</v>
      </c>
      <c r="X35" s="10">
        <v>51.6</v>
      </c>
      <c r="Y35" s="10">
        <v>51.96</v>
      </c>
      <c r="Z35" s="10">
        <v>50.72</v>
      </c>
      <c r="AA35" s="10">
        <v>51.19</v>
      </c>
      <c r="AB35" s="95">
        <v>2120900</v>
      </c>
      <c r="AC35" s="10">
        <v>51.19</v>
      </c>
      <c r="AD35" s="2">
        <f t="shared" si="0"/>
        <v>1.240000000000002</v>
      </c>
      <c r="AE35" s="138">
        <f t="shared" si="1"/>
        <v>-1.5576923076923155E-2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2" t="s">
        <v>7</v>
      </c>
      <c r="J36" s="392" t="s">
        <v>95</v>
      </c>
      <c r="K36" s="392" t="s">
        <v>61</v>
      </c>
      <c r="L36" s="390" t="s">
        <v>77</v>
      </c>
      <c r="M36" s="390" t="s">
        <v>38</v>
      </c>
      <c r="W36" s="133">
        <v>42569</v>
      </c>
      <c r="X36" s="10">
        <v>51.64</v>
      </c>
      <c r="Y36" s="10">
        <v>52.7</v>
      </c>
      <c r="Z36" s="10">
        <v>51.48</v>
      </c>
      <c r="AA36" s="10">
        <v>52</v>
      </c>
      <c r="AB36" s="95">
        <v>1678100</v>
      </c>
      <c r="AC36" s="10">
        <v>52</v>
      </c>
      <c r="AD36" s="2">
        <f t="shared" si="0"/>
        <v>1.220000000000006</v>
      </c>
      <c r="AE36" s="138">
        <f t="shared" si="1"/>
        <v>6.9713400464754827E-3</v>
      </c>
    </row>
    <row r="37" spans="1:31" x14ac:dyDescent="0.25">
      <c r="A37" s="393" t="s">
        <v>24</v>
      </c>
      <c r="B37" s="383">
        <v>42156</v>
      </c>
      <c r="C37" s="384">
        <v>5</v>
      </c>
      <c r="D37" s="385">
        <v>48.55</v>
      </c>
      <c r="E37" s="385">
        <v>0</v>
      </c>
      <c r="F37" s="385">
        <f>C37*D37</f>
        <v>242.75</v>
      </c>
      <c r="G37" s="383">
        <v>42186</v>
      </c>
      <c r="H37" s="384">
        <v>100</v>
      </c>
      <c r="I37" s="385">
        <v>44.99</v>
      </c>
      <c r="J37" s="385">
        <v>0.08</v>
      </c>
      <c r="K37" s="385">
        <f>H37*I37-J37</f>
        <v>4498.92</v>
      </c>
      <c r="L37" s="384" t="s">
        <v>80</v>
      </c>
      <c r="M37" s="384"/>
      <c r="W37" s="133">
        <v>42566</v>
      </c>
      <c r="X37" s="10">
        <v>51.84</v>
      </c>
      <c r="Y37" s="10">
        <v>51.85</v>
      </c>
      <c r="Z37" s="10">
        <v>51.37</v>
      </c>
      <c r="AA37" s="10">
        <v>51.64</v>
      </c>
      <c r="AB37" s="95">
        <v>1226800</v>
      </c>
      <c r="AC37" s="10">
        <v>51.64</v>
      </c>
      <c r="AD37" s="2">
        <f t="shared" si="0"/>
        <v>0.48000000000000398</v>
      </c>
      <c r="AE37" s="138">
        <f t="shared" si="1"/>
        <v>1.3573783207290191E-3</v>
      </c>
    </row>
    <row r="38" spans="1:31" x14ac:dyDescent="0.25">
      <c r="A38" s="394" t="s">
        <v>71</v>
      </c>
      <c r="B38" s="383">
        <v>42156</v>
      </c>
      <c r="C38" s="384">
        <v>5</v>
      </c>
      <c r="D38" s="385">
        <v>47.01</v>
      </c>
      <c r="E38" s="385">
        <v>0</v>
      </c>
      <c r="F38" s="385">
        <f t="shared" ref="F38:F49" si="5">C38*D38</f>
        <v>235.04999999999998</v>
      </c>
      <c r="G38" s="383">
        <v>42227</v>
      </c>
      <c r="H38" s="384">
        <v>100</v>
      </c>
      <c r="I38" s="385">
        <v>43</v>
      </c>
      <c r="J38" s="385">
        <v>0.08</v>
      </c>
      <c r="K38" s="385">
        <f>H38*I38-J38</f>
        <v>4299.92</v>
      </c>
      <c r="L38" s="384"/>
      <c r="M38" s="384"/>
      <c r="W38" s="133">
        <v>42565</v>
      </c>
      <c r="X38" s="10">
        <v>51.91</v>
      </c>
      <c r="Y38" s="10">
        <v>51.98</v>
      </c>
      <c r="Z38" s="10">
        <v>51.49</v>
      </c>
      <c r="AA38" s="10">
        <v>51.57</v>
      </c>
      <c r="AB38" s="95">
        <v>1748200</v>
      </c>
      <c r="AC38" s="10">
        <v>51.57</v>
      </c>
      <c r="AD38" s="2">
        <f t="shared" si="0"/>
        <v>0.48999999999999488</v>
      </c>
      <c r="AE38" s="138">
        <f t="shared" si="1"/>
        <v>-2.9002320185614883E-3</v>
      </c>
    </row>
    <row r="39" spans="1:31" x14ac:dyDescent="0.25">
      <c r="A39" s="384"/>
      <c r="B39" s="383">
        <v>42156</v>
      </c>
      <c r="C39" s="384">
        <v>10</v>
      </c>
      <c r="D39" s="385">
        <v>46.5</v>
      </c>
      <c r="E39" s="385">
        <v>0</v>
      </c>
      <c r="F39" s="385">
        <f t="shared" si="5"/>
        <v>465</v>
      </c>
      <c r="G39" s="383">
        <v>42312</v>
      </c>
      <c r="H39" s="388">
        <v>40</v>
      </c>
      <c r="I39" s="385">
        <v>42.5</v>
      </c>
      <c r="J39" s="385">
        <v>0.03</v>
      </c>
      <c r="K39" s="385">
        <f>H39*I39-J39</f>
        <v>1699.97</v>
      </c>
      <c r="L39" s="384"/>
      <c r="M39" s="384"/>
      <c r="W39" s="133">
        <v>42564</v>
      </c>
      <c r="X39" s="10">
        <v>51.84</v>
      </c>
      <c r="Y39" s="10">
        <v>52</v>
      </c>
      <c r="Z39" s="10">
        <v>51.35</v>
      </c>
      <c r="AA39" s="10">
        <v>51.72</v>
      </c>
      <c r="AB39" s="95">
        <v>1631300</v>
      </c>
      <c r="AC39" s="10">
        <v>51.72</v>
      </c>
      <c r="AD39" s="2">
        <f t="shared" si="0"/>
        <v>0.64999999999999858</v>
      </c>
      <c r="AE39" s="138">
        <f t="shared" si="1"/>
        <v>-3.6601810826429881E-3</v>
      </c>
    </row>
    <row r="40" spans="1:31" x14ac:dyDescent="0.25">
      <c r="A40" s="384"/>
      <c r="B40" s="383">
        <v>42156</v>
      </c>
      <c r="C40" s="384">
        <v>50</v>
      </c>
      <c r="D40" s="385">
        <v>45.95</v>
      </c>
      <c r="E40" s="385">
        <v>0</v>
      </c>
      <c r="F40" s="385">
        <f t="shared" si="5"/>
        <v>2297.5</v>
      </c>
      <c r="G40" s="383">
        <v>42318</v>
      </c>
      <c r="H40" s="388">
        <v>14</v>
      </c>
      <c r="I40" s="385">
        <v>43.5</v>
      </c>
      <c r="J40" s="385">
        <v>0.01</v>
      </c>
      <c r="K40" s="385">
        <f t="shared" ref="K40:K47" si="6">H40*I40-J40</f>
        <v>608.99</v>
      </c>
      <c r="L40" s="384"/>
      <c r="M40" s="384"/>
      <c r="W40" s="133">
        <v>42563</v>
      </c>
      <c r="X40" s="10">
        <v>51.54</v>
      </c>
      <c r="Y40" s="10">
        <v>52.11</v>
      </c>
      <c r="Z40" s="10">
        <v>51.41</v>
      </c>
      <c r="AA40" s="10">
        <v>51.91</v>
      </c>
      <c r="AB40" s="95">
        <v>2286900</v>
      </c>
      <c r="AC40" s="10">
        <v>51.91</v>
      </c>
      <c r="AD40" s="2">
        <f t="shared" si="0"/>
        <v>0.70000000000000284</v>
      </c>
      <c r="AE40" s="138">
        <f t="shared" si="1"/>
        <v>1.5851272015655393E-2</v>
      </c>
    </row>
    <row r="41" spans="1:31" x14ac:dyDescent="0.25">
      <c r="A41" s="384"/>
      <c r="B41" s="383">
        <v>42156</v>
      </c>
      <c r="C41" s="384">
        <v>30</v>
      </c>
      <c r="D41" s="385">
        <v>45.95</v>
      </c>
      <c r="E41" s="385">
        <v>0</v>
      </c>
      <c r="F41" s="385">
        <f t="shared" si="5"/>
        <v>1378.5</v>
      </c>
      <c r="G41" s="383">
        <v>42318</v>
      </c>
      <c r="H41" s="388">
        <v>26</v>
      </c>
      <c r="I41" s="385">
        <v>43.78</v>
      </c>
      <c r="J41" s="385">
        <v>0.02</v>
      </c>
      <c r="K41" s="385">
        <f t="shared" si="6"/>
        <v>1138.26</v>
      </c>
      <c r="L41" s="384"/>
      <c r="M41" s="384"/>
      <c r="W41" s="133">
        <v>42562</v>
      </c>
      <c r="X41" s="10">
        <v>50.4</v>
      </c>
      <c r="Y41" s="10">
        <v>51.63</v>
      </c>
      <c r="Z41" s="10">
        <v>50.27</v>
      </c>
      <c r="AA41" s="10">
        <v>51.1</v>
      </c>
      <c r="AB41" s="95">
        <v>2990800</v>
      </c>
      <c r="AC41" s="10">
        <v>51.1</v>
      </c>
      <c r="AD41" s="2">
        <f t="shared" si="0"/>
        <v>1.3599999999999994</v>
      </c>
      <c r="AE41" s="138">
        <f t="shared" si="1"/>
        <v>1.7320326498108773E-2</v>
      </c>
    </row>
    <row r="42" spans="1:31" ht="20.25" thickBot="1" x14ac:dyDescent="0.35">
      <c r="A42" s="384"/>
      <c r="B42" s="383">
        <v>42186</v>
      </c>
      <c r="C42" s="384">
        <v>100</v>
      </c>
      <c r="D42" s="385">
        <v>44.9</v>
      </c>
      <c r="E42" s="385">
        <v>0</v>
      </c>
      <c r="F42" s="385">
        <f t="shared" si="5"/>
        <v>4490</v>
      </c>
      <c r="G42" s="383">
        <v>42320</v>
      </c>
      <c r="H42" s="388">
        <v>10</v>
      </c>
      <c r="I42" s="385">
        <v>43.9</v>
      </c>
      <c r="J42" s="385">
        <v>0.01</v>
      </c>
      <c r="K42" s="385">
        <f t="shared" si="6"/>
        <v>438.99</v>
      </c>
      <c r="L42" s="384"/>
      <c r="M42" s="384"/>
      <c r="O42" s="160" t="s">
        <v>78</v>
      </c>
      <c r="P42" s="160"/>
      <c r="T42" s="91" t="s">
        <v>113</v>
      </c>
      <c r="W42" s="133">
        <v>42559</v>
      </c>
      <c r="X42" s="10">
        <v>49.69</v>
      </c>
      <c r="Y42" s="10">
        <v>50.33</v>
      </c>
      <c r="Z42" s="10">
        <v>49.48</v>
      </c>
      <c r="AA42" s="10">
        <v>50.23</v>
      </c>
      <c r="AB42" s="95">
        <v>2876800</v>
      </c>
      <c r="AC42" s="10">
        <v>50.23</v>
      </c>
      <c r="AD42" s="2">
        <f t="shared" si="0"/>
        <v>0.85000000000000142</v>
      </c>
      <c r="AE42" s="138">
        <f t="shared" si="1"/>
        <v>2.4057084607543411E-2</v>
      </c>
    </row>
    <row r="43" spans="1:31" ht="15.75" thickTop="1" x14ac:dyDescent="0.25">
      <c r="A43" s="384"/>
      <c r="B43" s="383">
        <v>42206</v>
      </c>
      <c r="C43" s="384">
        <v>20</v>
      </c>
      <c r="D43" s="385">
        <v>41.2</v>
      </c>
      <c r="E43" s="385">
        <v>0</v>
      </c>
      <c r="F43" s="385">
        <f t="shared" si="5"/>
        <v>824</v>
      </c>
      <c r="G43" s="383">
        <v>42333</v>
      </c>
      <c r="H43" s="388">
        <v>50</v>
      </c>
      <c r="I43" s="385">
        <v>41.67</v>
      </c>
      <c r="J43" s="385">
        <v>0.04</v>
      </c>
      <c r="K43" s="385">
        <f t="shared" si="6"/>
        <v>2083.46</v>
      </c>
      <c r="L43" s="384"/>
      <c r="M43" s="384"/>
      <c r="O43" s="83">
        <v>1.1000000000000001</v>
      </c>
      <c r="P43" s="83">
        <f>O43*$Q$4</f>
        <v>53.614000000000004</v>
      </c>
      <c r="T43" s="128" t="s">
        <v>98</v>
      </c>
      <c r="U43" s="98">
        <v>49.62</v>
      </c>
      <c r="W43" s="133">
        <v>42558</v>
      </c>
      <c r="X43" s="10">
        <v>48.58</v>
      </c>
      <c r="Y43" s="10">
        <v>49.84</v>
      </c>
      <c r="Z43" s="10">
        <v>48.48</v>
      </c>
      <c r="AA43" s="10">
        <v>49.05</v>
      </c>
      <c r="AB43" s="95">
        <v>3622300</v>
      </c>
      <c r="AC43" s="10">
        <v>49.05</v>
      </c>
      <c r="AD43" s="2">
        <f t="shared" si="0"/>
        <v>1.3600000000000065</v>
      </c>
      <c r="AE43" s="138">
        <f t="shared" si="1"/>
        <v>1.0506798516687121E-2</v>
      </c>
    </row>
    <row r="44" spans="1:31" x14ac:dyDescent="0.25">
      <c r="A44" s="384"/>
      <c r="B44" s="383">
        <v>42207</v>
      </c>
      <c r="C44" s="384">
        <v>20</v>
      </c>
      <c r="D44" s="385">
        <v>40.68</v>
      </c>
      <c r="E44" s="385">
        <v>0</v>
      </c>
      <c r="F44" s="385">
        <f t="shared" si="5"/>
        <v>813.6</v>
      </c>
      <c r="G44" s="383">
        <v>42335</v>
      </c>
      <c r="H44" s="388">
        <v>50</v>
      </c>
      <c r="I44" s="385">
        <v>41.85</v>
      </c>
      <c r="J44" s="385">
        <v>0.04</v>
      </c>
      <c r="K44" s="385">
        <f t="shared" si="6"/>
        <v>2092.46</v>
      </c>
      <c r="L44" s="384"/>
      <c r="M44" s="384"/>
      <c r="O44" s="83">
        <v>1.0900000000000001</v>
      </c>
      <c r="P44" s="83">
        <f t="shared" ref="P44:P63" si="7">O44*$Q$4</f>
        <v>53.126600000000003</v>
      </c>
      <c r="T44" s="93" t="s">
        <v>99</v>
      </c>
      <c r="U44" s="88">
        <v>49.48</v>
      </c>
      <c r="W44" s="133">
        <v>42557</v>
      </c>
      <c r="X44" s="10">
        <v>49</v>
      </c>
      <c r="Y44" s="10">
        <v>49.02</v>
      </c>
      <c r="Z44" s="10">
        <v>48</v>
      </c>
      <c r="AA44" s="10">
        <v>48.54</v>
      </c>
      <c r="AB44" s="95">
        <v>4745700</v>
      </c>
      <c r="AC44" s="10">
        <v>48.54</v>
      </c>
      <c r="AD44" s="2">
        <f t="shared" si="0"/>
        <v>1.0200000000000031</v>
      </c>
      <c r="AE44" s="138">
        <f t="shared" si="1"/>
        <v>-1.2611879576891694E-2</v>
      </c>
    </row>
    <row r="45" spans="1:31" x14ac:dyDescent="0.25">
      <c r="A45" s="384"/>
      <c r="B45" s="383">
        <v>42292</v>
      </c>
      <c r="C45" s="384">
        <v>40</v>
      </c>
      <c r="D45" s="385">
        <v>41.65</v>
      </c>
      <c r="E45" s="385">
        <v>0</v>
      </c>
      <c r="F45" s="385">
        <f t="shared" si="5"/>
        <v>1666</v>
      </c>
      <c r="G45" s="383">
        <v>42335</v>
      </c>
      <c r="H45" s="388">
        <v>50</v>
      </c>
      <c r="I45" s="385">
        <v>42.4</v>
      </c>
      <c r="J45" s="385">
        <v>0.04</v>
      </c>
      <c r="K45" s="385">
        <f t="shared" si="6"/>
        <v>2119.96</v>
      </c>
      <c r="L45" s="384"/>
      <c r="M45" s="384"/>
      <c r="O45" s="83">
        <v>1.08</v>
      </c>
      <c r="P45" s="83">
        <f t="shared" si="7"/>
        <v>52.639200000000002</v>
      </c>
      <c r="R45" s="34"/>
      <c r="T45" s="93" t="s">
        <v>100</v>
      </c>
      <c r="U45" s="88" t="s">
        <v>431</v>
      </c>
      <c r="W45" s="133">
        <v>42556</v>
      </c>
      <c r="X45" s="10">
        <v>49.66</v>
      </c>
      <c r="Y45" s="10">
        <v>49.84</v>
      </c>
      <c r="Z45" s="10">
        <v>48.63</v>
      </c>
      <c r="AA45" s="10">
        <v>49.16</v>
      </c>
      <c r="AB45" s="95">
        <v>2755500</v>
      </c>
      <c r="AC45" s="10">
        <v>49.16</v>
      </c>
      <c r="AD45" s="2">
        <f t="shared" si="0"/>
        <v>1.2100000000000009</v>
      </c>
      <c r="AE45" s="138">
        <f t="shared" si="1"/>
        <v>-1.8370607028754038E-2</v>
      </c>
    </row>
    <row r="46" spans="1:31" x14ac:dyDescent="0.25">
      <c r="A46" s="384"/>
      <c r="B46" s="383">
        <v>42298</v>
      </c>
      <c r="C46" s="384">
        <v>80</v>
      </c>
      <c r="D46" s="385">
        <v>40.450000000000003</v>
      </c>
      <c r="E46" s="385">
        <v>0</v>
      </c>
      <c r="F46" s="385">
        <f t="shared" si="5"/>
        <v>3236</v>
      </c>
      <c r="G46" s="383">
        <v>42398</v>
      </c>
      <c r="H46" s="388">
        <v>50</v>
      </c>
      <c r="I46" s="385">
        <v>39.65</v>
      </c>
      <c r="J46" s="385">
        <v>0.04</v>
      </c>
      <c r="K46" s="385">
        <f t="shared" si="6"/>
        <v>1982.46</v>
      </c>
      <c r="L46" s="384"/>
      <c r="M46" s="384"/>
      <c r="O46" s="83">
        <v>1.07</v>
      </c>
      <c r="P46" s="83">
        <f t="shared" si="7"/>
        <v>52.151800000000009</v>
      </c>
      <c r="Q46" s="34"/>
      <c r="R46" s="34"/>
      <c r="T46" s="93" t="s">
        <v>101</v>
      </c>
      <c r="U46" s="88" t="s">
        <v>432</v>
      </c>
      <c r="W46" s="133">
        <v>42552</v>
      </c>
      <c r="X46" s="10">
        <v>49.53</v>
      </c>
      <c r="Y46" s="10">
        <v>50.26</v>
      </c>
      <c r="Z46" s="10">
        <v>49.16</v>
      </c>
      <c r="AA46" s="10">
        <v>50.08</v>
      </c>
      <c r="AB46" s="95">
        <v>1870100</v>
      </c>
      <c r="AC46" s="10">
        <v>50.08</v>
      </c>
      <c r="AD46" s="2">
        <f t="shared" si="0"/>
        <v>1.1000000000000014</v>
      </c>
      <c r="AE46" s="138">
        <f t="shared" si="1"/>
        <v>1.2126111560226471E-2</v>
      </c>
    </row>
    <row r="47" spans="1:31" x14ac:dyDescent="0.25">
      <c r="A47" s="384"/>
      <c r="B47" s="383">
        <v>42298</v>
      </c>
      <c r="C47" s="384">
        <v>80</v>
      </c>
      <c r="D47" s="385">
        <v>39.9</v>
      </c>
      <c r="E47" s="385">
        <v>0</v>
      </c>
      <c r="F47" s="385">
        <f t="shared" si="5"/>
        <v>3192</v>
      </c>
      <c r="G47" s="383">
        <v>42408</v>
      </c>
      <c r="H47" s="388">
        <v>50</v>
      </c>
      <c r="I47" s="385">
        <v>51.5</v>
      </c>
      <c r="J47" s="385">
        <v>0.05</v>
      </c>
      <c r="K47" s="385">
        <f t="shared" si="6"/>
        <v>2574.9499999999998</v>
      </c>
      <c r="L47" s="384"/>
      <c r="M47" s="384"/>
      <c r="O47" s="83">
        <v>1.06</v>
      </c>
      <c r="P47" s="83">
        <f t="shared" si="7"/>
        <v>51.664400000000008</v>
      </c>
      <c r="Q47" s="34"/>
      <c r="R47" s="34"/>
      <c r="T47" s="93" t="s">
        <v>102</v>
      </c>
      <c r="U47" s="88">
        <v>55.55</v>
      </c>
      <c r="W47" s="133">
        <v>42551</v>
      </c>
      <c r="X47" s="10">
        <v>48.47</v>
      </c>
      <c r="Y47" s="10">
        <v>49.48</v>
      </c>
      <c r="Z47" s="10">
        <v>48.02</v>
      </c>
      <c r="AA47" s="10">
        <v>49.48</v>
      </c>
      <c r="AB47" s="95">
        <v>2675100</v>
      </c>
      <c r="AC47" s="10">
        <v>49.48</v>
      </c>
      <c r="AD47" s="2">
        <f t="shared" si="0"/>
        <v>1.4599999999999937</v>
      </c>
      <c r="AE47" s="138">
        <f t="shared" si="1"/>
        <v>2.1891780256092508E-2</v>
      </c>
    </row>
    <row r="48" spans="1:31" x14ac:dyDescent="0.25">
      <c r="A48" s="384"/>
      <c r="B48" s="383">
        <v>42333</v>
      </c>
      <c r="C48" s="384">
        <v>50</v>
      </c>
      <c r="D48" s="385">
        <v>41.2</v>
      </c>
      <c r="E48" s="385">
        <v>0</v>
      </c>
      <c r="F48" s="385">
        <f t="shared" si="5"/>
        <v>2060</v>
      </c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7"/>
        <v>51.177000000000007</v>
      </c>
      <c r="Q48" s="34"/>
      <c r="R48" s="34"/>
      <c r="T48" s="93" t="s">
        <v>103</v>
      </c>
      <c r="U48" s="88">
        <v>0.215362</v>
      </c>
      <c r="W48" s="133">
        <v>42550</v>
      </c>
      <c r="X48" s="10">
        <v>48.01</v>
      </c>
      <c r="Y48" s="10">
        <v>48.9</v>
      </c>
      <c r="Z48" s="10">
        <v>47.78</v>
      </c>
      <c r="AA48" s="10">
        <v>48.42</v>
      </c>
      <c r="AB48" s="95">
        <v>2968600</v>
      </c>
      <c r="AC48" s="10">
        <v>48.42</v>
      </c>
      <c r="AD48" s="2">
        <f t="shared" si="0"/>
        <v>1.1199999999999974</v>
      </c>
      <c r="AE48" s="138">
        <f t="shared" si="1"/>
        <v>2.0657672849915709E-2</v>
      </c>
    </row>
    <row r="49" spans="1:31" x14ac:dyDescent="0.25">
      <c r="A49" s="384"/>
      <c r="B49" s="383">
        <v>42377</v>
      </c>
      <c r="C49" s="384">
        <v>50</v>
      </c>
      <c r="D49" s="385">
        <v>37.85</v>
      </c>
      <c r="E49" s="385">
        <v>0</v>
      </c>
      <c r="F49" s="385">
        <f t="shared" si="5"/>
        <v>1892.5</v>
      </c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7"/>
        <v>50.689600000000006</v>
      </c>
      <c r="Q49" s="34"/>
      <c r="R49" s="34"/>
      <c r="T49" s="93" t="s">
        <v>123</v>
      </c>
      <c r="U49" s="88" t="s">
        <v>334</v>
      </c>
      <c r="W49" s="133">
        <v>42549</v>
      </c>
      <c r="X49" s="10">
        <v>46.8</v>
      </c>
      <c r="Y49" s="10">
        <v>47.57</v>
      </c>
      <c r="Z49" s="10">
        <v>46.77</v>
      </c>
      <c r="AA49" s="10">
        <v>47.44</v>
      </c>
      <c r="AB49" s="95">
        <v>2575200</v>
      </c>
      <c r="AC49" s="10">
        <v>47.44</v>
      </c>
      <c r="AD49" s="2">
        <f t="shared" si="0"/>
        <v>0.79999999999999716</v>
      </c>
      <c r="AE49" s="138">
        <f t="shared" si="1"/>
        <v>2.7062134661182125E-2</v>
      </c>
    </row>
    <row r="50" spans="1:31" x14ac:dyDescent="0.25">
      <c r="A50" s="384"/>
      <c r="B50" s="383"/>
      <c r="C50" s="384"/>
      <c r="D50" s="385"/>
      <c r="E50" s="385"/>
      <c r="F50" s="385"/>
      <c r="G50" s="384"/>
      <c r="H50" s="384"/>
      <c r="I50" s="385"/>
      <c r="J50" s="385"/>
      <c r="K50" s="385"/>
      <c r="L50" s="384"/>
      <c r="M50" s="384"/>
      <c r="O50" s="83">
        <v>1.03</v>
      </c>
      <c r="P50" s="83">
        <f t="shared" si="7"/>
        <v>50.202200000000005</v>
      </c>
      <c r="Q50" s="83"/>
      <c r="R50" s="34"/>
      <c r="T50" s="93"/>
      <c r="U50" s="88"/>
      <c r="W50" s="133">
        <v>42548</v>
      </c>
      <c r="X50" s="10">
        <v>47.14</v>
      </c>
      <c r="Y50" s="10">
        <v>47.19</v>
      </c>
      <c r="Z50" s="10">
        <v>45.26</v>
      </c>
      <c r="AA50" s="10">
        <v>46.19</v>
      </c>
      <c r="AB50" s="95">
        <v>3293400</v>
      </c>
      <c r="AC50" s="10">
        <v>46.19</v>
      </c>
      <c r="AD50" s="2">
        <f t="shared" si="0"/>
        <v>1.9299999999999997</v>
      </c>
      <c r="AE50" s="138">
        <f t="shared" si="1"/>
        <v>-2.9825666876706625E-2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49.714800000000004</v>
      </c>
      <c r="Q51" s="83"/>
      <c r="R51" s="34"/>
      <c r="T51" s="93" t="s">
        <v>105</v>
      </c>
      <c r="U51" s="88" t="s">
        <v>433</v>
      </c>
      <c r="W51" s="133">
        <v>42545</v>
      </c>
      <c r="X51" s="10">
        <v>48.4</v>
      </c>
      <c r="Y51" s="10">
        <v>49.2</v>
      </c>
      <c r="Z51" s="10">
        <v>47.5</v>
      </c>
      <c r="AA51" s="10">
        <v>47.61</v>
      </c>
      <c r="AB51" s="95">
        <v>5684500</v>
      </c>
      <c r="AC51" s="10">
        <v>47.61</v>
      </c>
      <c r="AD51" s="2">
        <f t="shared" si="0"/>
        <v>1.7000000000000028</v>
      </c>
      <c r="AE51" s="138">
        <f t="shared" si="1"/>
        <v>-6.3164108618654069E-2</v>
      </c>
    </row>
    <row r="52" spans="1:31" x14ac:dyDescent="0.25">
      <c r="A52" s="384"/>
      <c r="B52" s="384"/>
      <c r="C52" s="384"/>
      <c r="D52" s="385"/>
      <c r="E52" s="385"/>
      <c r="F52" s="385"/>
      <c r="G52" s="385"/>
      <c r="H52" s="384"/>
      <c r="I52" s="385"/>
      <c r="J52" s="385"/>
      <c r="K52" s="385"/>
      <c r="L52" s="384"/>
      <c r="M52" s="384"/>
      <c r="O52" s="83">
        <v>1.01</v>
      </c>
      <c r="P52" s="83">
        <f t="shared" si="7"/>
        <v>49.227400000000003</v>
      </c>
      <c r="Q52" s="83"/>
      <c r="R52" s="34"/>
      <c r="T52" s="93" t="s">
        <v>106</v>
      </c>
      <c r="U52" s="88" t="s">
        <v>231</v>
      </c>
      <c r="W52" s="133">
        <v>42544</v>
      </c>
      <c r="X52" s="10">
        <v>51.37</v>
      </c>
      <c r="Y52" s="10">
        <v>51.58</v>
      </c>
      <c r="Z52" s="10">
        <v>50.58</v>
      </c>
      <c r="AA52" s="10">
        <v>50.82</v>
      </c>
      <c r="AB52" s="95">
        <v>3150500</v>
      </c>
      <c r="AC52" s="10">
        <v>50.82</v>
      </c>
      <c r="AD52" s="2">
        <f t="shared" si="0"/>
        <v>1</v>
      </c>
      <c r="AE52" s="138">
        <f t="shared" si="1"/>
        <v>3.9370078740152969E-4</v>
      </c>
    </row>
    <row r="53" spans="1:31" x14ac:dyDescent="0.25">
      <c r="O53" s="83">
        <v>1</v>
      </c>
      <c r="P53" s="83">
        <f t="shared" si="7"/>
        <v>48.74</v>
      </c>
      <c r="Q53" s="83"/>
      <c r="R53" s="34"/>
      <c r="T53" s="93" t="s">
        <v>107</v>
      </c>
      <c r="U53" s="90">
        <v>2544118</v>
      </c>
      <c r="W53" s="133">
        <v>42543</v>
      </c>
      <c r="X53" s="10">
        <v>50.4</v>
      </c>
      <c r="Y53" s="10">
        <v>51.49</v>
      </c>
      <c r="Z53" s="10">
        <v>50.31</v>
      </c>
      <c r="AA53" s="10">
        <v>50.8</v>
      </c>
      <c r="AB53" s="95">
        <v>3417300</v>
      </c>
      <c r="AC53" s="10">
        <v>50.8</v>
      </c>
      <c r="AD53" s="2">
        <f t="shared" si="0"/>
        <v>1.1799999999999997</v>
      </c>
      <c r="AE53" s="138">
        <f t="shared" si="1"/>
        <v>2.7635215159889093E-3</v>
      </c>
    </row>
    <row r="54" spans="1:31" x14ac:dyDescent="0.25">
      <c r="O54" s="83">
        <v>0.99</v>
      </c>
      <c r="P54" s="83">
        <f t="shared" si="7"/>
        <v>48.252600000000001</v>
      </c>
      <c r="Q54" s="83"/>
      <c r="R54" s="34"/>
      <c r="T54" s="93" t="s">
        <v>110</v>
      </c>
      <c r="U54" s="90">
        <v>3122970</v>
      </c>
      <c r="W54" s="133">
        <v>42542</v>
      </c>
      <c r="X54" s="10">
        <v>50.33</v>
      </c>
      <c r="Y54" s="10">
        <v>50.74</v>
      </c>
      <c r="Z54" s="10">
        <v>49.89</v>
      </c>
      <c r="AA54" s="10">
        <v>50.66</v>
      </c>
      <c r="AB54" s="95">
        <v>2973100</v>
      </c>
      <c r="AC54" s="10">
        <v>50.66</v>
      </c>
      <c r="AD54" s="2">
        <f t="shared" si="0"/>
        <v>0.85000000000000142</v>
      </c>
      <c r="AE54" s="138">
        <f t="shared" si="1"/>
        <v>1.2390087929656124E-2</v>
      </c>
    </row>
    <row r="55" spans="1:31" x14ac:dyDescent="0.25">
      <c r="O55" s="83">
        <v>0.98</v>
      </c>
      <c r="P55" s="83">
        <f t="shared" si="7"/>
        <v>47.7652</v>
      </c>
      <c r="Q55" s="83"/>
      <c r="R55" s="34"/>
      <c r="T55" s="93" t="s">
        <v>108</v>
      </c>
      <c r="U55" s="88" t="s">
        <v>374</v>
      </c>
      <c r="W55" s="133">
        <v>42541</v>
      </c>
      <c r="X55" s="10">
        <v>50.89</v>
      </c>
      <c r="Y55" s="10">
        <v>51.08</v>
      </c>
      <c r="Z55" s="10">
        <v>50.01</v>
      </c>
      <c r="AA55" s="10">
        <v>50.04</v>
      </c>
      <c r="AB55" s="95">
        <v>2350100</v>
      </c>
      <c r="AC55" s="10">
        <v>50.04</v>
      </c>
      <c r="AD55" s="2">
        <f t="shared" si="0"/>
        <v>1.0700000000000003</v>
      </c>
      <c r="AE55" s="138">
        <f t="shared" si="1"/>
        <v>1.4008405043026695E-3</v>
      </c>
    </row>
    <row r="56" spans="1:31" x14ac:dyDescent="0.25">
      <c r="O56" s="83">
        <v>0.97</v>
      </c>
      <c r="P56" s="83">
        <f t="shared" si="7"/>
        <v>47.277799999999999</v>
      </c>
      <c r="Q56" s="83"/>
      <c r="R56" s="34"/>
      <c r="T56" s="93" t="s">
        <v>111</v>
      </c>
      <c r="U56" s="88">
        <v>11.1</v>
      </c>
      <c r="W56" s="133">
        <v>42538</v>
      </c>
      <c r="X56" s="10">
        <v>49.1</v>
      </c>
      <c r="Y56" s="10">
        <v>50.09</v>
      </c>
      <c r="Z56" s="10">
        <v>48.85</v>
      </c>
      <c r="AA56" s="10">
        <v>49.97</v>
      </c>
      <c r="AB56" s="95">
        <v>2793100</v>
      </c>
      <c r="AC56" s="10">
        <v>49.97</v>
      </c>
      <c r="AD56" s="2">
        <f t="shared" si="0"/>
        <v>1.240000000000002</v>
      </c>
      <c r="AE56" s="138">
        <f t="shared" si="1"/>
        <v>1.7926257893664532E-2</v>
      </c>
    </row>
    <row r="57" spans="1:31" x14ac:dyDescent="0.25">
      <c r="O57" s="83">
        <v>0.96</v>
      </c>
      <c r="P57" s="83">
        <f t="shared" si="7"/>
        <v>46.790399999999998</v>
      </c>
      <c r="Q57" s="83"/>
      <c r="R57" s="34"/>
      <c r="T57" s="93" t="s">
        <v>112</v>
      </c>
      <c r="U57" s="88">
        <v>4.43</v>
      </c>
      <c r="W57" s="133">
        <v>42537</v>
      </c>
      <c r="X57" s="10">
        <v>49.63</v>
      </c>
      <c r="Y57" s="10">
        <v>49.94</v>
      </c>
      <c r="Z57" s="10">
        <v>48.85</v>
      </c>
      <c r="AA57" s="10">
        <v>49.09</v>
      </c>
      <c r="AB57" s="95">
        <v>2786800</v>
      </c>
      <c r="AC57" s="10">
        <v>49.09</v>
      </c>
      <c r="AD57" s="2">
        <f t="shared" si="0"/>
        <v>1.0899999999999963</v>
      </c>
      <c r="AE57" s="138">
        <f t="shared" si="1"/>
        <v>-1.5838011226944615E-2</v>
      </c>
    </row>
    <row r="58" spans="1:31" x14ac:dyDescent="0.25">
      <c r="O58" s="83">
        <v>0.95</v>
      </c>
      <c r="P58" s="83">
        <f t="shared" si="7"/>
        <v>46.302999999999997</v>
      </c>
      <c r="Q58" s="83"/>
      <c r="R58" s="34"/>
      <c r="T58" s="93" t="s">
        <v>109</v>
      </c>
      <c r="U58" s="88" t="s">
        <v>124</v>
      </c>
      <c r="W58" s="133">
        <v>42536</v>
      </c>
      <c r="X58" s="10">
        <v>49.73</v>
      </c>
      <c r="Y58" s="10">
        <v>50.92</v>
      </c>
      <c r="Z58" s="10">
        <v>49.69</v>
      </c>
      <c r="AA58" s="10">
        <v>49.88</v>
      </c>
      <c r="AB58" s="95">
        <v>2861800</v>
      </c>
      <c r="AC58" s="10">
        <v>49.88</v>
      </c>
      <c r="AD58" s="2">
        <f t="shared" si="0"/>
        <v>1.230000000000004</v>
      </c>
      <c r="AE58" s="138">
        <f t="shared" si="1"/>
        <v>9.3079724807769715E-3</v>
      </c>
    </row>
    <row r="59" spans="1:31" x14ac:dyDescent="0.25">
      <c r="O59" s="83">
        <v>0.94</v>
      </c>
      <c r="P59" s="83">
        <f t="shared" si="7"/>
        <v>45.815599999999996</v>
      </c>
      <c r="Q59" s="83"/>
      <c r="W59" s="133">
        <v>42535</v>
      </c>
      <c r="X59" s="10">
        <v>49.28</v>
      </c>
      <c r="Y59" s="10">
        <v>49.97</v>
      </c>
      <c r="Z59" s="10">
        <v>48.77</v>
      </c>
      <c r="AA59" s="10">
        <v>49.42</v>
      </c>
      <c r="AB59" s="95">
        <v>3996000</v>
      </c>
      <c r="AC59" s="10">
        <v>49.42</v>
      </c>
      <c r="AD59" s="2">
        <f t="shared" si="0"/>
        <v>1.1999999999999957</v>
      </c>
      <c r="AE59" s="138">
        <f t="shared" si="1"/>
        <v>-5.0332192470303738E-3</v>
      </c>
    </row>
    <row r="60" spans="1:31" x14ac:dyDescent="0.25">
      <c r="O60" s="83">
        <v>0.93</v>
      </c>
      <c r="P60" s="83">
        <f t="shared" si="7"/>
        <v>45.328200000000002</v>
      </c>
      <c r="Q60" s="83"/>
      <c r="W60" s="133">
        <v>42534</v>
      </c>
      <c r="X60" s="10">
        <v>49.65</v>
      </c>
      <c r="Y60" s="10">
        <v>50.16</v>
      </c>
      <c r="Z60" s="10">
        <v>49.5</v>
      </c>
      <c r="AA60" s="10">
        <v>49.67</v>
      </c>
      <c r="AB60" s="95">
        <v>4274000</v>
      </c>
      <c r="AC60" s="10">
        <v>49.67</v>
      </c>
      <c r="AD60" s="2">
        <f t="shared" si="0"/>
        <v>0.65999999999999659</v>
      </c>
      <c r="AE60" s="138">
        <f t="shared" si="1"/>
        <v>-3.4109149277689044E-3</v>
      </c>
    </row>
    <row r="61" spans="1:31" x14ac:dyDescent="0.25">
      <c r="O61" s="83">
        <v>0.92</v>
      </c>
      <c r="P61" s="83">
        <f t="shared" si="7"/>
        <v>44.840800000000002</v>
      </c>
      <c r="Q61" s="83"/>
      <c r="W61" s="133">
        <v>42531</v>
      </c>
      <c r="X61" s="10">
        <v>50</v>
      </c>
      <c r="Y61" s="10">
        <v>50.49</v>
      </c>
      <c r="Z61" s="10">
        <v>49.76</v>
      </c>
      <c r="AA61" s="10">
        <v>49.84</v>
      </c>
      <c r="AB61" s="95">
        <v>3804500</v>
      </c>
      <c r="AC61" s="10">
        <v>49.84</v>
      </c>
      <c r="AD61" s="2">
        <f t="shared" si="0"/>
        <v>0.73000000000000398</v>
      </c>
      <c r="AE61" s="138">
        <f t="shared" si="1"/>
        <v>-1.7737485218762283E-2</v>
      </c>
    </row>
    <row r="62" spans="1:31" x14ac:dyDescent="0.25">
      <c r="O62" s="83">
        <v>0.91</v>
      </c>
      <c r="P62" s="83">
        <f t="shared" si="7"/>
        <v>44.353400000000001</v>
      </c>
      <c r="Q62" s="83"/>
      <c r="W62" s="133">
        <v>42530</v>
      </c>
      <c r="X62" s="10">
        <v>50.33</v>
      </c>
      <c r="Y62" s="10">
        <v>50.87</v>
      </c>
      <c r="Z62" s="10">
        <v>49.8</v>
      </c>
      <c r="AA62" s="10">
        <v>50.74</v>
      </c>
      <c r="AB62" s="95">
        <v>4610400</v>
      </c>
      <c r="AC62" s="10">
        <v>50.74</v>
      </c>
      <c r="AD62" s="2">
        <f t="shared" si="0"/>
        <v>1.0700000000000003</v>
      </c>
      <c r="AE62" s="138">
        <f t="shared" si="1"/>
        <v>1.38148805999605E-3</v>
      </c>
    </row>
    <row r="63" spans="1:31" x14ac:dyDescent="0.25">
      <c r="O63" s="83">
        <v>0.9</v>
      </c>
      <c r="P63" s="83">
        <f t="shared" si="7"/>
        <v>43.866</v>
      </c>
      <c r="Q63" s="83"/>
      <c r="W63" s="133">
        <v>42529</v>
      </c>
      <c r="X63" s="10">
        <v>50.86</v>
      </c>
      <c r="Y63" s="10">
        <v>50.9</v>
      </c>
      <c r="Z63" s="10">
        <v>50.3</v>
      </c>
      <c r="AA63" s="10">
        <v>50.67</v>
      </c>
      <c r="AB63" s="95">
        <v>6388800</v>
      </c>
      <c r="AC63" s="10">
        <v>50.67</v>
      </c>
      <c r="AD63" s="2">
        <f t="shared" si="0"/>
        <v>0.60000000000000142</v>
      </c>
      <c r="AE63" s="138">
        <f t="shared" si="1"/>
        <v>-3.5398230088495852E-3</v>
      </c>
    </row>
    <row r="64" spans="1:31" x14ac:dyDescent="0.25">
      <c r="Q64" s="83"/>
      <c r="W64" s="133">
        <v>42528</v>
      </c>
      <c r="X64" s="10">
        <v>49.17</v>
      </c>
      <c r="Y64" s="10">
        <v>50.97</v>
      </c>
      <c r="Z64" s="10">
        <v>49.16</v>
      </c>
      <c r="AA64" s="10">
        <v>50.85</v>
      </c>
      <c r="AB64" s="95">
        <v>6035200</v>
      </c>
      <c r="AC64" s="10">
        <v>50.85</v>
      </c>
      <c r="AD64" s="2">
        <f t="shared" si="0"/>
        <v>1.8100000000000023</v>
      </c>
      <c r="AE64" s="138">
        <f t="shared" si="1"/>
        <v>2.5408348457350183E-2</v>
      </c>
    </row>
    <row r="65" spans="15:31" x14ac:dyDescent="0.25">
      <c r="Q65" s="83"/>
      <c r="W65" s="133">
        <v>42527</v>
      </c>
      <c r="X65" s="10">
        <v>48.45</v>
      </c>
      <c r="Y65" s="10">
        <v>49.88</v>
      </c>
      <c r="Z65" s="10">
        <v>48.16</v>
      </c>
      <c r="AA65" s="10">
        <v>49.59</v>
      </c>
      <c r="AB65" s="95">
        <v>5458400</v>
      </c>
      <c r="AC65" s="10">
        <v>49.59</v>
      </c>
      <c r="AD65" s="2">
        <f t="shared" si="0"/>
        <v>1.720000000000006</v>
      </c>
      <c r="AE65" s="138">
        <f t="shared" si="1"/>
        <v>2.3529411764705799E-2</v>
      </c>
    </row>
    <row r="66" spans="15:31" x14ac:dyDescent="0.25">
      <c r="Q66" s="83"/>
      <c r="W66" s="133">
        <v>42524</v>
      </c>
      <c r="X66" s="10">
        <v>46.88</v>
      </c>
      <c r="Y66" s="10">
        <v>49.02</v>
      </c>
      <c r="Z66" s="10">
        <v>46.88</v>
      </c>
      <c r="AA66" s="10">
        <v>48.45</v>
      </c>
      <c r="AB66" s="95">
        <v>7149700</v>
      </c>
      <c r="AC66" s="10">
        <v>48.45</v>
      </c>
      <c r="AD66" s="2">
        <f t="shared" si="0"/>
        <v>2.1400000000000006</v>
      </c>
      <c r="AE66" s="138">
        <f t="shared" si="1"/>
        <v>1.9785308356135678E-2</v>
      </c>
    </row>
    <row r="67" spans="15:31" x14ac:dyDescent="0.25">
      <c r="Q67" s="83"/>
      <c r="W67" s="133">
        <v>42523</v>
      </c>
      <c r="X67" s="10">
        <v>45.42</v>
      </c>
      <c r="Y67" s="10">
        <v>47.83</v>
      </c>
      <c r="Z67" s="10">
        <v>45.3</v>
      </c>
      <c r="AA67" s="10">
        <v>47.51</v>
      </c>
      <c r="AB67" s="95">
        <v>9374100</v>
      </c>
      <c r="AC67" s="10">
        <v>47.51</v>
      </c>
      <c r="AD67" s="2">
        <f>Y67-Z67</f>
        <v>2.5300000000000011</v>
      </c>
      <c r="AE67" s="138" t="e">
        <f>AC67/AC68-1</f>
        <v>#DIV/0!</v>
      </c>
    </row>
    <row r="68" spans="15:31" x14ac:dyDescent="0.25">
      <c r="O68" s="34"/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54" priority="19">
      <formula>F31&gt;0</formula>
    </cfRule>
    <cfRule type="expression" dxfId="253" priority="20">
      <formula>F31&lt;0</formula>
    </cfRule>
  </conditionalFormatting>
  <conditionalFormatting sqref="H31:H33">
    <cfRule type="expression" dxfId="252" priority="11">
      <formula>H31&gt;0</formula>
    </cfRule>
    <cfRule type="expression" dxfId="251" priority="12">
      <formula>H31&lt;0</formula>
    </cfRule>
  </conditionalFormatting>
  <conditionalFormatting sqref="F21:F30">
    <cfRule type="expression" dxfId="250" priority="7">
      <formula>F21&gt;0</formula>
    </cfRule>
    <cfRule type="expression" dxfId="249" priority="8">
      <formula>F21&lt;0</formula>
    </cfRule>
  </conditionalFormatting>
  <conditionalFormatting sqref="H21:H30">
    <cfRule type="expression" dxfId="248" priority="5">
      <formula>H21&gt;0</formula>
    </cfRule>
    <cfRule type="expression" dxfId="247" priority="6">
      <formula>H21&lt;0</formula>
    </cfRule>
  </conditionalFormatting>
  <conditionalFormatting sqref="Q8">
    <cfRule type="expression" dxfId="246" priority="1">
      <formula>Q8&gt;0</formula>
    </cfRule>
    <cfRule type="expression" dxfId="245" priority="2">
      <formula>Q8&lt;0</formula>
    </cfRule>
  </conditionalFormatting>
  <conditionalFormatting sqref="Q7">
    <cfRule type="expression" dxfId="244" priority="3">
      <formula>Q7&gt;0</formula>
    </cfRule>
    <cfRule type="expression" dxfId="243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5703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127</v>
      </c>
      <c r="AF1" s="11" t="s">
        <v>129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42615</v>
      </c>
      <c r="Y2" s="9">
        <v>68.849999999999994</v>
      </c>
      <c r="Z2" s="9">
        <v>69.25</v>
      </c>
      <c r="AA2" s="9">
        <v>68.52</v>
      </c>
      <c r="AB2" s="9">
        <v>68.95</v>
      </c>
      <c r="AC2" s="104">
        <v>1505500</v>
      </c>
      <c r="AD2" s="9">
        <v>68.95</v>
      </c>
      <c r="AE2" s="2">
        <f>Z2-AA2</f>
        <v>0.73000000000000398</v>
      </c>
      <c r="AF2" s="138">
        <f>AD2/AD3-1</f>
        <v>4.223711039906819E-3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69.31</v>
      </c>
      <c r="T3" s="85"/>
      <c r="X3" s="110">
        <v>42614</v>
      </c>
      <c r="Y3" s="9">
        <v>68.97</v>
      </c>
      <c r="Z3" s="9">
        <v>69.08</v>
      </c>
      <c r="AA3" s="9">
        <v>68.319999999999993</v>
      </c>
      <c r="AB3" s="9">
        <v>68.66</v>
      </c>
      <c r="AC3" s="104">
        <v>1694800</v>
      </c>
      <c r="AD3" s="9">
        <v>68.66</v>
      </c>
      <c r="AE3" s="2">
        <f t="shared" ref="AE3:AE66" si="0">Z3-AA3</f>
        <v>0.76000000000000512</v>
      </c>
      <c r="AF3" s="138">
        <f t="shared" ref="AF3:AF66" si="1">AD3/AD4-1</f>
        <v>-4.3503480278421769E-3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69.31</v>
      </c>
      <c r="X4" s="110">
        <v>42613</v>
      </c>
      <c r="Y4" s="9">
        <v>69.19</v>
      </c>
      <c r="Z4" s="9">
        <v>69.239999999999995</v>
      </c>
      <c r="AA4" s="9">
        <v>68.489999999999995</v>
      </c>
      <c r="AB4" s="9">
        <v>68.959999999999994</v>
      </c>
      <c r="AC4" s="104">
        <v>2133000</v>
      </c>
      <c r="AD4" s="9">
        <v>68.959999999999994</v>
      </c>
      <c r="AE4" s="2">
        <f t="shared" si="0"/>
        <v>0.75</v>
      </c>
      <c r="AF4" s="138">
        <f t="shared" si="1"/>
        <v>-3.0359982651440021E-3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42612</v>
      </c>
      <c r="Y5" s="9">
        <v>68.739999999999995</v>
      </c>
      <c r="Z5" s="9">
        <v>69.23</v>
      </c>
      <c r="AA5" s="9">
        <v>68.739999999999995</v>
      </c>
      <c r="AB5" s="9">
        <v>69.17</v>
      </c>
      <c r="AC5" s="104">
        <v>1439200</v>
      </c>
      <c r="AD5" s="9">
        <v>69.17</v>
      </c>
      <c r="AE5" s="2">
        <f t="shared" si="0"/>
        <v>0.49000000000000909</v>
      </c>
      <c r="AF5" s="138">
        <f t="shared" si="1"/>
        <v>6.2554553389584377E-3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42611</v>
      </c>
      <c r="Y6" s="9">
        <v>68.27</v>
      </c>
      <c r="Z6" s="9">
        <v>68.92</v>
      </c>
      <c r="AA6" s="9">
        <v>68.14</v>
      </c>
      <c r="AB6" s="9">
        <v>68.739999999999995</v>
      </c>
      <c r="AC6" s="104">
        <v>1647000</v>
      </c>
      <c r="AD6" s="9">
        <v>68.739999999999995</v>
      </c>
      <c r="AE6" s="2">
        <f t="shared" si="0"/>
        <v>0.78000000000000114</v>
      </c>
      <c r="AF6" s="138" t="e">
        <f t="shared" si="1"/>
        <v>#DIV/0!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187</v>
      </c>
      <c r="Q7" s="2">
        <f>Q10+Q8</f>
        <v>523.61999999999898</v>
      </c>
      <c r="R7">
        <v>0</v>
      </c>
      <c r="T7" s="85"/>
      <c r="X7" s="110">
        <v>42611</v>
      </c>
      <c r="Y7" s="9" t="s">
        <v>237</v>
      </c>
      <c r="Z7" s="9"/>
      <c r="AA7" s="9"/>
      <c r="AB7" s="9"/>
      <c r="AC7" s="104"/>
      <c r="AD7" s="9"/>
      <c r="AE7" s="2">
        <f t="shared" si="0"/>
        <v>0</v>
      </c>
      <c r="AF7" s="138">
        <f t="shared" si="1"/>
        <v>-1</v>
      </c>
    </row>
    <row r="8" spans="1:32" x14ac:dyDescent="0.25">
      <c r="O8" s="11" t="s">
        <v>190</v>
      </c>
      <c r="P8" s="34"/>
      <c r="Q8" s="2">
        <f>K18+M18-F18+Q2*Q4</f>
        <v>0</v>
      </c>
      <c r="R8" s="165"/>
      <c r="T8" s="85"/>
      <c r="X8" s="110">
        <v>42608</v>
      </c>
      <c r="Y8" s="9">
        <v>68.73</v>
      </c>
      <c r="Z8" s="9">
        <v>68.88</v>
      </c>
      <c r="AA8" s="9">
        <v>68.069999999999993</v>
      </c>
      <c r="AB8" s="9">
        <v>68.319999999999993</v>
      </c>
      <c r="AC8" s="104">
        <v>1427700</v>
      </c>
      <c r="AD8" s="9">
        <v>67.989999999999995</v>
      </c>
      <c r="AE8" s="2">
        <f t="shared" si="0"/>
        <v>0.81000000000000227</v>
      </c>
      <c r="AF8" s="138">
        <f t="shared" si="1"/>
        <v>-3.2253335288080498E-3</v>
      </c>
    </row>
    <row r="9" spans="1:32" x14ac:dyDescent="0.25">
      <c r="O9" s="11" t="s">
        <v>224</v>
      </c>
      <c r="Q9" s="138">
        <f>IF(Q2=0, 0, Q8/Q6)</f>
        <v>0</v>
      </c>
      <c r="X9" s="110">
        <v>42607</v>
      </c>
      <c r="Y9" s="9">
        <v>68.22</v>
      </c>
      <c r="Z9" s="9">
        <v>68.680000000000007</v>
      </c>
      <c r="AA9" s="9">
        <v>68.12</v>
      </c>
      <c r="AB9" s="9">
        <v>68.540000000000006</v>
      </c>
      <c r="AC9" s="104">
        <v>1145100</v>
      </c>
      <c r="AD9" s="9">
        <v>68.209999999999994</v>
      </c>
      <c r="AE9" s="2">
        <f t="shared" si="0"/>
        <v>0.56000000000000227</v>
      </c>
      <c r="AF9" s="138">
        <f t="shared" si="1"/>
        <v>4.121890181068455E-3</v>
      </c>
    </row>
    <row r="10" spans="1:32" x14ac:dyDescent="0.25">
      <c r="O10" s="11" t="s">
        <v>223</v>
      </c>
      <c r="P10" s="34"/>
      <c r="Q10" s="2">
        <f>M40</f>
        <v>523.61999999999898</v>
      </c>
      <c r="T10" s="121"/>
      <c r="U10" s="68"/>
      <c r="X10" s="110">
        <v>42606</v>
      </c>
      <c r="Y10" s="9">
        <v>68.31</v>
      </c>
      <c r="Z10" s="9">
        <v>68.45</v>
      </c>
      <c r="AA10" s="9">
        <v>68.16</v>
      </c>
      <c r="AB10" s="9">
        <v>68.260000000000005</v>
      </c>
      <c r="AC10" s="104">
        <v>1004500</v>
      </c>
      <c r="AD10" s="9">
        <v>67.930000000000007</v>
      </c>
      <c r="AE10" s="2">
        <f t="shared" si="0"/>
        <v>0.29000000000000625</v>
      </c>
      <c r="AF10" s="138">
        <f t="shared" si="1"/>
        <v>-1.4699397324708929E-3</v>
      </c>
    </row>
    <row r="11" spans="1:32" x14ac:dyDescent="0.25">
      <c r="O11" s="11" t="s">
        <v>184</v>
      </c>
      <c r="P11" s="34"/>
      <c r="Q11" s="138">
        <f>VALUE(TRIM(CLEAN(MID(U55, FIND("(", U55)+1, 5))))</f>
        <v>1.9099999999999999E-2</v>
      </c>
      <c r="T11" s="121"/>
      <c r="U11" s="68"/>
      <c r="X11" s="110">
        <v>42605</v>
      </c>
      <c r="Y11" s="9">
        <v>68.91</v>
      </c>
      <c r="Z11" s="9">
        <v>69.14</v>
      </c>
      <c r="AA11" s="9">
        <v>68.36</v>
      </c>
      <c r="AB11" s="9">
        <v>68.36</v>
      </c>
      <c r="AC11" s="104">
        <v>1716200</v>
      </c>
      <c r="AD11" s="9">
        <v>68.03</v>
      </c>
      <c r="AE11" s="2">
        <f t="shared" si="0"/>
        <v>0.78000000000000114</v>
      </c>
      <c r="AF11" s="138">
        <f t="shared" si="1"/>
        <v>-7.4409104172746821E-3</v>
      </c>
    </row>
    <row r="12" spans="1:32" x14ac:dyDescent="0.25">
      <c r="X12" s="110">
        <v>42604</v>
      </c>
      <c r="Y12" s="9">
        <v>69.040000000000006</v>
      </c>
      <c r="Z12" s="9">
        <v>69.05</v>
      </c>
      <c r="AA12" s="9">
        <v>68.78</v>
      </c>
      <c r="AB12" s="9">
        <v>68.87</v>
      </c>
      <c r="AC12" s="104">
        <v>1171400</v>
      </c>
      <c r="AD12" s="9">
        <v>68.540000000000006</v>
      </c>
      <c r="AE12" s="2">
        <f t="shared" si="0"/>
        <v>0.26999999999999602</v>
      </c>
      <c r="AF12" s="138">
        <f t="shared" si="1"/>
        <v>-4.3579314352120146E-3</v>
      </c>
    </row>
    <row r="13" spans="1:32" x14ac:dyDescent="0.25">
      <c r="Q13" s="2"/>
      <c r="X13" s="110">
        <v>42601</v>
      </c>
      <c r="Y13" s="9">
        <v>69.13</v>
      </c>
      <c r="Z13" s="9">
        <v>69.42</v>
      </c>
      <c r="AA13" s="9">
        <v>69.03</v>
      </c>
      <c r="AB13" s="9">
        <v>69.17</v>
      </c>
      <c r="AC13" s="104">
        <v>1269400</v>
      </c>
      <c r="AD13" s="9">
        <v>68.84</v>
      </c>
      <c r="AE13" s="2">
        <f t="shared" si="0"/>
        <v>0.39000000000000057</v>
      </c>
      <c r="AF13" s="138">
        <f t="shared" si="1"/>
        <v>-3.7626628075252411E-3</v>
      </c>
    </row>
    <row r="14" spans="1:32" x14ac:dyDescent="0.25">
      <c r="X14" s="110">
        <v>42600</v>
      </c>
      <c r="Y14" s="9">
        <v>69.16</v>
      </c>
      <c r="Z14" s="9">
        <v>69.55</v>
      </c>
      <c r="AA14" s="9">
        <v>69.069999999999993</v>
      </c>
      <c r="AB14" s="9">
        <v>69.44</v>
      </c>
      <c r="AC14" s="104">
        <v>1657000</v>
      </c>
      <c r="AD14" s="9">
        <v>69.099999999999994</v>
      </c>
      <c r="AE14" s="2">
        <f t="shared" si="0"/>
        <v>0.48000000000000398</v>
      </c>
      <c r="AF14" s="138">
        <f t="shared" si="1"/>
        <v>4.5064689635119226E-3</v>
      </c>
    </row>
    <row r="15" spans="1:32" x14ac:dyDescent="0.25">
      <c r="X15" s="110">
        <v>42599</v>
      </c>
      <c r="Y15" s="9">
        <v>68.95</v>
      </c>
      <c r="Z15" s="9">
        <v>69.16</v>
      </c>
      <c r="AA15" s="9">
        <v>68.66</v>
      </c>
      <c r="AB15" s="9">
        <v>69.12</v>
      </c>
      <c r="AC15" s="104">
        <v>2091700</v>
      </c>
      <c r="AD15" s="9">
        <v>68.790000000000006</v>
      </c>
      <c r="AE15" s="2">
        <f t="shared" si="0"/>
        <v>0.5</v>
      </c>
      <c r="AF15" s="138">
        <f t="shared" si="1"/>
        <v>2.4774118332848705E-3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42598</v>
      </c>
      <c r="Y16" s="9">
        <v>68.91</v>
      </c>
      <c r="Z16" s="9">
        <v>69.47</v>
      </c>
      <c r="AA16" s="9">
        <v>68.91</v>
      </c>
      <c r="AB16" s="9">
        <v>68.95</v>
      </c>
      <c r="AC16" s="104">
        <v>1436800</v>
      </c>
      <c r="AD16" s="9">
        <v>68.62</v>
      </c>
      <c r="AE16" s="2">
        <f t="shared" si="0"/>
        <v>0.56000000000000227</v>
      </c>
      <c r="AF16" s="138">
        <f t="shared" si="1"/>
        <v>-6.2273714699492277E-3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42597</v>
      </c>
      <c r="Y17" s="9">
        <v>69.13</v>
      </c>
      <c r="Z17" s="9">
        <v>69.45</v>
      </c>
      <c r="AA17" s="9">
        <v>69.010000000000005</v>
      </c>
      <c r="AB17" s="9">
        <v>69.39</v>
      </c>
      <c r="AC17" s="104">
        <v>1537700</v>
      </c>
      <c r="AD17" s="9">
        <v>69.05</v>
      </c>
      <c r="AE17" s="2">
        <f t="shared" si="0"/>
        <v>0.43999999999999773</v>
      </c>
      <c r="AF17" s="138">
        <f t="shared" si="1"/>
        <v>3.6337209302326201E-3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42594</v>
      </c>
      <c r="Y18" s="9">
        <v>69.06</v>
      </c>
      <c r="Z18" s="9">
        <v>69.25</v>
      </c>
      <c r="AA18" s="9">
        <v>68.84</v>
      </c>
      <c r="AB18" s="9">
        <v>69.13</v>
      </c>
      <c r="AC18" s="104">
        <v>903100</v>
      </c>
      <c r="AD18" s="9">
        <v>68.8</v>
      </c>
      <c r="AE18" s="2">
        <f t="shared" si="0"/>
        <v>0.40999999999999659</v>
      </c>
      <c r="AF18" s="138">
        <f t="shared" si="1"/>
        <v>2.9078220412914746E-4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42593</v>
      </c>
      <c r="Y19" s="9">
        <v>69.42</v>
      </c>
      <c r="Z19" s="9">
        <v>69.510000000000005</v>
      </c>
      <c r="AA19" s="9">
        <v>69.040000000000006</v>
      </c>
      <c r="AB19" s="9">
        <v>69.11</v>
      </c>
      <c r="AC19" s="104">
        <v>1796700</v>
      </c>
      <c r="AD19" s="9">
        <v>68.78</v>
      </c>
      <c r="AE19" s="2">
        <f t="shared" si="0"/>
        <v>0.46999999999999886</v>
      </c>
      <c r="AF19" s="138">
        <f t="shared" si="1"/>
        <v>-4.3427909669947473E-3</v>
      </c>
    </row>
    <row r="20" spans="1:32" x14ac:dyDescent="0.25">
      <c r="X20" s="110">
        <v>42592</v>
      </c>
      <c r="Y20" s="9">
        <v>69.37</v>
      </c>
      <c r="Z20" s="9">
        <v>69.47</v>
      </c>
      <c r="AA20" s="9">
        <v>69.16</v>
      </c>
      <c r="AB20" s="9">
        <v>69.42</v>
      </c>
      <c r="AC20" s="104">
        <v>941800</v>
      </c>
      <c r="AD20" s="9">
        <v>69.08</v>
      </c>
      <c r="AE20" s="2">
        <f t="shared" si="0"/>
        <v>0.31000000000000227</v>
      </c>
      <c r="AF20" s="138">
        <f t="shared" si="1"/>
        <v>7.2432275822098546E-4</v>
      </c>
    </row>
    <row r="21" spans="1:32" x14ac:dyDescent="0.25">
      <c r="X21" s="110">
        <v>42591</v>
      </c>
      <c r="Y21" s="9">
        <v>69.17</v>
      </c>
      <c r="Z21" s="9">
        <v>69.5</v>
      </c>
      <c r="AA21" s="9">
        <v>69</v>
      </c>
      <c r="AB21" s="9">
        <v>69.37</v>
      </c>
      <c r="AC21" s="104">
        <v>1053100</v>
      </c>
      <c r="AD21" s="9">
        <v>69.03</v>
      </c>
      <c r="AE21" s="2">
        <f t="shared" si="0"/>
        <v>0.5</v>
      </c>
      <c r="AF21" s="138">
        <f t="shared" si="1"/>
        <v>2.7600232423008464E-3</v>
      </c>
    </row>
    <row r="22" spans="1:32" x14ac:dyDescent="0.25">
      <c r="X22" s="110">
        <v>42590</v>
      </c>
      <c r="Y22" s="9">
        <v>68.84</v>
      </c>
      <c r="Z22" s="9">
        <v>69.180000000000007</v>
      </c>
      <c r="AA22" s="9">
        <v>68.709999999999994</v>
      </c>
      <c r="AB22" s="9">
        <v>69.17</v>
      </c>
      <c r="AC22" s="104">
        <v>2194500</v>
      </c>
      <c r="AD22" s="9">
        <v>68.84</v>
      </c>
      <c r="AE22" s="2">
        <f t="shared" si="0"/>
        <v>0.47000000000001307</v>
      </c>
      <c r="AF22" s="138">
        <f t="shared" si="1"/>
        <v>4.8168150634944062E-3</v>
      </c>
    </row>
    <row r="23" spans="1:32" x14ac:dyDescent="0.25">
      <c r="X23" s="110">
        <v>42587</v>
      </c>
      <c r="Y23" s="9">
        <v>68.72</v>
      </c>
      <c r="Z23" s="9">
        <v>68.97</v>
      </c>
      <c r="AA23" s="9">
        <v>68.5</v>
      </c>
      <c r="AB23" s="9">
        <v>68.84</v>
      </c>
      <c r="AC23" s="104">
        <v>1620200</v>
      </c>
      <c r="AD23" s="9">
        <v>68.510000000000005</v>
      </c>
      <c r="AE23" s="2">
        <f t="shared" si="0"/>
        <v>0.46999999999999886</v>
      </c>
      <c r="AF23" s="138">
        <f t="shared" si="1"/>
        <v>3.2215551325229796E-3</v>
      </c>
    </row>
    <row r="24" spans="1:32" x14ac:dyDescent="0.25">
      <c r="X24" s="110">
        <v>42586</v>
      </c>
      <c r="Y24" s="9">
        <v>67.989999999999995</v>
      </c>
      <c r="Z24" s="9">
        <v>69.239999999999995</v>
      </c>
      <c r="AA24" s="9">
        <v>67.989999999999995</v>
      </c>
      <c r="AB24" s="9">
        <v>68.62</v>
      </c>
      <c r="AC24" s="104">
        <v>2149800</v>
      </c>
      <c r="AD24" s="9">
        <v>68.290000000000006</v>
      </c>
      <c r="AE24" s="2">
        <f t="shared" si="0"/>
        <v>1.25</v>
      </c>
      <c r="AF24" s="138">
        <f t="shared" si="1"/>
        <v>-1.4641288433370203E-4</v>
      </c>
    </row>
    <row r="25" spans="1:32" x14ac:dyDescent="0.25">
      <c r="X25" s="110">
        <v>42585</v>
      </c>
      <c r="Y25" s="9">
        <v>68.28</v>
      </c>
      <c r="Z25" s="9">
        <v>68.709999999999994</v>
      </c>
      <c r="AA25" s="9">
        <v>68.180000000000007</v>
      </c>
      <c r="AB25" s="9">
        <v>68.63</v>
      </c>
      <c r="AC25" s="104">
        <v>2032700</v>
      </c>
      <c r="AD25" s="9">
        <v>68.3</v>
      </c>
      <c r="AE25" s="2">
        <f t="shared" si="0"/>
        <v>0.52999999999998693</v>
      </c>
      <c r="AF25" s="138">
        <f t="shared" si="1"/>
        <v>7.6718796105044174E-3</v>
      </c>
    </row>
    <row r="26" spans="1:32" x14ac:dyDescent="0.25">
      <c r="B26" s="191" t="s">
        <v>114</v>
      </c>
      <c r="C26" s="191" t="s">
        <v>150</v>
      </c>
      <c r="D26" s="192" t="s">
        <v>149</v>
      </c>
      <c r="E26" s="194" t="s">
        <v>151</v>
      </c>
      <c r="F26" s="195" t="s">
        <v>65</v>
      </c>
      <c r="G26" s="229" t="s">
        <v>155</v>
      </c>
      <c r="H26" s="229" t="s">
        <v>88</v>
      </c>
      <c r="X26" s="110">
        <v>42584</v>
      </c>
      <c r="Y26" s="9">
        <v>68.33</v>
      </c>
      <c r="Z26" s="9">
        <v>68.55</v>
      </c>
      <c r="AA26" s="9">
        <v>68.03</v>
      </c>
      <c r="AB26" s="9">
        <v>68.11</v>
      </c>
      <c r="AC26" s="104">
        <v>1344400</v>
      </c>
      <c r="AD26" s="9">
        <v>67.78</v>
      </c>
      <c r="AE26" s="2">
        <f t="shared" si="0"/>
        <v>0.51999999999999602</v>
      </c>
      <c r="AF26" s="138">
        <f t="shared" si="1"/>
        <v>-4.11401704378489E-3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42583</v>
      </c>
      <c r="Y27" s="9">
        <v>68.44</v>
      </c>
      <c r="Z27" s="9">
        <v>68.569999999999993</v>
      </c>
      <c r="AA27" s="9">
        <v>68.03</v>
      </c>
      <c r="AB27" s="9">
        <v>68.39</v>
      </c>
      <c r="AC27" s="104">
        <v>1728900</v>
      </c>
      <c r="AD27" s="9">
        <v>68.06</v>
      </c>
      <c r="AE27" s="2">
        <f t="shared" si="0"/>
        <v>0.53999999999999204</v>
      </c>
      <c r="AF27" s="138">
        <f t="shared" si="1"/>
        <v>8.8235294117655627E-4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42580</v>
      </c>
      <c r="Y28" s="9">
        <v>68.91</v>
      </c>
      <c r="Z28" s="9">
        <v>68.98</v>
      </c>
      <c r="AA28" s="9">
        <v>68.099999999999994</v>
      </c>
      <c r="AB28" s="9">
        <v>68.33</v>
      </c>
      <c r="AC28" s="104">
        <v>2614600</v>
      </c>
      <c r="AD28" s="9">
        <v>68</v>
      </c>
      <c r="AE28" s="2">
        <f t="shared" si="0"/>
        <v>0.88000000000000966</v>
      </c>
      <c r="AF28" s="138">
        <f t="shared" si="1"/>
        <v>-1.2202208018593841E-2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42579</v>
      </c>
      <c r="Y29" s="9">
        <v>68.84</v>
      </c>
      <c r="Z29" s="9">
        <v>69.37</v>
      </c>
      <c r="AA29" s="9">
        <v>68.64</v>
      </c>
      <c r="AB29" s="9">
        <v>69.17</v>
      </c>
      <c r="AC29" s="104">
        <v>903600</v>
      </c>
      <c r="AD29" s="9">
        <v>68.84</v>
      </c>
      <c r="AE29" s="2">
        <f t="shared" si="0"/>
        <v>0.73000000000000398</v>
      </c>
      <c r="AF29" s="138">
        <f t="shared" si="1"/>
        <v>4.5235663213192279E-3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42578</v>
      </c>
      <c r="Y30" s="9">
        <v>68.94</v>
      </c>
      <c r="Z30" s="9">
        <v>69.17</v>
      </c>
      <c r="AA30" s="9">
        <v>68.7</v>
      </c>
      <c r="AB30" s="9">
        <v>68.86</v>
      </c>
      <c r="AC30" s="104">
        <v>1321600</v>
      </c>
      <c r="AD30" s="9">
        <v>68.53</v>
      </c>
      <c r="AE30" s="2">
        <f t="shared" si="0"/>
        <v>0.46999999999999886</v>
      </c>
      <c r="AF30" s="138">
        <f t="shared" si="1"/>
        <v>-2.6197060107697734E-3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42577</v>
      </c>
      <c r="Y31" s="9">
        <v>69.27</v>
      </c>
      <c r="Z31" s="9">
        <v>69.5</v>
      </c>
      <c r="AA31" s="9">
        <v>68.86</v>
      </c>
      <c r="AB31" s="9">
        <v>69.040000000000006</v>
      </c>
      <c r="AC31" s="104">
        <v>905700</v>
      </c>
      <c r="AD31" s="9">
        <v>68.709999999999994</v>
      </c>
      <c r="AE31" s="2">
        <f t="shared" si="0"/>
        <v>0.64000000000000057</v>
      </c>
      <c r="AF31" s="138">
        <f t="shared" si="1"/>
        <v>-2.6128610828858312E-3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42576</v>
      </c>
      <c r="Y32" s="9">
        <v>69.16</v>
      </c>
      <c r="Z32" s="9">
        <v>69.3</v>
      </c>
      <c r="AA32" s="9">
        <v>69</v>
      </c>
      <c r="AB32" s="9">
        <v>69.22</v>
      </c>
      <c r="AC32" s="104">
        <v>1011700</v>
      </c>
      <c r="AD32" s="9">
        <v>68.89</v>
      </c>
      <c r="AE32" s="2">
        <f t="shared" si="0"/>
        <v>0.29999999999999716</v>
      </c>
      <c r="AF32" s="138">
        <f t="shared" si="1"/>
        <v>2.9040220705667252E-4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42573</v>
      </c>
      <c r="Y33" s="9">
        <v>69.069999999999993</v>
      </c>
      <c r="Z33" s="9">
        <v>69.31</v>
      </c>
      <c r="AA33" s="9">
        <v>68.98</v>
      </c>
      <c r="AB33" s="9">
        <v>69.2</v>
      </c>
      <c r="AC33" s="104">
        <v>1185600</v>
      </c>
      <c r="AD33" s="9">
        <v>68.87</v>
      </c>
      <c r="AE33" s="2">
        <f t="shared" si="0"/>
        <v>0.32999999999999829</v>
      </c>
      <c r="AF33" s="138">
        <f t="shared" si="1"/>
        <v>4.5215869311552304E-3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42572</v>
      </c>
      <c r="Y34" s="9">
        <v>69.069999999999993</v>
      </c>
      <c r="Z34" s="9">
        <v>69.12</v>
      </c>
      <c r="AA34" s="9">
        <v>68.8</v>
      </c>
      <c r="AB34" s="9">
        <v>68.89</v>
      </c>
      <c r="AC34" s="104">
        <v>1041300</v>
      </c>
      <c r="AD34" s="9">
        <v>68.56</v>
      </c>
      <c r="AE34" s="2">
        <f t="shared" si="0"/>
        <v>0.32000000000000739</v>
      </c>
      <c r="AF34" s="138">
        <f t="shared" si="1"/>
        <v>-3.0536571179292649E-3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545" t="s">
        <v>78</v>
      </c>
      <c r="P35" s="545"/>
      <c r="X35" s="110">
        <v>42571</v>
      </c>
      <c r="Y35" s="9">
        <v>69.27</v>
      </c>
      <c r="Z35" s="9">
        <v>69.3</v>
      </c>
      <c r="AA35" s="9">
        <v>68.989999999999995</v>
      </c>
      <c r="AB35" s="9">
        <v>69.099999999999994</v>
      </c>
      <c r="AC35" s="104">
        <v>865400</v>
      </c>
      <c r="AD35" s="9">
        <v>68.77</v>
      </c>
      <c r="AE35" s="2">
        <f t="shared" si="0"/>
        <v>0.31000000000000227</v>
      </c>
      <c r="AF35" s="138">
        <f t="shared" si="1"/>
        <v>-2.9073993313000202E-4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76.241000000000014</v>
      </c>
      <c r="Q36" s="2"/>
      <c r="X36" s="110">
        <v>42570</v>
      </c>
      <c r="Y36" s="9">
        <v>69.06</v>
      </c>
      <c r="Z36" s="9">
        <v>69.22</v>
      </c>
      <c r="AA36" s="9">
        <v>68.97</v>
      </c>
      <c r="AB36" s="9">
        <v>69.12</v>
      </c>
      <c r="AC36" s="104">
        <v>869400</v>
      </c>
      <c r="AD36" s="9">
        <v>68.790000000000006</v>
      </c>
      <c r="AE36" s="2">
        <f t="shared" si="0"/>
        <v>0.25</v>
      </c>
      <c r="AF36" s="138">
        <f t="shared" si="1"/>
        <v>-3.3323674297303096E-3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75.547900000000013</v>
      </c>
      <c r="Q37" s="2"/>
      <c r="X37" s="110">
        <v>42569</v>
      </c>
      <c r="Y37" s="9">
        <v>69.59</v>
      </c>
      <c r="Z37" s="9">
        <v>69.75</v>
      </c>
      <c r="AA37" s="9">
        <v>69.28</v>
      </c>
      <c r="AB37" s="9">
        <v>69.349999999999994</v>
      </c>
      <c r="AC37" s="104">
        <v>1280400</v>
      </c>
      <c r="AD37" s="9">
        <v>69.02</v>
      </c>
      <c r="AE37" s="2">
        <f t="shared" si="0"/>
        <v>0.46999999999999886</v>
      </c>
      <c r="AF37" s="138">
        <f t="shared" si="1"/>
        <v>-1.8799710773681477E-3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74.854800000000012</v>
      </c>
      <c r="Q38" s="2"/>
      <c r="X38" s="110">
        <v>42566</v>
      </c>
      <c r="Y38" s="9">
        <v>69.459999999999994</v>
      </c>
      <c r="Z38" s="9">
        <v>69.7</v>
      </c>
      <c r="AA38" s="9">
        <v>69.349999999999994</v>
      </c>
      <c r="AB38" s="9">
        <v>69.489999999999995</v>
      </c>
      <c r="AC38" s="104">
        <v>1490000</v>
      </c>
      <c r="AD38" s="9">
        <v>69.150000000000006</v>
      </c>
      <c r="AE38" s="2">
        <f t="shared" si="0"/>
        <v>0.35000000000000853</v>
      </c>
      <c r="AF38" s="138">
        <f t="shared" si="1"/>
        <v>2.4644824586836922E-3</v>
      </c>
    </row>
    <row r="39" spans="1:32" ht="20.25" thickBot="1" x14ac:dyDescent="0.35">
      <c r="O39" s="83">
        <v>1.07</v>
      </c>
      <c r="P39" s="83">
        <f t="shared" si="3"/>
        <v>74.16170000000001</v>
      </c>
      <c r="Q39" s="2"/>
      <c r="T39" s="112" t="s">
        <v>92</v>
      </c>
      <c r="U39" s="2"/>
      <c r="X39" s="110">
        <v>42565</v>
      </c>
      <c r="Y39" s="9">
        <v>69.62</v>
      </c>
      <c r="Z39" s="9">
        <v>69.92</v>
      </c>
      <c r="AA39" s="9">
        <v>69.25</v>
      </c>
      <c r="AB39" s="9">
        <v>69.31</v>
      </c>
      <c r="AC39" s="104">
        <v>1454400</v>
      </c>
      <c r="AD39" s="9">
        <v>68.98</v>
      </c>
      <c r="AE39" s="2">
        <f t="shared" si="0"/>
        <v>0.67000000000000171</v>
      </c>
      <c r="AF39" s="138">
        <f t="shared" si="1"/>
        <v>4.3509789702689261E-4</v>
      </c>
    </row>
    <row r="40" spans="1:32" ht="15.75" thickTop="1" x14ac:dyDescent="0.25">
      <c r="L40" t="s">
        <v>223</v>
      </c>
      <c r="M40" s="2">
        <f>K56+M56-F56</f>
        <v>523.61999999999898</v>
      </c>
      <c r="O40" s="83">
        <v>1.06</v>
      </c>
      <c r="P40" s="83">
        <f t="shared" si="3"/>
        <v>73.468600000000009</v>
      </c>
      <c r="Q40" s="2"/>
      <c r="T40" s="113" t="s">
        <v>98</v>
      </c>
      <c r="U40" s="106">
        <v>68.66</v>
      </c>
      <c r="X40" s="110">
        <v>42564</v>
      </c>
      <c r="Y40" s="9">
        <v>69.709999999999994</v>
      </c>
      <c r="Z40" s="9">
        <v>69.75</v>
      </c>
      <c r="AA40" s="9">
        <v>69.22</v>
      </c>
      <c r="AB40" s="9">
        <v>69.28</v>
      </c>
      <c r="AC40" s="104">
        <v>2002600</v>
      </c>
      <c r="AD40" s="9">
        <v>68.95</v>
      </c>
      <c r="AE40" s="2">
        <f t="shared" si="0"/>
        <v>0.53000000000000114</v>
      </c>
      <c r="AF40" s="138">
        <f t="shared" si="1"/>
        <v>-4.4758879584175792E-3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72.775500000000008</v>
      </c>
      <c r="Q41" s="2"/>
      <c r="T41" s="113" t="s">
        <v>99</v>
      </c>
      <c r="U41" s="106">
        <v>68.849999999999994</v>
      </c>
      <c r="X41" s="110">
        <v>42563</v>
      </c>
      <c r="Y41" s="9">
        <v>70.25</v>
      </c>
      <c r="Z41" s="9">
        <v>70.38</v>
      </c>
      <c r="AA41" s="9">
        <v>69.58</v>
      </c>
      <c r="AB41" s="9">
        <v>69.599999999999994</v>
      </c>
      <c r="AC41" s="104">
        <v>2316900</v>
      </c>
      <c r="AD41" s="9">
        <v>69.260000000000005</v>
      </c>
      <c r="AE41" s="2">
        <f t="shared" si="0"/>
        <v>0.79999999999999716</v>
      </c>
      <c r="AF41" s="138">
        <f t="shared" si="1"/>
        <v>-4.8850574712642203E-3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72.082400000000007</v>
      </c>
      <c r="Q42" s="2"/>
      <c r="T42" s="113" t="s">
        <v>100</v>
      </c>
      <c r="U42" s="106" t="s">
        <v>434</v>
      </c>
      <c r="X42" s="110">
        <v>42562</v>
      </c>
      <c r="Y42" s="9">
        <v>69.66</v>
      </c>
      <c r="Z42" s="9">
        <v>70.12</v>
      </c>
      <c r="AA42" s="9">
        <v>69.510000000000005</v>
      </c>
      <c r="AB42" s="9">
        <v>69.94</v>
      </c>
      <c r="AC42" s="104">
        <v>1698200</v>
      </c>
      <c r="AD42" s="9">
        <v>69.599999999999994</v>
      </c>
      <c r="AE42" s="2">
        <f t="shared" si="0"/>
        <v>0.60999999999999943</v>
      </c>
      <c r="AF42" s="138">
        <f t="shared" si="1"/>
        <v>4.0392383150607003E-3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71.389300000000006</v>
      </c>
      <c r="Q43" s="2"/>
      <c r="T43" s="113" t="s">
        <v>101</v>
      </c>
      <c r="U43" s="106" t="s">
        <v>435</v>
      </c>
      <c r="X43" s="110">
        <v>42559</v>
      </c>
      <c r="Y43" s="9">
        <v>69.680000000000007</v>
      </c>
      <c r="Z43" s="9">
        <v>69.69</v>
      </c>
      <c r="AA43" s="9">
        <v>69.06</v>
      </c>
      <c r="AB43" s="9">
        <v>69.66</v>
      </c>
      <c r="AC43" s="104">
        <v>1675600</v>
      </c>
      <c r="AD43" s="9">
        <v>69.319999999999993</v>
      </c>
      <c r="AE43" s="2">
        <f t="shared" si="0"/>
        <v>0.62999999999999545</v>
      </c>
      <c r="AF43" s="138">
        <f t="shared" si="1"/>
        <v>1.0348345722197783E-2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70.696200000000005</v>
      </c>
      <c r="Q44" s="2"/>
      <c r="T44" s="113" t="s">
        <v>102</v>
      </c>
      <c r="U44" s="106">
        <v>74.44</v>
      </c>
      <c r="X44" s="110">
        <v>42558</v>
      </c>
      <c r="Y44" s="9">
        <v>69.45</v>
      </c>
      <c r="Z44" s="9">
        <v>69.77</v>
      </c>
      <c r="AA44" s="9">
        <v>68.790000000000006</v>
      </c>
      <c r="AB44" s="9">
        <v>68.94</v>
      </c>
      <c r="AC44" s="104">
        <v>1928200</v>
      </c>
      <c r="AD44" s="9">
        <v>68.61</v>
      </c>
      <c r="AE44" s="2">
        <f t="shared" si="0"/>
        <v>0.97999999999998977</v>
      </c>
      <c r="AF44" s="138">
        <f t="shared" si="1"/>
        <v>-7.3784722222223209E-3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70.003100000000003</v>
      </c>
      <c r="Q45" s="2"/>
      <c r="T45" s="113" t="s">
        <v>103</v>
      </c>
      <c r="U45" s="106">
        <v>0.98407900000000004</v>
      </c>
      <c r="X45" s="110">
        <v>42557</v>
      </c>
      <c r="Y45" s="9">
        <v>69.12</v>
      </c>
      <c r="Z45" s="9">
        <v>69.680000000000007</v>
      </c>
      <c r="AA45" s="9">
        <v>69.05</v>
      </c>
      <c r="AB45" s="9">
        <v>69.459999999999994</v>
      </c>
      <c r="AC45" s="104">
        <v>2210300</v>
      </c>
      <c r="AD45" s="9">
        <v>69.12</v>
      </c>
      <c r="AE45" s="2">
        <f t="shared" si="0"/>
        <v>0.63000000000000966</v>
      </c>
      <c r="AF45" s="138">
        <f t="shared" si="1"/>
        <v>2.029573789504191E-3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69.31</v>
      </c>
      <c r="Q46" s="2"/>
      <c r="T46" s="113" t="s">
        <v>104</v>
      </c>
      <c r="U46" s="106" t="s">
        <v>333</v>
      </c>
      <c r="X46" s="110">
        <v>42556</v>
      </c>
      <c r="Y46" s="9">
        <v>69.290000000000006</v>
      </c>
      <c r="Z46" s="9">
        <v>69.75</v>
      </c>
      <c r="AA46" s="9">
        <v>69.040000000000006</v>
      </c>
      <c r="AB46" s="9">
        <v>69.31</v>
      </c>
      <c r="AC46" s="104">
        <v>2234900</v>
      </c>
      <c r="AD46" s="9">
        <v>68.98</v>
      </c>
      <c r="AE46" s="2">
        <f t="shared" si="0"/>
        <v>0.70999999999999375</v>
      </c>
      <c r="AF46" s="138">
        <f t="shared" si="1"/>
        <v>-3.4672060098236424E-3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68.616900000000001</v>
      </c>
      <c r="Q47" s="2"/>
      <c r="T47" s="113"/>
      <c r="U47" s="106"/>
      <c r="X47" s="110">
        <v>42552</v>
      </c>
      <c r="Y47" s="9">
        <v>69.95</v>
      </c>
      <c r="Z47" s="9">
        <v>69.95</v>
      </c>
      <c r="AA47" s="9">
        <v>69.48</v>
      </c>
      <c r="AB47" s="9">
        <v>69.56</v>
      </c>
      <c r="AC47" s="104">
        <v>1971600</v>
      </c>
      <c r="AD47" s="9">
        <v>69.22</v>
      </c>
      <c r="AE47" s="2">
        <f t="shared" si="0"/>
        <v>0.46999999999999886</v>
      </c>
      <c r="AF47" s="138">
        <f t="shared" si="1"/>
        <v>-5.602643298376675E-3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67.9238</v>
      </c>
      <c r="Q48" s="2"/>
      <c r="T48" s="113" t="s">
        <v>105</v>
      </c>
      <c r="U48" s="106" t="s">
        <v>436</v>
      </c>
      <c r="X48" s="110">
        <v>42551</v>
      </c>
      <c r="Y48" s="9">
        <v>68.540000000000006</v>
      </c>
      <c r="Z48" s="9">
        <v>69.95</v>
      </c>
      <c r="AA48" s="9">
        <v>68.52</v>
      </c>
      <c r="AB48" s="9">
        <v>69.95</v>
      </c>
      <c r="AC48" s="104">
        <v>2638000</v>
      </c>
      <c r="AD48" s="9">
        <v>69.61</v>
      </c>
      <c r="AE48" s="2">
        <f t="shared" si="0"/>
        <v>1.4300000000000068</v>
      </c>
      <c r="AF48" s="138">
        <f t="shared" si="1"/>
        <v>2.1573231582036945E-2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67.230699999999999</v>
      </c>
      <c r="T49" s="113" t="s">
        <v>106</v>
      </c>
      <c r="U49" s="106" t="s">
        <v>358</v>
      </c>
      <c r="X49" s="110">
        <v>42550</v>
      </c>
      <c r="Y49" s="9">
        <v>67.989999999999995</v>
      </c>
      <c r="Z49" s="9">
        <v>68.53</v>
      </c>
      <c r="AA49" s="9">
        <v>67.53</v>
      </c>
      <c r="AB49" s="9">
        <v>68.47</v>
      </c>
      <c r="AC49" s="104">
        <v>3098300</v>
      </c>
      <c r="AD49" s="9">
        <v>68.14</v>
      </c>
      <c r="AE49" s="2">
        <f t="shared" si="0"/>
        <v>1</v>
      </c>
      <c r="AF49" s="138">
        <f t="shared" si="1"/>
        <v>1.0979228486646786E-2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66.537599999999998</v>
      </c>
      <c r="T50" s="113" t="s">
        <v>107</v>
      </c>
      <c r="U50" s="107">
        <v>1507288</v>
      </c>
      <c r="X50" s="110">
        <v>42549</v>
      </c>
      <c r="Y50" s="9">
        <v>66.650000000000006</v>
      </c>
      <c r="Z50" s="9">
        <v>67.739999999999995</v>
      </c>
      <c r="AA50" s="9">
        <v>66.33</v>
      </c>
      <c r="AB50" s="9">
        <v>67.73</v>
      </c>
      <c r="AC50" s="104">
        <v>3001500</v>
      </c>
      <c r="AD50" s="9">
        <v>67.400000000000006</v>
      </c>
      <c r="AE50" s="2">
        <f t="shared" si="0"/>
        <v>1.4099999999999966</v>
      </c>
      <c r="AF50" s="138">
        <f t="shared" si="1"/>
        <v>2.5250988743535263E-2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65.844499999999996</v>
      </c>
      <c r="T51" s="113" t="s">
        <v>110</v>
      </c>
      <c r="U51" s="107">
        <v>1683660</v>
      </c>
      <c r="X51" s="110">
        <v>42548</v>
      </c>
      <c r="Y51" s="9">
        <v>65.739999999999995</v>
      </c>
      <c r="Z51" s="9">
        <v>66.290000000000006</v>
      </c>
      <c r="AA51" s="9">
        <v>65.27</v>
      </c>
      <c r="AB51" s="9">
        <v>66.06</v>
      </c>
      <c r="AC51" s="104">
        <v>3104100</v>
      </c>
      <c r="AD51" s="9">
        <v>65.739999999999995</v>
      </c>
      <c r="AE51" s="2">
        <f t="shared" si="0"/>
        <v>1.0200000000000102</v>
      </c>
      <c r="AF51" s="138">
        <f t="shared" si="1"/>
        <v>-3.033060357901185E-3</v>
      </c>
    </row>
    <row r="52" spans="1:32" x14ac:dyDescent="0.25">
      <c r="O52" s="83">
        <v>0.94</v>
      </c>
      <c r="P52" s="83">
        <f t="shared" si="3"/>
        <v>65.151399999999995</v>
      </c>
      <c r="T52" s="113" t="s">
        <v>108</v>
      </c>
      <c r="U52" s="106" t="s">
        <v>437</v>
      </c>
      <c r="X52" s="110">
        <v>42545</v>
      </c>
      <c r="Y52" s="9">
        <v>65.58</v>
      </c>
      <c r="Z52" s="9">
        <v>66.98</v>
      </c>
      <c r="AA52" s="9">
        <v>65.319999999999993</v>
      </c>
      <c r="AB52" s="9">
        <v>66.260000000000005</v>
      </c>
      <c r="AC52" s="104">
        <v>3908800</v>
      </c>
      <c r="AD52" s="9">
        <v>65.94</v>
      </c>
      <c r="AE52" s="2">
        <f t="shared" si="0"/>
        <v>1.6600000000000108</v>
      </c>
      <c r="AF52" s="138">
        <f t="shared" si="1"/>
        <v>-2.3545091070635293E-2</v>
      </c>
    </row>
    <row r="53" spans="1:32" x14ac:dyDescent="0.25">
      <c r="O53" s="83">
        <v>0.93</v>
      </c>
      <c r="P53" s="83">
        <f t="shared" si="3"/>
        <v>64.458300000000008</v>
      </c>
      <c r="T53" s="113" t="s">
        <v>111</v>
      </c>
      <c r="U53" s="106">
        <v>17.36</v>
      </c>
      <c r="X53" s="110">
        <v>42544</v>
      </c>
      <c r="Y53" s="9">
        <v>67.61</v>
      </c>
      <c r="Z53" s="9">
        <v>67.86</v>
      </c>
      <c r="AA53" s="9">
        <v>67.42</v>
      </c>
      <c r="AB53" s="9">
        <v>67.86</v>
      </c>
      <c r="AC53" s="104">
        <v>2030600</v>
      </c>
      <c r="AD53" s="9">
        <v>67.53</v>
      </c>
      <c r="AE53" s="2">
        <f t="shared" si="0"/>
        <v>0.43999999999999773</v>
      </c>
      <c r="AF53" s="138">
        <f t="shared" si="1"/>
        <v>1.2443778110944548E-2</v>
      </c>
    </row>
    <row r="54" spans="1:32" x14ac:dyDescent="0.25">
      <c r="O54" s="83">
        <v>0.92</v>
      </c>
      <c r="P54" s="83">
        <f t="shared" si="3"/>
        <v>63.765200000000007</v>
      </c>
      <c r="T54" s="113" t="s">
        <v>112</v>
      </c>
      <c r="U54" s="106">
        <v>3.97</v>
      </c>
      <c r="X54" s="110">
        <v>42543</v>
      </c>
      <c r="Y54" s="9">
        <v>66.900000000000006</v>
      </c>
      <c r="Z54" s="9">
        <v>67.44</v>
      </c>
      <c r="AA54" s="9">
        <v>66.760000000000005</v>
      </c>
      <c r="AB54" s="9">
        <v>67.02</v>
      </c>
      <c r="AC54" s="104">
        <v>1153300</v>
      </c>
      <c r="AD54" s="9">
        <v>66.7</v>
      </c>
      <c r="AE54" s="2">
        <f t="shared" si="0"/>
        <v>0.67999999999999261</v>
      </c>
      <c r="AF54" s="138">
        <f t="shared" si="1"/>
        <v>3.309265944644979E-3</v>
      </c>
    </row>
    <row r="55" spans="1:32" x14ac:dyDescent="0.25">
      <c r="O55" s="83">
        <v>0.91</v>
      </c>
      <c r="P55" s="83">
        <f t="shared" si="3"/>
        <v>63.072100000000006</v>
      </c>
      <c r="T55" s="113" t="s">
        <v>109</v>
      </c>
      <c r="U55" s="106" t="s">
        <v>438</v>
      </c>
      <c r="X55" s="110">
        <v>42542</v>
      </c>
      <c r="Y55" s="9">
        <v>66.83</v>
      </c>
      <c r="Z55" s="9">
        <v>67</v>
      </c>
      <c r="AA55" s="9">
        <v>66.569999999999993</v>
      </c>
      <c r="AB55" s="9">
        <v>66.8</v>
      </c>
      <c r="AC55" s="104">
        <v>1306200</v>
      </c>
      <c r="AD55" s="9">
        <v>66.48</v>
      </c>
      <c r="AE55" s="2">
        <f t="shared" si="0"/>
        <v>0.43000000000000682</v>
      </c>
      <c r="AF55" s="138">
        <f t="shared" si="1"/>
        <v>3.4716981132076885E-3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62.379000000000005</v>
      </c>
      <c r="X56" s="110">
        <v>42541</v>
      </c>
      <c r="Y56" s="9">
        <v>67.05</v>
      </c>
      <c r="Z56" s="9">
        <v>67.290000000000006</v>
      </c>
      <c r="AA56" s="9">
        <v>66.55</v>
      </c>
      <c r="AB56" s="9">
        <v>66.569999999999993</v>
      </c>
      <c r="AC56" s="104">
        <v>1120200</v>
      </c>
      <c r="AD56" s="9">
        <v>66.25</v>
      </c>
      <c r="AE56" s="2">
        <f t="shared" si="0"/>
        <v>0.74000000000000909</v>
      </c>
      <c r="AF56" s="138">
        <f t="shared" si="1"/>
        <v>2.2692889561271024E-3</v>
      </c>
    </row>
    <row r="57" spans="1:32" x14ac:dyDescent="0.25">
      <c r="X57" s="110">
        <v>42538</v>
      </c>
      <c r="Y57" s="9">
        <v>66.44</v>
      </c>
      <c r="Z57" s="9">
        <v>66.540000000000006</v>
      </c>
      <c r="AA57" s="9">
        <v>66.03</v>
      </c>
      <c r="AB57" s="9">
        <v>66.42</v>
      </c>
      <c r="AC57" s="104">
        <v>1858900</v>
      </c>
      <c r="AD57" s="9">
        <v>66.099999999999994</v>
      </c>
      <c r="AE57" s="2">
        <f t="shared" si="0"/>
        <v>0.51000000000000512</v>
      </c>
      <c r="AF57" s="138">
        <f t="shared" si="1"/>
        <v>-7.5585789871523978E-4</v>
      </c>
    </row>
    <row r="58" spans="1:32" x14ac:dyDescent="0.25">
      <c r="X58" s="110">
        <v>42537</v>
      </c>
      <c r="Y58" s="9">
        <v>65.489999999999995</v>
      </c>
      <c r="Z58" s="9">
        <v>66.569999999999993</v>
      </c>
      <c r="AA58" s="9">
        <v>65.45</v>
      </c>
      <c r="AB58" s="9">
        <v>66.47</v>
      </c>
      <c r="AC58" s="104">
        <v>1564800</v>
      </c>
      <c r="AD58" s="9">
        <v>66.150000000000006</v>
      </c>
      <c r="AE58" s="2">
        <f t="shared" si="0"/>
        <v>1.1199999999999903</v>
      </c>
      <c r="AF58" s="138">
        <f t="shared" si="1"/>
        <v>9.1533180778033962E-3</v>
      </c>
    </row>
    <row r="59" spans="1:32" x14ac:dyDescent="0.25">
      <c r="X59" s="110">
        <v>42536</v>
      </c>
      <c r="Y59" s="9">
        <v>66.75</v>
      </c>
      <c r="Z59" s="9">
        <v>66.95</v>
      </c>
      <c r="AA59" s="9">
        <v>65.81</v>
      </c>
      <c r="AB59" s="9">
        <v>65.87</v>
      </c>
      <c r="AC59" s="104">
        <v>1991000</v>
      </c>
      <c r="AD59" s="9">
        <v>65.55</v>
      </c>
      <c r="AE59" s="2">
        <f t="shared" si="0"/>
        <v>1.1400000000000006</v>
      </c>
      <c r="AF59" s="138">
        <f t="shared" si="1"/>
        <v>-1.2354979659484844E-2</v>
      </c>
    </row>
    <row r="60" spans="1:32" x14ac:dyDescent="0.25">
      <c r="X60" s="110">
        <v>42535</v>
      </c>
      <c r="Y60" s="9">
        <v>66.83</v>
      </c>
      <c r="Z60" s="9">
        <v>67.040000000000006</v>
      </c>
      <c r="AA60" s="9">
        <v>66.42</v>
      </c>
      <c r="AB60" s="9">
        <v>66.69</v>
      </c>
      <c r="AC60" s="104">
        <v>1464500</v>
      </c>
      <c r="AD60" s="9">
        <v>66.37</v>
      </c>
      <c r="AE60" s="2">
        <f t="shared" si="0"/>
        <v>0.62000000000000455</v>
      </c>
      <c r="AF60" s="138">
        <f t="shared" si="1"/>
        <v>-2.8545673076922906E-3</v>
      </c>
    </row>
    <row r="61" spans="1:32" x14ac:dyDescent="0.25">
      <c r="X61" s="110">
        <v>42534</v>
      </c>
      <c r="Y61" s="9">
        <v>67.44</v>
      </c>
      <c r="Z61" s="9">
        <v>67.87</v>
      </c>
      <c r="AA61" s="9">
        <v>66.86</v>
      </c>
      <c r="AB61" s="9">
        <v>66.88</v>
      </c>
      <c r="AC61" s="104">
        <v>1761400</v>
      </c>
      <c r="AD61" s="9">
        <v>66.56</v>
      </c>
      <c r="AE61" s="2">
        <f t="shared" si="0"/>
        <v>1.0100000000000051</v>
      </c>
      <c r="AF61" s="138">
        <f t="shared" si="1"/>
        <v>-8.4909876359301473E-3</v>
      </c>
    </row>
    <row r="62" spans="1:32" x14ac:dyDescent="0.25">
      <c r="X62" s="110">
        <v>42531</v>
      </c>
      <c r="Y62" s="9">
        <v>67.17</v>
      </c>
      <c r="Z62" s="9">
        <v>67.86</v>
      </c>
      <c r="AA62" s="9">
        <v>67.13</v>
      </c>
      <c r="AB62" s="9">
        <v>67.459999999999994</v>
      </c>
      <c r="AC62" s="104">
        <v>1636600</v>
      </c>
      <c r="AD62" s="9">
        <v>67.13</v>
      </c>
      <c r="AE62" s="2">
        <f t="shared" si="0"/>
        <v>0.73000000000000398</v>
      </c>
      <c r="AF62" s="138">
        <f t="shared" si="1"/>
        <v>-4.8917877260599152E-3</v>
      </c>
    </row>
    <row r="63" spans="1:32" x14ac:dyDescent="0.25">
      <c r="X63" s="110">
        <v>42530</v>
      </c>
      <c r="Y63" s="9">
        <v>67.489999999999995</v>
      </c>
      <c r="Z63" s="9">
        <v>67.959999999999994</v>
      </c>
      <c r="AA63" s="9">
        <v>67.37</v>
      </c>
      <c r="AB63" s="9">
        <v>67.790000000000006</v>
      </c>
      <c r="AC63" s="104">
        <v>1456700</v>
      </c>
      <c r="AD63" s="9">
        <v>67.459999999999994</v>
      </c>
      <c r="AE63" s="2">
        <f t="shared" si="0"/>
        <v>0.5899999999999892</v>
      </c>
      <c r="AF63" s="138">
        <f t="shared" si="1"/>
        <v>1.633259094283579E-3</v>
      </c>
    </row>
    <row r="64" spans="1:32" x14ac:dyDescent="0.25">
      <c r="X64" s="110">
        <v>42529</v>
      </c>
      <c r="Y64" s="9">
        <v>67.209999999999994</v>
      </c>
      <c r="Z64" s="9">
        <v>67.88</v>
      </c>
      <c r="AA64" s="9">
        <v>67.11</v>
      </c>
      <c r="AB64" s="9">
        <v>67.680000000000007</v>
      </c>
      <c r="AC64" s="104">
        <v>1645500</v>
      </c>
      <c r="AD64" s="9">
        <v>67.349999999999994</v>
      </c>
      <c r="AE64" s="2">
        <f t="shared" si="0"/>
        <v>0.76999999999999602</v>
      </c>
      <c r="AF64" s="138">
        <f t="shared" si="1"/>
        <v>3.7257824143070994E-3</v>
      </c>
    </row>
    <row r="65" spans="24:32" x14ac:dyDescent="0.25">
      <c r="X65" s="110">
        <v>42528</v>
      </c>
      <c r="Y65" s="9">
        <v>67.72</v>
      </c>
      <c r="Z65" s="9">
        <v>67.88</v>
      </c>
      <c r="AA65" s="9">
        <v>67.319999999999993</v>
      </c>
      <c r="AB65" s="9">
        <v>67.430000000000007</v>
      </c>
      <c r="AC65" s="104">
        <v>1484100</v>
      </c>
      <c r="AD65" s="9">
        <v>67.099999999999994</v>
      </c>
      <c r="AE65" s="2">
        <f t="shared" si="0"/>
        <v>0.56000000000000227</v>
      </c>
      <c r="AF65" s="138">
        <f t="shared" si="1"/>
        <v>-2.8235993461139808E-3</v>
      </c>
    </row>
    <row r="66" spans="24:32" x14ac:dyDescent="0.25">
      <c r="X66" s="110">
        <v>42527</v>
      </c>
      <c r="Y66" s="9">
        <v>67.53</v>
      </c>
      <c r="Z66" s="9">
        <v>68.02</v>
      </c>
      <c r="AA66" s="9">
        <v>67.42</v>
      </c>
      <c r="AB66" s="9">
        <v>67.62</v>
      </c>
      <c r="AC66" s="104">
        <v>1959600</v>
      </c>
      <c r="AD66" s="9">
        <v>67.290000000000006</v>
      </c>
      <c r="AE66" s="2">
        <f t="shared" si="0"/>
        <v>0.59999999999999432</v>
      </c>
      <c r="AF66" s="138">
        <f t="shared" si="1"/>
        <v>2.831594634873591E-3</v>
      </c>
    </row>
    <row r="67" spans="24:32" x14ac:dyDescent="0.25">
      <c r="X67" s="110">
        <v>42524</v>
      </c>
      <c r="Y67" s="9">
        <v>67.02</v>
      </c>
      <c r="Z67" s="9">
        <v>67.709999999999994</v>
      </c>
      <c r="AA67" s="9">
        <v>66.64</v>
      </c>
      <c r="AB67" s="9">
        <v>67.430000000000007</v>
      </c>
      <c r="AC67" s="104">
        <v>1625700</v>
      </c>
      <c r="AD67" s="9">
        <v>67.099999999999994</v>
      </c>
      <c r="AE67" s="2">
        <f>Z67-AA67</f>
        <v>1.0699999999999932</v>
      </c>
      <c r="AF67" s="138" t="e">
        <f>AD67/#REF!-1</f>
        <v>#REF!</v>
      </c>
    </row>
    <row r="68" spans="24:32" x14ac:dyDescent="0.25">
      <c r="X68" s="110">
        <v>42523</v>
      </c>
      <c r="Y68" s="9">
        <v>67.290000000000006</v>
      </c>
      <c r="Z68" s="9">
        <v>67.44</v>
      </c>
      <c r="AA68" s="9">
        <v>67.11</v>
      </c>
      <c r="AB68" s="9">
        <v>67.44</v>
      </c>
      <c r="AC68" s="104">
        <v>1153100</v>
      </c>
      <c r="AD68" s="9">
        <v>67.11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122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42" priority="19">
      <formula>F27&gt;0</formula>
    </cfRule>
    <cfRule type="expression" dxfId="241" priority="20">
      <formula>F27&lt;0</formula>
    </cfRule>
  </conditionalFormatting>
  <conditionalFormatting sqref="F37:F38">
    <cfRule type="expression" dxfId="240" priority="17">
      <formula>F37&gt;0</formula>
    </cfRule>
    <cfRule type="expression" dxfId="239" priority="18">
      <formula>F37&lt;0</formula>
    </cfRule>
  </conditionalFormatting>
  <conditionalFormatting sqref="H27:H32">
    <cfRule type="expression" dxfId="238" priority="15">
      <formula>H27&gt;0</formula>
    </cfRule>
    <cfRule type="expression" dxfId="237" priority="16">
      <formula>H27&lt;0</formula>
    </cfRule>
  </conditionalFormatting>
  <conditionalFormatting sqref="Q7">
    <cfRule type="expression" dxfId="236" priority="3">
      <formula>Q7&gt;0</formula>
    </cfRule>
    <cfRule type="expression" dxfId="235" priority="4">
      <formula>Q7&lt;0</formula>
    </cfRule>
  </conditionalFormatting>
  <conditionalFormatting sqref="Q8">
    <cfRule type="expression" dxfId="234" priority="1">
      <formula>Q8&gt;0</formula>
    </cfRule>
    <cfRule type="expression" dxfId="233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127</v>
      </c>
      <c r="AE1" s="11" t="s">
        <v>129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42615</v>
      </c>
      <c r="X2" s="40">
        <v>94.09</v>
      </c>
      <c r="Y2" s="40">
        <v>94.8</v>
      </c>
      <c r="Z2" s="40">
        <v>93.69</v>
      </c>
      <c r="AA2" s="40">
        <v>94.16</v>
      </c>
      <c r="AB2" s="95">
        <v>772900</v>
      </c>
      <c r="AC2" s="40">
        <v>94.16</v>
      </c>
      <c r="AD2" s="2">
        <f>Y2-Z2</f>
        <v>1.1099999999999994</v>
      </c>
      <c r="AE2" s="138">
        <f>AC2/AC3-1</f>
        <v>3.8379530916843319E-3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95.15</v>
      </c>
      <c r="W3" s="157">
        <v>42614</v>
      </c>
      <c r="X3" s="40">
        <v>94.11</v>
      </c>
      <c r="Y3" s="40">
        <v>94.25</v>
      </c>
      <c r="Z3" s="40">
        <v>92.88</v>
      </c>
      <c r="AA3" s="40">
        <v>93.8</v>
      </c>
      <c r="AB3" s="95">
        <v>1142600</v>
      </c>
      <c r="AC3" s="40">
        <v>93.8</v>
      </c>
      <c r="AD3" s="2">
        <f t="shared" ref="AD3:AD66" si="0">Y3-Z3</f>
        <v>1.3700000000000045</v>
      </c>
      <c r="AE3" s="138">
        <f t="shared" ref="AE3:AE66" si="1">AC3/AC4-1</f>
        <v>-1.0649627263046302E-3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95.15</v>
      </c>
      <c r="W4" s="157">
        <v>42613</v>
      </c>
      <c r="X4" s="40">
        <v>94.07</v>
      </c>
      <c r="Y4" s="40">
        <v>94.43</v>
      </c>
      <c r="Z4" s="40">
        <v>93.26</v>
      </c>
      <c r="AA4" s="40">
        <v>93.9</v>
      </c>
      <c r="AB4" s="95">
        <v>1544700</v>
      </c>
      <c r="AC4" s="40">
        <v>93.9</v>
      </c>
      <c r="AD4" s="2">
        <f t="shared" si="0"/>
        <v>1.1700000000000017</v>
      </c>
      <c r="AE4" s="138">
        <f t="shared" si="1"/>
        <v>-4.9803963123874473E-3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42612</v>
      </c>
      <c r="X5" s="40">
        <v>94.01</v>
      </c>
      <c r="Y5" s="40">
        <v>94.37</v>
      </c>
      <c r="Z5" s="40">
        <v>93.54</v>
      </c>
      <c r="AA5" s="40">
        <v>94.37</v>
      </c>
      <c r="AB5" s="95">
        <v>1398900</v>
      </c>
      <c r="AC5" s="40">
        <v>94.37</v>
      </c>
      <c r="AD5" s="2">
        <f t="shared" si="0"/>
        <v>0.82999999999999829</v>
      </c>
      <c r="AE5" s="138">
        <f t="shared" si="1"/>
        <v>3.8293798532071932E-3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42611</v>
      </c>
      <c r="X6" s="40">
        <v>92.23</v>
      </c>
      <c r="Y6" s="40">
        <v>94.3</v>
      </c>
      <c r="Z6" s="40">
        <v>92.12</v>
      </c>
      <c r="AA6" s="40">
        <v>94.01</v>
      </c>
      <c r="AB6" s="95">
        <v>1721000</v>
      </c>
      <c r="AC6" s="40">
        <v>94.01</v>
      </c>
      <c r="AD6" s="2">
        <f t="shared" si="0"/>
        <v>2.1799999999999926</v>
      </c>
      <c r="AE6" s="138">
        <f t="shared" si="1"/>
        <v>1.8857700227593144E-2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187</v>
      </c>
      <c r="Q7" s="2">
        <f>Q10+Q8</f>
        <v>-168.6200000000008</v>
      </c>
      <c r="R7">
        <v>0</v>
      </c>
      <c r="W7" s="157">
        <v>42608</v>
      </c>
      <c r="X7" s="40">
        <v>92.16</v>
      </c>
      <c r="Y7" s="40">
        <v>92.97</v>
      </c>
      <c r="Z7" s="40">
        <v>91.9</v>
      </c>
      <c r="AA7" s="40">
        <v>92.27</v>
      </c>
      <c r="AB7" s="95">
        <v>1322700</v>
      </c>
      <c r="AC7" s="40">
        <v>92.27</v>
      </c>
      <c r="AD7" s="2">
        <f t="shared" si="0"/>
        <v>1.0699999999999932</v>
      </c>
      <c r="AE7" s="138">
        <f t="shared" si="1"/>
        <v>2.0634231103389133E-3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57">
        <v>42607</v>
      </c>
      <c r="X8" s="40">
        <v>91.91</v>
      </c>
      <c r="Y8" s="40">
        <v>92.67</v>
      </c>
      <c r="Z8" s="40">
        <v>91.85</v>
      </c>
      <c r="AA8" s="40">
        <v>92.08</v>
      </c>
      <c r="AB8" s="95">
        <v>1075400</v>
      </c>
      <c r="AC8" s="40">
        <v>92.08</v>
      </c>
      <c r="AD8" s="2">
        <f t="shared" si="0"/>
        <v>0.82000000000000739</v>
      </c>
      <c r="AE8" s="138">
        <f t="shared" si="1"/>
        <v>-2.1715526601517876E-4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57">
        <v>42606</v>
      </c>
      <c r="X9" s="40">
        <v>91.98</v>
      </c>
      <c r="Y9" s="40">
        <v>92.33</v>
      </c>
      <c r="Z9" s="40">
        <v>91.79</v>
      </c>
      <c r="AA9" s="40">
        <v>92.1</v>
      </c>
      <c r="AB9" s="95">
        <v>793700</v>
      </c>
      <c r="AC9" s="40">
        <v>92.1</v>
      </c>
      <c r="AD9" s="2">
        <f t="shared" si="0"/>
        <v>0.53999999999999204</v>
      </c>
      <c r="AE9" s="138">
        <f t="shared" si="1"/>
        <v>7.6062153645550801E-4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223</v>
      </c>
      <c r="P10" s="34"/>
      <c r="Q10" s="2">
        <f>M33</f>
        <v>-168.6200000000008</v>
      </c>
      <c r="W10" s="157">
        <v>42605</v>
      </c>
      <c r="X10" s="40">
        <v>91.9</v>
      </c>
      <c r="Y10" s="40">
        <v>92.19</v>
      </c>
      <c r="Z10" s="40">
        <v>91.52</v>
      </c>
      <c r="AA10" s="40">
        <v>92.03</v>
      </c>
      <c r="AB10" s="95">
        <v>723000</v>
      </c>
      <c r="AC10" s="40">
        <v>92.03</v>
      </c>
      <c r="AD10" s="2">
        <f t="shared" si="0"/>
        <v>0.67000000000000171</v>
      </c>
      <c r="AE10" s="138">
        <f t="shared" si="1"/>
        <v>7.3336252189142304E-3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2.5100000000000001E-2</v>
      </c>
      <c r="W11" s="157">
        <v>42604</v>
      </c>
      <c r="X11" s="40">
        <v>91.5</v>
      </c>
      <c r="Y11" s="40">
        <v>91.58</v>
      </c>
      <c r="Z11" s="40">
        <v>91.01</v>
      </c>
      <c r="AA11" s="40">
        <v>91.36</v>
      </c>
      <c r="AB11" s="95">
        <v>811500</v>
      </c>
      <c r="AC11" s="40">
        <v>91.36</v>
      </c>
      <c r="AD11" s="2">
        <f t="shared" si="0"/>
        <v>0.56999999999999318</v>
      </c>
      <c r="AE11" s="138">
        <f t="shared" si="1"/>
        <v>-2.402271238261644E-3</v>
      </c>
    </row>
    <row r="12" spans="1:31" x14ac:dyDescent="0.25">
      <c r="W12" s="157">
        <v>42601</v>
      </c>
      <c r="X12" s="40">
        <v>91.3</v>
      </c>
      <c r="Y12" s="40">
        <v>91.96</v>
      </c>
      <c r="Z12" s="40">
        <v>91.05</v>
      </c>
      <c r="AA12" s="40">
        <v>91.58</v>
      </c>
      <c r="AB12" s="95">
        <v>1078400</v>
      </c>
      <c r="AC12" s="40">
        <v>91.58</v>
      </c>
      <c r="AD12" s="2">
        <f t="shared" si="0"/>
        <v>0.90999999999999659</v>
      </c>
      <c r="AE12" s="138">
        <f t="shared" si="1"/>
        <v>-9.817824806370723E-4</v>
      </c>
    </row>
    <row r="13" spans="1:31" x14ac:dyDescent="0.25">
      <c r="W13" s="157">
        <v>42600</v>
      </c>
      <c r="X13" s="40">
        <v>89.83</v>
      </c>
      <c r="Y13" s="40">
        <v>91.67</v>
      </c>
      <c r="Z13" s="40">
        <v>89.65</v>
      </c>
      <c r="AA13" s="40">
        <v>91.67</v>
      </c>
      <c r="AB13" s="95">
        <v>1580900</v>
      </c>
      <c r="AC13" s="40">
        <v>91.67</v>
      </c>
      <c r="AD13" s="2">
        <f t="shared" si="0"/>
        <v>2.019999999999996</v>
      </c>
      <c r="AE13" s="138">
        <f t="shared" si="1"/>
        <v>2.0596749053662933E-2</v>
      </c>
    </row>
    <row r="14" spans="1:31" x14ac:dyDescent="0.25">
      <c r="W14" s="157">
        <v>42599</v>
      </c>
      <c r="X14" s="40">
        <v>89.09</v>
      </c>
      <c r="Y14" s="40">
        <v>89.87</v>
      </c>
      <c r="Z14" s="40">
        <v>88.62</v>
      </c>
      <c r="AA14" s="40">
        <v>89.82</v>
      </c>
      <c r="AB14" s="95">
        <v>950600</v>
      </c>
      <c r="AC14" s="40">
        <v>89.82</v>
      </c>
      <c r="AD14" s="2">
        <f t="shared" si="0"/>
        <v>1.25</v>
      </c>
      <c r="AE14" s="138">
        <f t="shared" si="1"/>
        <v>7.8545780969478951E-3</v>
      </c>
    </row>
    <row r="15" spans="1:31" x14ac:dyDescent="0.25">
      <c r="W15" s="157">
        <v>42598</v>
      </c>
      <c r="X15" s="40">
        <v>88.73</v>
      </c>
      <c r="Y15" s="40">
        <v>89.38</v>
      </c>
      <c r="Z15" s="40">
        <v>88.07</v>
      </c>
      <c r="AA15" s="40">
        <v>89.12</v>
      </c>
      <c r="AB15" s="95">
        <v>1286000</v>
      </c>
      <c r="AC15" s="40">
        <v>89.12</v>
      </c>
      <c r="AD15" s="2">
        <f t="shared" si="0"/>
        <v>1.3100000000000023</v>
      </c>
      <c r="AE15" s="138">
        <f t="shared" si="1"/>
        <v>2.2492127755286973E-3</v>
      </c>
    </row>
    <row r="16" spans="1:31" x14ac:dyDescent="0.25">
      <c r="W16" s="157">
        <v>42597</v>
      </c>
      <c r="X16" s="40">
        <v>88.86</v>
      </c>
      <c r="Y16" s="40">
        <v>89.64</v>
      </c>
      <c r="Z16" s="40">
        <v>88.67</v>
      </c>
      <c r="AA16" s="40">
        <v>88.92</v>
      </c>
      <c r="AB16" s="95">
        <v>780400</v>
      </c>
      <c r="AC16" s="40">
        <v>88.92</v>
      </c>
      <c r="AD16" s="2">
        <f t="shared" si="0"/>
        <v>0.96999999999999886</v>
      </c>
      <c r="AE16" s="138">
        <f t="shared" si="1"/>
        <v>6.3377093707559506E-3</v>
      </c>
    </row>
    <row r="17" spans="1:31" x14ac:dyDescent="0.25">
      <c r="W17" s="157">
        <v>42594</v>
      </c>
      <c r="X17" s="40">
        <v>89.48</v>
      </c>
      <c r="Y17" s="40">
        <v>89.48</v>
      </c>
      <c r="Z17" s="40">
        <v>87.97</v>
      </c>
      <c r="AA17" s="40">
        <v>88.36</v>
      </c>
      <c r="AB17" s="95">
        <v>1108600</v>
      </c>
      <c r="AC17" s="40">
        <v>88.36</v>
      </c>
      <c r="AD17" s="2">
        <f t="shared" si="0"/>
        <v>1.5100000000000051</v>
      </c>
      <c r="AE17" s="138">
        <f t="shared" si="1"/>
        <v>-1.2516763522574914E-2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42593</v>
      </c>
      <c r="X18" s="40">
        <v>88.77</v>
      </c>
      <c r="Y18" s="40">
        <v>90.24</v>
      </c>
      <c r="Z18" s="40">
        <v>88.28</v>
      </c>
      <c r="AA18" s="40">
        <v>89.48</v>
      </c>
      <c r="AB18" s="95">
        <v>1653500</v>
      </c>
      <c r="AC18" s="40">
        <v>89.48</v>
      </c>
      <c r="AD18" s="2">
        <f t="shared" si="0"/>
        <v>1.9599999999999937</v>
      </c>
      <c r="AE18" s="138">
        <f t="shared" si="1"/>
        <v>1.0274359263859223E-2</v>
      </c>
    </row>
    <row r="19" spans="1:31" x14ac:dyDescent="0.25">
      <c r="W19" s="157">
        <v>42592</v>
      </c>
      <c r="X19" s="40">
        <v>89.56</v>
      </c>
      <c r="Y19" s="40">
        <v>89.56</v>
      </c>
      <c r="Z19" s="40">
        <v>88.38</v>
      </c>
      <c r="AA19" s="40">
        <v>88.57</v>
      </c>
      <c r="AB19" s="95">
        <v>806700</v>
      </c>
      <c r="AC19" s="40">
        <v>88.57</v>
      </c>
      <c r="AD19" s="2">
        <f t="shared" si="0"/>
        <v>1.1800000000000068</v>
      </c>
      <c r="AE19" s="138">
        <f t="shared" si="1"/>
        <v>-7.6190476190477474E-3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161</v>
      </c>
      <c r="W20" s="157">
        <v>42591</v>
      </c>
      <c r="X20" s="40">
        <v>89.43</v>
      </c>
      <c r="Y20" s="40">
        <v>89.86</v>
      </c>
      <c r="Z20" s="40">
        <v>89.17</v>
      </c>
      <c r="AA20" s="40">
        <v>89.25</v>
      </c>
      <c r="AB20" s="95">
        <v>1044000</v>
      </c>
      <c r="AC20" s="40">
        <v>89.25</v>
      </c>
      <c r="AD20" s="2">
        <f t="shared" si="0"/>
        <v>0.68999999999999773</v>
      </c>
      <c r="AE20" s="138">
        <f t="shared" si="1"/>
        <v>-3.0160857908846372E-3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42590</v>
      </c>
      <c r="X21" s="40">
        <v>89</v>
      </c>
      <c r="Y21" s="40">
        <v>90.47</v>
      </c>
      <c r="Z21" s="40">
        <v>89</v>
      </c>
      <c r="AA21" s="40">
        <v>89.52</v>
      </c>
      <c r="AB21" s="95">
        <v>1273300</v>
      </c>
      <c r="AC21" s="40">
        <v>89.52</v>
      </c>
      <c r="AD21" s="2">
        <f t="shared" si="0"/>
        <v>1.4699999999999989</v>
      </c>
      <c r="AE21" s="138">
        <f t="shared" si="1"/>
        <v>7.2007200720072273E-3</v>
      </c>
    </row>
    <row r="22" spans="1:31" x14ac:dyDescent="0.25">
      <c r="B22" s="193">
        <v>42305</v>
      </c>
      <c r="C22" s="10">
        <v>0</v>
      </c>
      <c r="D22" s="202" t="s">
        <v>130</v>
      </c>
      <c r="E22" s="40">
        <v>81.599999999999994</v>
      </c>
      <c r="F22" s="40">
        <v>-169.71000000000095</v>
      </c>
      <c r="G22" s="40"/>
      <c r="H22" s="231"/>
      <c r="I22" s="40"/>
      <c r="W22" s="157">
        <v>42587</v>
      </c>
      <c r="X22" s="40">
        <v>88.16</v>
      </c>
      <c r="Y22" s="40">
        <v>89.38</v>
      </c>
      <c r="Z22" s="40">
        <v>87.61</v>
      </c>
      <c r="AA22" s="40">
        <v>88.88</v>
      </c>
      <c r="AB22" s="95">
        <v>1466900</v>
      </c>
      <c r="AC22" s="40">
        <v>88.88</v>
      </c>
      <c r="AD22" s="2">
        <f t="shared" si="0"/>
        <v>1.769999999999996</v>
      </c>
      <c r="AE22" s="138">
        <f t="shared" si="1"/>
        <v>1.4496062093368289E-2</v>
      </c>
    </row>
    <row r="23" spans="1:31" x14ac:dyDescent="0.25">
      <c r="B23" s="193">
        <v>42331</v>
      </c>
      <c r="C23" s="10">
        <v>0</v>
      </c>
      <c r="D23" s="202" t="s">
        <v>130</v>
      </c>
      <c r="E23" s="40">
        <v>95.56</v>
      </c>
      <c r="F23" s="40">
        <v>-168.62</v>
      </c>
      <c r="G23" s="40"/>
      <c r="H23" s="231"/>
      <c r="I23" s="40" t="s">
        <v>195</v>
      </c>
      <c r="W23" s="157">
        <v>42586</v>
      </c>
      <c r="X23" s="40">
        <v>87.57</v>
      </c>
      <c r="Y23" s="40">
        <v>88.31</v>
      </c>
      <c r="Z23" s="40">
        <v>86.88</v>
      </c>
      <c r="AA23" s="40">
        <v>87.61</v>
      </c>
      <c r="AB23" s="95">
        <v>1684800</v>
      </c>
      <c r="AC23" s="40">
        <v>87.61</v>
      </c>
      <c r="AD23" s="2">
        <f t="shared" si="0"/>
        <v>1.4300000000000068</v>
      </c>
      <c r="AE23" s="138" t="e">
        <f t="shared" si="1"/>
        <v>#DIV/0!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42586</v>
      </c>
      <c r="X24" s="40" t="s">
        <v>141</v>
      </c>
      <c r="Y24" s="40"/>
      <c r="Z24" s="40"/>
      <c r="AA24" s="40"/>
      <c r="AB24" s="95"/>
      <c r="AC24" s="40"/>
      <c r="AD24" s="2">
        <f t="shared" si="0"/>
        <v>0</v>
      </c>
      <c r="AE24" s="138">
        <f t="shared" si="1"/>
        <v>-1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42585</v>
      </c>
      <c r="X25" s="40">
        <v>87.09</v>
      </c>
      <c r="Y25" s="40">
        <v>88.53</v>
      </c>
      <c r="Z25" s="40">
        <v>87</v>
      </c>
      <c r="AA25" s="40">
        <v>88.33</v>
      </c>
      <c r="AB25" s="95">
        <v>1424000</v>
      </c>
      <c r="AC25" s="40">
        <v>87.74</v>
      </c>
      <c r="AD25" s="2">
        <f t="shared" si="0"/>
        <v>1.5300000000000011</v>
      </c>
      <c r="AE25" s="138">
        <f t="shared" si="1"/>
        <v>1.328097932786676E-2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42584</v>
      </c>
      <c r="X26" s="40">
        <v>88.25</v>
      </c>
      <c r="Y26" s="40">
        <v>88.52</v>
      </c>
      <c r="Z26" s="40">
        <v>86.91</v>
      </c>
      <c r="AA26" s="40">
        <v>87.17</v>
      </c>
      <c r="AB26" s="95">
        <v>1002400</v>
      </c>
      <c r="AC26" s="40">
        <v>86.59</v>
      </c>
      <c r="AD26" s="2">
        <f t="shared" si="0"/>
        <v>1.6099999999999994</v>
      </c>
      <c r="AE26" s="138">
        <f t="shared" si="1"/>
        <v>-1.5575261482491887E-2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42583</v>
      </c>
      <c r="X27" s="40">
        <v>89.67</v>
      </c>
      <c r="Y27" s="40">
        <v>89.67</v>
      </c>
      <c r="Z27" s="40">
        <v>88.28</v>
      </c>
      <c r="AA27" s="40">
        <v>88.55</v>
      </c>
      <c r="AB27" s="95">
        <v>1639500</v>
      </c>
      <c r="AC27" s="40">
        <v>87.96</v>
      </c>
      <c r="AD27" s="2">
        <f t="shared" si="0"/>
        <v>1.3900000000000006</v>
      </c>
      <c r="AE27" s="138">
        <f t="shared" si="1"/>
        <v>-1.3680197353666879E-2</v>
      </c>
    </row>
    <row r="28" spans="1:31" x14ac:dyDescent="0.25">
      <c r="W28" s="157">
        <v>42580</v>
      </c>
      <c r="X28" s="40">
        <v>89.73</v>
      </c>
      <c r="Y28" s="40">
        <v>90.31</v>
      </c>
      <c r="Z28" s="40">
        <v>89.1</v>
      </c>
      <c r="AA28" s="40">
        <v>89.78</v>
      </c>
      <c r="AB28" s="95">
        <v>1218800</v>
      </c>
      <c r="AC28" s="40">
        <v>89.18</v>
      </c>
      <c r="AD28" s="2">
        <f t="shared" si="0"/>
        <v>1.210000000000008</v>
      </c>
      <c r="AE28" s="138">
        <f t="shared" si="1"/>
        <v>-2.6839633191678702E-3</v>
      </c>
    </row>
    <row r="29" spans="1:31" x14ac:dyDescent="0.25">
      <c r="W29" s="157">
        <v>42579</v>
      </c>
      <c r="X29" s="40">
        <v>89.75</v>
      </c>
      <c r="Y29" s="40">
        <v>91.03</v>
      </c>
      <c r="Z29" s="40">
        <v>88.88</v>
      </c>
      <c r="AA29" s="40">
        <v>90.02</v>
      </c>
      <c r="AB29" s="95">
        <v>1525900</v>
      </c>
      <c r="AC29" s="40">
        <v>89.42</v>
      </c>
      <c r="AD29" s="2">
        <f t="shared" si="0"/>
        <v>2.1500000000000057</v>
      </c>
      <c r="AE29" s="138">
        <f t="shared" si="1"/>
        <v>-1.3401831583650381E-3</v>
      </c>
    </row>
    <row r="30" spans="1:31" x14ac:dyDescent="0.25">
      <c r="W30" s="157">
        <v>42578</v>
      </c>
      <c r="X30" s="40">
        <v>92.44</v>
      </c>
      <c r="Y30" s="40">
        <v>92.5</v>
      </c>
      <c r="Z30" s="40">
        <v>89.18</v>
      </c>
      <c r="AA30" s="40">
        <v>90.14</v>
      </c>
      <c r="AB30" s="95">
        <v>2736400</v>
      </c>
      <c r="AC30" s="40">
        <v>89.54</v>
      </c>
      <c r="AD30" s="2">
        <f t="shared" si="0"/>
        <v>3.3199999999999932</v>
      </c>
      <c r="AE30" s="138">
        <f t="shared" si="1"/>
        <v>-2.8112449799196693E-2</v>
      </c>
    </row>
    <row r="31" spans="1:31" x14ac:dyDescent="0.25">
      <c r="W31" s="157">
        <v>42577</v>
      </c>
      <c r="X31" s="40">
        <v>91.96</v>
      </c>
      <c r="Y31" s="40">
        <v>93.09</v>
      </c>
      <c r="Z31" s="40">
        <v>91.5</v>
      </c>
      <c r="AA31" s="40">
        <v>92.75</v>
      </c>
      <c r="AB31" s="95">
        <v>2141500</v>
      </c>
      <c r="AC31" s="40">
        <v>92.13</v>
      </c>
      <c r="AD31" s="2">
        <f t="shared" si="0"/>
        <v>1.5900000000000034</v>
      </c>
      <c r="AE31" s="138">
        <f t="shared" si="1"/>
        <v>8.5385878489327993E-3</v>
      </c>
    </row>
    <row r="32" spans="1:31" x14ac:dyDescent="0.25">
      <c r="W32" s="157">
        <v>42576</v>
      </c>
      <c r="X32" s="40">
        <v>92</v>
      </c>
      <c r="Y32" s="40">
        <v>92.73</v>
      </c>
      <c r="Z32" s="40">
        <v>90.97</v>
      </c>
      <c r="AA32" s="40">
        <v>91.96</v>
      </c>
      <c r="AB32" s="95">
        <v>1277500</v>
      </c>
      <c r="AC32" s="40">
        <v>91.35</v>
      </c>
      <c r="AD32" s="2">
        <f t="shared" si="0"/>
        <v>1.7600000000000051</v>
      </c>
      <c r="AE32" s="138">
        <f t="shared" si="1"/>
        <v>-5.47045951860059E-4</v>
      </c>
    </row>
    <row r="33" spans="1:31" x14ac:dyDescent="0.25">
      <c r="L33" t="s">
        <v>65</v>
      </c>
      <c r="M33" s="2">
        <f>K51+M51-F51</f>
        <v>-168.6200000000008</v>
      </c>
      <c r="W33" s="157">
        <v>42573</v>
      </c>
      <c r="X33" s="40">
        <v>91.34</v>
      </c>
      <c r="Y33" s="40">
        <v>92.1</v>
      </c>
      <c r="Z33" s="40">
        <v>90.79</v>
      </c>
      <c r="AA33" s="40">
        <v>92.01</v>
      </c>
      <c r="AB33" s="95">
        <v>1047000</v>
      </c>
      <c r="AC33" s="40">
        <v>91.4</v>
      </c>
      <c r="AD33" s="2">
        <f t="shared" si="0"/>
        <v>1.3099999999999881</v>
      </c>
      <c r="AE33" s="138">
        <f t="shared" si="1"/>
        <v>4.947773501924102E-3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57">
        <v>42572</v>
      </c>
      <c r="X34" s="40">
        <v>91.12</v>
      </c>
      <c r="Y34" s="40">
        <v>92.16</v>
      </c>
      <c r="Z34" s="40">
        <v>90.53</v>
      </c>
      <c r="AA34" s="40">
        <v>91.56</v>
      </c>
      <c r="AB34" s="95">
        <v>1453700</v>
      </c>
      <c r="AC34" s="40">
        <v>90.95</v>
      </c>
      <c r="AD34" s="2">
        <f t="shared" si="0"/>
        <v>1.6299999999999955</v>
      </c>
      <c r="AE34" s="138">
        <f t="shared" si="1"/>
        <v>-2.0847048496818177E-3</v>
      </c>
    </row>
    <row r="35" spans="1:31" x14ac:dyDescent="0.25">
      <c r="A35" s="393" t="s">
        <v>47</v>
      </c>
      <c r="B35" s="383">
        <v>42185</v>
      </c>
      <c r="C35" s="384">
        <v>10</v>
      </c>
      <c r="D35" s="385">
        <v>88.85</v>
      </c>
      <c r="E35" s="385">
        <v>0</v>
      </c>
      <c r="F35" s="385">
        <f t="shared" ref="F35:F40" si="2">C35*D35</f>
        <v>888.5</v>
      </c>
      <c r="G35" s="383">
        <v>42310</v>
      </c>
      <c r="H35" s="388">
        <v>75</v>
      </c>
      <c r="I35" s="385">
        <v>80.650000000000006</v>
      </c>
      <c r="J35" s="384">
        <v>7.06</v>
      </c>
      <c r="K35" s="384">
        <f>H35*I35-J35</f>
        <v>6041.69</v>
      </c>
      <c r="L35" s="383">
        <v>42257</v>
      </c>
      <c r="M35" s="385">
        <v>35.4</v>
      </c>
      <c r="W35" s="157">
        <v>42571</v>
      </c>
      <c r="X35" s="40">
        <v>91.4</v>
      </c>
      <c r="Y35" s="40">
        <v>92.01</v>
      </c>
      <c r="Z35" s="40">
        <v>90.7</v>
      </c>
      <c r="AA35" s="40">
        <v>91.75</v>
      </c>
      <c r="AB35" s="95">
        <v>1371700</v>
      </c>
      <c r="AC35" s="40">
        <v>91.14</v>
      </c>
      <c r="AD35" s="2">
        <f t="shared" si="0"/>
        <v>1.3100000000000023</v>
      </c>
      <c r="AE35" s="138">
        <f t="shared" si="1"/>
        <v>3.8550501156513484E-3</v>
      </c>
    </row>
    <row r="36" spans="1:31" x14ac:dyDescent="0.25">
      <c r="A36" s="394" t="s">
        <v>71</v>
      </c>
      <c r="B36" s="383">
        <v>42214</v>
      </c>
      <c r="C36" s="384">
        <v>10</v>
      </c>
      <c r="D36" s="385">
        <v>83</v>
      </c>
      <c r="E36" s="385">
        <v>0</v>
      </c>
      <c r="F36" s="385">
        <f t="shared" si="2"/>
        <v>830</v>
      </c>
      <c r="G36" s="383">
        <v>42335</v>
      </c>
      <c r="H36" s="388">
        <v>60</v>
      </c>
      <c r="I36" s="385">
        <v>95.71</v>
      </c>
      <c r="J36" s="385">
        <v>0.11</v>
      </c>
      <c r="K36" s="384">
        <f>H36*I36-J36</f>
        <v>5742.49</v>
      </c>
      <c r="L36" s="384"/>
      <c r="M36" s="385"/>
      <c r="W36" s="157">
        <v>42570</v>
      </c>
      <c r="X36" s="40">
        <v>91.05</v>
      </c>
      <c r="Y36" s="40">
        <v>91.78</v>
      </c>
      <c r="Z36" s="40">
        <v>90.86</v>
      </c>
      <c r="AA36" s="40">
        <v>91.4</v>
      </c>
      <c r="AB36" s="95">
        <v>1154700</v>
      </c>
      <c r="AC36" s="40">
        <v>90.79</v>
      </c>
      <c r="AD36" s="2">
        <f t="shared" si="0"/>
        <v>0.92000000000000171</v>
      </c>
      <c r="AE36" s="138">
        <f t="shared" si="1"/>
        <v>-2.3076923076922329E-3</v>
      </c>
    </row>
    <row r="37" spans="1:31" x14ac:dyDescent="0.25">
      <c r="A37" s="384"/>
      <c r="B37" s="383">
        <v>42221</v>
      </c>
      <c r="C37" s="384">
        <v>30</v>
      </c>
      <c r="D37" s="385">
        <v>84.6</v>
      </c>
      <c r="E37" s="385">
        <v>0</v>
      </c>
      <c r="F37" s="385">
        <f t="shared" si="2"/>
        <v>2538</v>
      </c>
      <c r="G37" s="384"/>
      <c r="H37" s="388"/>
      <c r="I37" s="384"/>
      <c r="J37" s="384"/>
      <c r="K37" s="384"/>
      <c r="L37" s="384"/>
      <c r="M37" s="385"/>
      <c r="W37" s="157">
        <v>42569</v>
      </c>
      <c r="X37" s="40">
        <v>91.28</v>
      </c>
      <c r="Y37" s="40">
        <v>91.72</v>
      </c>
      <c r="Z37" s="40">
        <v>90.9</v>
      </c>
      <c r="AA37" s="40">
        <v>91.61</v>
      </c>
      <c r="AB37" s="95">
        <v>895800</v>
      </c>
      <c r="AC37" s="40">
        <v>91</v>
      </c>
      <c r="AD37" s="2">
        <f t="shared" si="0"/>
        <v>0.81999999999999318</v>
      </c>
      <c r="AE37" s="138">
        <f t="shared" si="1"/>
        <v>1.320422535211252E-3</v>
      </c>
    </row>
    <row r="38" spans="1:31" x14ac:dyDescent="0.25">
      <c r="A38" s="384"/>
      <c r="B38" s="383">
        <v>42222</v>
      </c>
      <c r="C38" s="384">
        <v>10</v>
      </c>
      <c r="D38" s="385">
        <v>83.08</v>
      </c>
      <c r="E38" s="385">
        <v>0</v>
      </c>
      <c r="F38" s="385">
        <f t="shared" si="2"/>
        <v>830.8</v>
      </c>
      <c r="G38" s="384"/>
      <c r="H38" s="388"/>
      <c r="I38" s="384"/>
      <c r="J38" s="384"/>
      <c r="K38" s="384"/>
      <c r="L38" s="384"/>
      <c r="M38" s="385"/>
      <c r="W38" s="157">
        <v>42566</v>
      </c>
      <c r="X38" s="40">
        <v>91.9</v>
      </c>
      <c r="Y38" s="40">
        <v>92.3</v>
      </c>
      <c r="Z38" s="40">
        <v>90.78</v>
      </c>
      <c r="AA38" s="40">
        <v>91.49</v>
      </c>
      <c r="AB38" s="95">
        <v>1204000</v>
      </c>
      <c r="AC38" s="40">
        <v>90.88</v>
      </c>
      <c r="AD38" s="2">
        <f t="shared" si="0"/>
        <v>1.519999999999996</v>
      </c>
      <c r="AE38" s="138">
        <f t="shared" si="1"/>
        <v>-3.2901952182496919E-3</v>
      </c>
    </row>
    <row r="39" spans="1:31" x14ac:dyDescent="0.25">
      <c r="A39" s="384"/>
      <c r="B39" s="383">
        <v>42272</v>
      </c>
      <c r="C39" s="384">
        <v>15</v>
      </c>
      <c r="D39" s="385">
        <v>77.3</v>
      </c>
      <c r="E39" s="385">
        <v>0</v>
      </c>
      <c r="F39" s="385">
        <f t="shared" si="2"/>
        <v>1159.5</v>
      </c>
      <c r="G39" s="384"/>
      <c r="H39" s="388"/>
      <c r="I39" s="384"/>
      <c r="J39" s="384"/>
      <c r="K39" s="384"/>
      <c r="L39" s="384"/>
      <c r="M39" s="384"/>
      <c r="W39" s="157">
        <v>42565</v>
      </c>
      <c r="X39" s="40">
        <v>91.25</v>
      </c>
      <c r="Y39" s="40">
        <v>92.64</v>
      </c>
      <c r="Z39" s="40">
        <v>90.85</v>
      </c>
      <c r="AA39" s="40">
        <v>91.79</v>
      </c>
      <c r="AB39" s="95">
        <v>2310800</v>
      </c>
      <c r="AC39" s="40">
        <v>91.18</v>
      </c>
      <c r="AD39" s="2">
        <f t="shared" si="0"/>
        <v>1.7900000000000063</v>
      </c>
      <c r="AE39" s="138">
        <f t="shared" si="1"/>
        <v>1.1313220940550206E-2</v>
      </c>
    </row>
    <row r="40" spans="1:31" x14ac:dyDescent="0.25">
      <c r="A40" s="384"/>
      <c r="B40" s="383">
        <v>42335</v>
      </c>
      <c r="C40" s="384">
        <v>60</v>
      </c>
      <c r="D40" s="385">
        <v>95.69</v>
      </c>
      <c r="E40" s="385">
        <v>0</v>
      </c>
      <c r="F40" s="385">
        <f t="shared" si="2"/>
        <v>5741.4</v>
      </c>
      <c r="G40" s="384"/>
      <c r="H40" s="388"/>
      <c r="I40" s="384"/>
      <c r="J40" s="384"/>
      <c r="K40" s="384"/>
      <c r="L40" s="384"/>
      <c r="M40" s="384"/>
      <c r="W40" s="157">
        <v>42564</v>
      </c>
      <c r="X40" s="40">
        <v>88.99</v>
      </c>
      <c r="Y40" s="40">
        <v>91.43</v>
      </c>
      <c r="Z40" s="40">
        <v>87.47</v>
      </c>
      <c r="AA40" s="40">
        <v>90.77</v>
      </c>
      <c r="AB40" s="95">
        <v>2658300</v>
      </c>
      <c r="AC40" s="40">
        <v>90.16</v>
      </c>
      <c r="AD40" s="2">
        <f t="shared" si="0"/>
        <v>3.960000000000008</v>
      </c>
      <c r="AE40" s="138">
        <f t="shared" si="1"/>
        <v>2.6528521006489836E-2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8"/>
      <c r="I41" s="384"/>
      <c r="J41" s="384"/>
      <c r="K41" s="384"/>
      <c r="L41" s="384"/>
      <c r="M41" s="384"/>
      <c r="W41" s="157">
        <v>42563</v>
      </c>
      <c r="X41" s="40">
        <v>87.61</v>
      </c>
      <c r="Y41" s="40">
        <v>88.96</v>
      </c>
      <c r="Z41" s="40">
        <v>87.61</v>
      </c>
      <c r="AA41" s="40">
        <v>88.42</v>
      </c>
      <c r="AB41" s="95">
        <v>1491600</v>
      </c>
      <c r="AC41" s="40">
        <v>87.83</v>
      </c>
      <c r="AD41" s="2">
        <f t="shared" si="0"/>
        <v>1.3499999999999943</v>
      </c>
      <c r="AE41" s="138">
        <f t="shared" si="1"/>
        <v>1.6904017598703192E-2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154" t="s">
        <v>78</v>
      </c>
      <c r="P42" s="154"/>
      <c r="R42" s="34"/>
      <c r="T42" s="155" t="s">
        <v>92</v>
      </c>
      <c r="W42" s="157">
        <v>42562</v>
      </c>
      <c r="X42" s="40">
        <v>86.65</v>
      </c>
      <c r="Y42" s="40">
        <v>87.47</v>
      </c>
      <c r="Z42" s="40">
        <v>86.64</v>
      </c>
      <c r="AA42" s="40">
        <v>86.95</v>
      </c>
      <c r="AB42" s="95">
        <v>1466300</v>
      </c>
      <c r="AC42" s="40">
        <v>86.37</v>
      </c>
      <c r="AD42" s="2">
        <f t="shared" si="0"/>
        <v>0.82999999999999829</v>
      </c>
      <c r="AE42" s="138">
        <f t="shared" si="1"/>
        <v>6.1742777260018755E-3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 t="shared" ref="P43:P63" si="3">O43*$Q$4</f>
        <v>104.66500000000002</v>
      </c>
      <c r="Q43" s="2"/>
      <c r="R43" s="34"/>
      <c r="T43" s="10" t="s">
        <v>98</v>
      </c>
      <c r="U43" s="88">
        <v>93.8</v>
      </c>
      <c r="W43" s="157">
        <v>42559</v>
      </c>
      <c r="X43" s="40">
        <v>84.79</v>
      </c>
      <c r="Y43" s="40">
        <v>86.94</v>
      </c>
      <c r="Z43" s="40">
        <v>84.67</v>
      </c>
      <c r="AA43" s="40">
        <v>86.42</v>
      </c>
      <c r="AB43" s="95">
        <v>2131400</v>
      </c>
      <c r="AC43" s="40">
        <v>85.84</v>
      </c>
      <c r="AD43" s="2">
        <f t="shared" si="0"/>
        <v>2.269999999999996</v>
      </c>
      <c r="AE43" s="138">
        <f t="shared" si="1"/>
        <v>2.8270244369908992E-2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si="3"/>
        <v>103.71350000000001</v>
      </c>
      <c r="Q44" s="2"/>
      <c r="R44" s="34"/>
      <c r="T44" s="10" t="s">
        <v>99</v>
      </c>
      <c r="U44" s="88">
        <v>94.09</v>
      </c>
      <c r="W44" s="157">
        <v>42558</v>
      </c>
      <c r="X44" s="40">
        <v>85.02</v>
      </c>
      <c r="Y44" s="40">
        <v>85.4</v>
      </c>
      <c r="Z44" s="40">
        <v>83.66</v>
      </c>
      <c r="AA44" s="40">
        <v>84.04</v>
      </c>
      <c r="AB44" s="95">
        <v>1452000</v>
      </c>
      <c r="AC44" s="40">
        <v>83.48</v>
      </c>
      <c r="AD44" s="2">
        <f t="shared" si="0"/>
        <v>1.7400000000000091</v>
      </c>
      <c r="AE44" s="138">
        <f t="shared" si="1"/>
        <v>-1.0666034605356645E-2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3"/>
        <v>102.76200000000001</v>
      </c>
      <c r="Q45" s="2"/>
      <c r="R45" s="34"/>
      <c r="T45" s="10" t="s">
        <v>100</v>
      </c>
      <c r="U45" s="88" t="s">
        <v>405</v>
      </c>
      <c r="W45" s="157">
        <v>42557</v>
      </c>
      <c r="X45" s="40">
        <v>83.83</v>
      </c>
      <c r="Y45" s="40">
        <v>85.26</v>
      </c>
      <c r="Z45" s="40">
        <v>83.3</v>
      </c>
      <c r="AA45" s="40">
        <v>84.95</v>
      </c>
      <c r="AB45" s="95">
        <v>1839000</v>
      </c>
      <c r="AC45" s="40">
        <v>84.38</v>
      </c>
      <c r="AD45" s="2">
        <f t="shared" si="0"/>
        <v>1.960000000000008</v>
      </c>
      <c r="AE45" s="138">
        <f t="shared" si="1"/>
        <v>1.2479001679865487E-2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3"/>
        <v>101.81050000000002</v>
      </c>
      <c r="Q46" s="2"/>
      <c r="R46" s="34"/>
      <c r="T46" s="10" t="s">
        <v>101</v>
      </c>
      <c r="U46" s="88" t="s">
        <v>406</v>
      </c>
      <c r="W46" s="157">
        <v>42556</v>
      </c>
      <c r="X46" s="40">
        <v>84.82</v>
      </c>
      <c r="Y46" s="40">
        <v>85.15</v>
      </c>
      <c r="Z46" s="40">
        <v>83.23</v>
      </c>
      <c r="AA46" s="40">
        <v>83.9</v>
      </c>
      <c r="AB46" s="95">
        <v>1406700</v>
      </c>
      <c r="AC46" s="40">
        <v>83.34</v>
      </c>
      <c r="AD46" s="2">
        <f t="shared" si="0"/>
        <v>1.9200000000000017</v>
      </c>
      <c r="AE46" s="138">
        <f t="shared" si="1"/>
        <v>-1.5242821694434472E-2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3"/>
        <v>100.85900000000001</v>
      </c>
      <c r="Q47" s="2"/>
      <c r="R47" s="34"/>
      <c r="T47" s="10" t="s">
        <v>102</v>
      </c>
      <c r="U47" s="88">
        <v>92.05</v>
      </c>
      <c r="W47" s="157">
        <v>42552</v>
      </c>
      <c r="X47" s="40">
        <v>84.89</v>
      </c>
      <c r="Y47" s="40">
        <v>85.64</v>
      </c>
      <c r="Z47" s="40">
        <v>84.7</v>
      </c>
      <c r="AA47" s="40">
        <v>85.2</v>
      </c>
      <c r="AB47" s="95">
        <v>1239900</v>
      </c>
      <c r="AC47" s="40">
        <v>84.63</v>
      </c>
      <c r="AD47" s="2">
        <f t="shared" si="0"/>
        <v>0.93999999999999773</v>
      </c>
      <c r="AE47" s="138">
        <f t="shared" si="1"/>
        <v>8.2781456953640031E-4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3"/>
        <v>99.907500000000013</v>
      </c>
      <c r="Q48" s="2"/>
      <c r="R48" s="34"/>
      <c r="T48" s="10" t="s">
        <v>103</v>
      </c>
      <c r="U48" s="88">
        <v>1.3283</v>
      </c>
      <c r="W48" s="157">
        <v>42551</v>
      </c>
      <c r="X48" s="40">
        <v>84.16</v>
      </c>
      <c r="Y48" s="40">
        <v>85.13</v>
      </c>
      <c r="Z48" s="40">
        <v>83.23</v>
      </c>
      <c r="AA48" s="40">
        <v>85.13</v>
      </c>
      <c r="AB48" s="95">
        <v>1460800</v>
      </c>
      <c r="AC48" s="40">
        <v>84.56</v>
      </c>
      <c r="AD48" s="2">
        <f t="shared" si="0"/>
        <v>1.8999999999999915</v>
      </c>
      <c r="AE48" s="138">
        <f t="shared" si="1"/>
        <v>1.64683255198943E-2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3"/>
        <v>98.956000000000003</v>
      </c>
      <c r="Q49" s="2"/>
      <c r="R49" s="34"/>
      <c r="T49" s="10" t="s">
        <v>123</v>
      </c>
      <c r="U49" s="88" t="s">
        <v>322</v>
      </c>
      <c r="W49" s="157">
        <v>42550</v>
      </c>
      <c r="X49" s="40">
        <v>83.02</v>
      </c>
      <c r="Y49" s="40">
        <v>84.19</v>
      </c>
      <c r="Z49" s="40">
        <v>82.91</v>
      </c>
      <c r="AA49" s="40">
        <v>83.75</v>
      </c>
      <c r="AB49" s="95">
        <v>951500</v>
      </c>
      <c r="AC49" s="40">
        <v>83.19</v>
      </c>
      <c r="AD49" s="2">
        <f t="shared" si="0"/>
        <v>1.2800000000000011</v>
      </c>
      <c r="AE49" s="138">
        <f t="shared" si="1"/>
        <v>1.8486777668951904E-2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3"/>
        <v>98.004500000000007</v>
      </c>
      <c r="Q50" s="2"/>
      <c r="R50" s="34"/>
      <c r="T50" s="10"/>
      <c r="U50" s="88"/>
      <c r="W50" s="157">
        <v>42549</v>
      </c>
      <c r="X50" s="40">
        <v>80.78</v>
      </c>
      <c r="Y50" s="40">
        <v>82.45</v>
      </c>
      <c r="Z50" s="40">
        <v>80.42</v>
      </c>
      <c r="AA50" s="40">
        <v>82.23</v>
      </c>
      <c r="AB50" s="95">
        <v>1538100</v>
      </c>
      <c r="AC50" s="40">
        <v>81.680000000000007</v>
      </c>
      <c r="AD50" s="2">
        <f t="shared" si="0"/>
        <v>2.0300000000000011</v>
      </c>
      <c r="AE50" s="138">
        <f t="shared" si="1"/>
        <v>3.1964624131396002E-2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97.053000000000011</v>
      </c>
      <c r="Q51" s="2"/>
      <c r="R51" s="34"/>
      <c r="T51" s="10" t="s">
        <v>105</v>
      </c>
      <c r="U51" s="88" t="s">
        <v>407</v>
      </c>
      <c r="W51" s="157">
        <v>42548</v>
      </c>
      <c r="X51" s="40">
        <v>81.650000000000006</v>
      </c>
      <c r="Y51" s="40">
        <v>81.96</v>
      </c>
      <c r="Z51" s="40">
        <v>78.73</v>
      </c>
      <c r="AA51" s="40">
        <v>79.680000000000007</v>
      </c>
      <c r="AB51" s="95">
        <v>2009000</v>
      </c>
      <c r="AC51" s="40">
        <v>79.150000000000006</v>
      </c>
      <c r="AD51" s="2">
        <f t="shared" si="0"/>
        <v>3.2299999999999898</v>
      </c>
      <c r="AE51" s="138">
        <f t="shared" si="1"/>
        <v>-3.5814350103544834E-2</v>
      </c>
    </row>
    <row r="52" spans="1:31" x14ac:dyDescent="0.25">
      <c r="O52" s="83">
        <v>1.01</v>
      </c>
      <c r="P52" s="83">
        <f t="shared" si="3"/>
        <v>96.101500000000001</v>
      </c>
      <c r="Q52" s="2"/>
      <c r="R52" s="34"/>
      <c r="T52" s="10" t="s">
        <v>106</v>
      </c>
      <c r="U52" s="88" t="s">
        <v>226</v>
      </c>
      <c r="W52" s="157">
        <v>42545</v>
      </c>
      <c r="X52" s="40">
        <v>83.88</v>
      </c>
      <c r="Y52" s="40">
        <v>84.85</v>
      </c>
      <c r="Z52" s="40">
        <v>82.49</v>
      </c>
      <c r="AA52" s="40">
        <v>82.64</v>
      </c>
      <c r="AB52" s="95">
        <v>2196800</v>
      </c>
      <c r="AC52" s="40">
        <v>82.09</v>
      </c>
      <c r="AD52" s="2">
        <f t="shared" si="0"/>
        <v>2.3599999999999994</v>
      </c>
      <c r="AE52" s="138">
        <f t="shared" si="1"/>
        <v>-5.0104142559592613E-2</v>
      </c>
    </row>
    <row r="53" spans="1:31" x14ac:dyDescent="0.25">
      <c r="O53" s="83">
        <v>1</v>
      </c>
      <c r="P53" s="83">
        <f t="shared" si="3"/>
        <v>95.15</v>
      </c>
      <c r="Q53" s="2"/>
      <c r="R53" s="34"/>
      <c r="T53" s="10" t="s">
        <v>107</v>
      </c>
      <c r="U53" s="90">
        <v>774244</v>
      </c>
      <c r="W53" s="157">
        <v>42544</v>
      </c>
      <c r="X53" s="40">
        <v>86.93</v>
      </c>
      <c r="Y53" s="40">
        <v>87.5</v>
      </c>
      <c r="Z53" s="40">
        <v>86.2</v>
      </c>
      <c r="AA53" s="40">
        <v>87</v>
      </c>
      <c r="AB53" s="95">
        <v>1291900</v>
      </c>
      <c r="AC53" s="40">
        <v>86.42</v>
      </c>
      <c r="AD53" s="2">
        <f t="shared" si="0"/>
        <v>1.2999999999999972</v>
      </c>
      <c r="AE53" s="138">
        <f t="shared" si="1"/>
        <v>1.099672437997179E-2</v>
      </c>
    </row>
    <row r="54" spans="1:31" x14ac:dyDescent="0.25">
      <c r="O54" s="83">
        <v>0.99</v>
      </c>
      <c r="P54" s="83">
        <f t="shared" si="3"/>
        <v>94.19850000000001</v>
      </c>
      <c r="Q54" s="2"/>
      <c r="R54" s="34"/>
      <c r="T54" s="10" t="s">
        <v>110</v>
      </c>
      <c r="U54" s="90">
        <v>1434960</v>
      </c>
      <c r="W54" s="157">
        <v>42543</v>
      </c>
      <c r="X54" s="40">
        <v>85.23</v>
      </c>
      <c r="Y54" s="40">
        <v>86.54</v>
      </c>
      <c r="Z54" s="40">
        <v>85.02</v>
      </c>
      <c r="AA54" s="40">
        <v>86.05</v>
      </c>
      <c r="AB54" s="95">
        <v>1488700</v>
      </c>
      <c r="AC54" s="40">
        <v>85.48</v>
      </c>
      <c r="AD54" s="2">
        <f t="shared" si="0"/>
        <v>1.5200000000000102</v>
      </c>
      <c r="AE54" s="138">
        <f t="shared" si="1"/>
        <v>1.2316437707247774E-2</v>
      </c>
    </row>
    <row r="55" spans="1:31" x14ac:dyDescent="0.25">
      <c r="O55" s="83">
        <v>0.98</v>
      </c>
      <c r="P55" s="83">
        <f t="shared" si="3"/>
        <v>93.247</v>
      </c>
      <c r="Q55" s="2"/>
      <c r="R55" s="34"/>
      <c r="T55" s="10" t="s">
        <v>108</v>
      </c>
      <c r="U55" s="88" t="s">
        <v>408</v>
      </c>
      <c r="W55" s="157">
        <v>42542</v>
      </c>
      <c r="X55" s="40">
        <v>84.32</v>
      </c>
      <c r="Y55" s="40">
        <v>85.54</v>
      </c>
      <c r="Z55" s="40">
        <v>84.32</v>
      </c>
      <c r="AA55" s="40">
        <v>85.01</v>
      </c>
      <c r="AB55" s="95">
        <v>1200500</v>
      </c>
      <c r="AC55" s="40">
        <v>84.44</v>
      </c>
      <c r="AD55" s="2">
        <f t="shared" si="0"/>
        <v>1.2200000000000131</v>
      </c>
      <c r="AE55" s="138">
        <f t="shared" si="1"/>
        <v>-7.5223319228960861E-3</v>
      </c>
    </row>
    <row r="56" spans="1:31" x14ac:dyDescent="0.25">
      <c r="O56" s="83">
        <v>0.97</v>
      </c>
      <c r="P56" s="83">
        <f t="shared" si="3"/>
        <v>92.295500000000004</v>
      </c>
      <c r="T56" s="10" t="s">
        <v>111</v>
      </c>
      <c r="U56" s="88">
        <v>17.64</v>
      </c>
      <c r="W56" s="157">
        <v>42541</v>
      </c>
      <c r="X56" s="40">
        <v>86.21</v>
      </c>
      <c r="Y56" s="40">
        <v>86.99</v>
      </c>
      <c r="Z56" s="40">
        <v>85.48</v>
      </c>
      <c r="AA56" s="40">
        <v>85.65</v>
      </c>
      <c r="AB56" s="95">
        <v>1777000</v>
      </c>
      <c r="AC56" s="40">
        <v>85.08</v>
      </c>
      <c r="AD56" s="2">
        <f t="shared" si="0"/>
        <v>1.5099999999999909</v>
      </c>
      <c r="AE56" s="138">
        <f t="shared" si="1"/>
        <v>5.4360671236113323E-3</v>
      </c>
    </row>
    <row r="57" spans="1:31" x14ac:dyDescent="0.25">
      <c r="O57" s="83">
        <v>0.96</v>
      </c>
      <c r="P57" s="83">
        <f t="shared" si="3"/>
        <v>91.344000000000008</v>
      </c>
      <c r="T57" s="10" t="s">
        <v>112</v>
      </c>
      <c r="U57" s="88">
        <v>5.34</v>
      </c>
      <c r="W57" s="157">
        <v>42538</v>
      </c>
      <c r="X57" s="40">
        <v>84.15</v>
      </c>
      <c r="Y57" s="40">
        <v>85.72</v>
      </c>
      <c r="Z57" s="40">
        <v>83.84</v>
      </c>
      <c r="AA57" s="40">
        <v>85.19</v>
      </c>
      <c r="AB57" s="95">
        <v>2195200</v>
      </c>
      <c r="AC57" s="40">
        <v>84.62</v>
      </c>
      <c r="AD57" s="2">
        <f t="shared" si="0"/>
        <v>1.8799999999999955</v>
      </c>
      <c r="AE57" s="138">
        <f t="shared" si="1"/>
        <v>1.1837857228267579E-2</v>
      </c>
    </row>
    <row r="58" spans="1:31" x14ac:dyDescent="0.25">
      <c r="O58" s="83">
        <v>0.95</v>
      </c>
      <c r="P58" s="83">
        <f t="shared" si="3"/>
        <v>90.392499999999998</v>
      </c>
      <c r="T58" s="10" t="s">
        <v>109</v>
      </c>
      <c r="U58" s="88" t="s">
        <v>573</v>
      </c>
      <c r="W58" s="157">
        <v>42537</v>
      </c>
      <c r="X58" s="40">
        <v>83.03</v>
      </c>
      <c r="Y58" s="40">
        <v>84.5</v>
      </c>
      <c r="Z58" s="40">
        <v>82.28</v>
      </c>
      <c r="AA58" s="40">
        <v>84.19</v>
      </c>
      <c r="AB58" s="95">
        <v>1553700</v>
      </c>
      <c r="AC58" s="40">
        <v>83.63</v>
      </c>
      <c r="AD58" s="2">
        <f t="shared" si="0"/>
        <v>2.2199999999999989</v>
      </c>
      <c r="AE58" s="138">
        <f t="shared" si="1"/>
        <v>8.3192669399565489E-3</v>
      </c>
    </row>
    <row r="59" spans="1:31" x14ac:dyDescent="0.25">
      <c r="O59" s="83">
        <v>0.94</v>
      </c>
      <c r="P59" s="83">
        <f t="shared" si="3"/>
        <v>89.441000000000003</v>
      </c>
      <c r="W59" s="157">
        <v>42536</v>
      </c>
      <c r="X59" s="40">
        <v>83.23</v>
      </c>
      <c r="Y59" s="40">
        <v>84.26</v>
      </c>
      <c r="Z59" s="40">
        <v>82.63</v>
      </c>
      <c r="AA59" s="40">
        <v>83.5</v>
      </c>
      <c r="AB59" s="95">
        <v>1774700</v>
      </c>
      <c r="AC59" s="40">
        <v>82.94</v>
      </c>
      <c r="AD59" s="2">
        <f t="shared" si="0"/>
        <v>1.6300000000000097</v>
      </c>
      <c r="AE59" s="138">
        <f t="shared" si="1"/>
        <v>8.3890577507599318E-3</v>
      </c>
    </row>
    <row r="60" spans="1:31" x14ac:dyDescent="0.25">
      <c r="O60" s="83">
        <v>0.93</v>
      </c>
      <c r="P60" s="83">
        <f t="shared" si="3"/>
        <v>88.489500000000007</v>
      </c>
      <c r="W60" s="157">
        <v>42535</v>
      </c>
      <c r="X60" s="40">
        <v>83.23</v>
      </c>
      <c r="Y60" s="40">
        <v>84.25</v>
      </c>
      <c r="Z60" s="40">
        <v>82.58</v>
      </c>
      <c r="AA60" s="40">
        <v>82.8</v>
      </c>
      <c r="AB60" s="95">
        <v>1071000</v>
      </c>
      <c r="AC60" s="40">
        <v>82.25</v>
      </c>
      <c r="AD60" s="2">
        <f t="shared" si="0"/>
        <v>1.6700000000000017</v>
      </c>
      <c r="AE60" s="138">
        <f t="shared" si="1"/>
        <v>-5.0804403048264613E-3</v>
      </c>
    </row>
    <row r="61" spans="1:31" x14ac:dyDescent="0.25">
      <c r="O61" s="83">
        <v>0.92</v>
      </c>
      <c r="P61" s="83">
        <f t="shared" si="3"/>
        <v>87.538000000000011</v>
      </c>
      <c r="W61" s="157">
        <v>42534</v>
      </c>
      <c r="X61" s="40">
        <v>84</v>
      </c>
      <c r="Y61" s="40">
        <v>84.4</v>
      </c>
      <c r="Z61" s="40">
        <v>83.21</v>
      </c>
      <c r="AA61" s="40">
        <v>83.23</v>
      </c>
      <c r="AB61" s="95">
        <v>1617000</v>
      </c>
      <c r="AC61" s="40">
        <v>82.67</v>
      </c>
      <c r="AD61" s="2">
        <f t="shared" si="0"/>
        <v>1.1900000000000119</v>
      </c>
      <c r="AE61" s="138">
        <f t="shared" si="1"/>
        <v>-1.029570214294262E-2</v>
      </c>
    </row>
    <row r="62" spans="1:31" x14ac:dyDescent="0.25">
      <c r="O62" s="83">
        <v>0.91</v>
      </c>
      <c r="P62" s="83">
        <f t="shared" si="3"/>
        <v>86.586500000000015</v>
      </c>
      <c r="W62" s="157">
        <v>42531</v>
      </c>
      <c r="X62" s="40">
        <v>85.14</v>
      </c>
      <c r="Y62" s="40">
        <v>85.16</v>
      </c>
      <c r="Z62" s="40">
        <v>83.46</v>
      </c>
      <c r="AA62" s="40">
        <v>84.09</v>
      </c>
      <c r="AB62" s="95">
        <v>1168100</v>
      </c>
      <c r="AC62" s="40">
        <v>83.53</v>
      </c>
      <c r="AD62" s="2">
        <f t="shared" si="0"/>
        <v>1.7000000000000028</v>
      </c>
      <c r="AE62" s="138">
        <f t="shared" si="1"/>
        <v>-1.7640832647300986E-2</v>
      </c>
    </row>
    <row r="63" spans="1:31" x14ac:dyDescent="0.25">
      <c r="O63" s="83">
        <v>0.9</v>
      </c>
      <c r="P63" s="83">
        <f t="shared" si="3"/>
        <v>85.635000000000005</v>
      </c>
      <c r="W63" s="157">
        <v>42530</v>
      </c>
      <c r="X63" s="40">
        <v>85.29</v>
      </c>
      <c r="Y63" s="40">
        <v>85.74</v>
      </c>
      <c r="Z63" s="40">
        <v>83.82</v>
      </c>
      <c r="AA63" s="40">
        <v>85.6</v>
      </c>
      <c r="AB63" s="95">
        <v>1817600</v>
      </c>
      <c r="AC63" s="40">
        <v>85.03</v>
      </c>
      <c r="AD63" s="2">
        <f t="shared" si="0"/>
        <v>1.9200000000000017</v>
      </c>
      <c r="AE63" s="138">
        <f t="shared" si="1"/>
        <v>-4.0993206840008733E-3</v>
      </c>
    </row>
    <row r="64" spans="1:31" x14ac:dyDescent="0.25">
      <c r="W64" s="157">
        <v>42529</v>
      </c>
      <c r="X64" s="40">
        <v>83.99</v>
      </c>
      <c r="Y64" s="40">
        <v>86.69</v>
      </c>
      <c r="Z64" s="40">
        <v>83.67</v>
      </c>
      <c r="AA64" s="40">
        <v>85.95</v>
      </c>
      <c r="AB64" s="95">
        <v>1862800</v>
      </c>
      <c r="AC64" s="40">
        <v>85.38</v>
      </c>
      <c r="AD64" s="2">
        <f t="shared" si="0"/>
        <v>3.019999999999996</v>
      </c>
      <c r="AE64" s="138">
        <f t="shared" si="1"/>
        <v>2.6448665544601901E-2</v>
      </c>
    </row>
    <row r="65" spans="23:31" x14ac:dyDescent="0.25">
      <c r="W65" s="157">
        <v>42528</v>
      </c>
      <c r="X65" s="40">
        <v>83.31</v>
      </c>
      <c r="Y65" s="40">
        <v>84.78</v>
      </c>
      <c r="Z65" s="40">
        <v>83.31</v>
      </c>
      <c r="AA65" s="40">
        <v>83.74</v>
      </c>
      <c r="AB65" s="95">
        <v>1139900</v>
      </c>
      <c r="AC65" s="40">
        <v>83.18</v>
      </c>
      <c r="AD65" s="2">
        <f t="shared" si="0"/>
        <v>1.4699999999999989</v>
      </c>
      <c r="AE65" s="138">
        <f t="shared" si="1"/>
        <v>5.6825051384357117E-3</v>
      </c>
    </row>
    <row r="66" spans="23:31" x14ac:dyDescent="0.25">
      <c r="W66" s="157">
        <v>42527</v>
      </c>
      <c r="X66" s="40">
        <v>83.54</v>
      </c>
      <c r="Y66" s="40">
        <v>84.3</v>
      </c>
      <c r="Z66" s="40">
        <v>82.58</v>
      </c>
      <c r="AA66" s="40">
        <v>83.27</v>
      </c>
      <c r="AB66" s="95">
        <v>1493700</v>
      </c>
      <c r="AC66" s="40">
        <v>82.71</v>
      </c>
      <c r="AD66" s="2">
        <f t="shared" si="0"/>
        <v>1.7199999999999989</v>
      </c>
      <c r="AE66" s="138">
        <f t="shared" si="1"/>
        <v>1.938219261053975E-3</v>
      </c>
    </row>
    <row r="67" spans="23:31" x14ac:dyDescent="0.25">
      <c r="W67" s="157">
        <v>42524</v>
      </c>
      <c r="X67" s="40">
        <v>82.58</v>
      </c>
      <c r="Y67" s="40">
        <v>83.47</v>
      </c>
      <c r="Z67" s="40">
        <v>81.91</v>
      </c>
      <c r="AA67" s="40">
        <v>83.11</v>
      </c>
      <c r="AB67" s="95">
        <v>1554800</v>
      </c>
      <c r="AC67" s="40">
        <v>82.55</v>
      </c>
      <c r="AD67" s="2">
        <f>Y67-Z67</f>
        <v>1.5600000000000023</v>
      </c>
      <c r="AE67" s="138">
        <f>AC67/AC68-1</f>
        <v>-7.263043215107734E-4</v>
      </c>
    </row>
    <row r="68" spans="23:31" x14ac:dyDescent="0.25">
      <c r="W68" s="157">
        <v>42523</v>
      </c>
      <c r="X68" s="40">
        <v>82.6</v>
      </c>
      <c r="Y68" s="40">
        <v>83.23</v>
      </c>
      <c r="Z68" s="40">
        <v>82.06</v>
      </c>
      <c r="AA68" s="40">
        <v>83.17</v>
      </c>
      <c r="AB68" s="95">
        <v>1003600</v>
      </c>
      <c r="AC68" s="40">
        <v>82.61</v>
      </c>
      <c r="AD68" s="2">
        <f>Y68-Z68</f>
        <v>1.1700000000000017</v>
      </c>
      <c r="AE68" s="138" t="e">
        <f>AC68/AC69-1</f>
        <v>#DIV/0!</v>
      </c>
    </row>
    <row r="69" spans="23:31" x14ac:dyDescent="0.25">
      <c r="W69" s="157" t="s">
        <v>122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32" priority="25">
      <formula>F24&gt;0</formula>
    </cfRule>
    <cfRule type="expression" dxfId="231" priority="26">
      <formula>F24&lt;0</formula>
    </cfRule>
  </conditionalFormatting>
  <conditionalFormatting sqref="H21:H27">
    <cfRule type="expression" dxfId="230" priority="19">
      <formula>H21&gt;0</formula>
    </cfRule>
    <cfRule type="expression" dxfId="229" priority="20">
      <formula>H21&lt;0</formula>
    </cfRule>
  </conditionalFormatting>
  <conditionalFormatting sqref="F21:F23">
    <cfRule type="expression" dxfId="228" priority="5">
      <formula>F21&gt;0</formula>
    </cfRule>
    <cfRule type="expression" dxfId="227" priority="6">
      <formula>F21&lt;0</formula>
    </cfRule>
  </conditionalFormatting>
  <conditionalFormatting sqref="Q8">
    <cfRule type="expression" dxfId="226" priority="1">
      <formula>Q8&gt;0</formula>
    </cfRule>
    <cfRule type="expression" dxfId="225" priority="2">
      <formula>Q8&lt;0</formula>
    </cfRule>
  </conditionalFormatting>
  <conditionalFormatting sqref="Q7">
    <cfRule type="expression" dxfId="224" priority="3">
      <formula>Q7&gt;0</formula>
    </cfRule>
    <cfRule type="expression" dxfId="223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42615</v>
      </c>
      <c r="X2" s="10">
        <v>177</v>
      </c>
      <c r="Y2" s="10">
        <v>177.34</v>
      </c>
      <c r="Z2" s="10">
        <v>168.8</v>
      </c>
      <c r="AA2" s="10">
        <v>173.11</v>
      </c>
      <c r="AB2" s="95">
        <v>8040300</v>
      </c>
      <c r="AC2" s="10">
        <v>173.11</v>
      </c>
      <c r="AD2" s="2">
        <f>Y2-Z2</f>
        <v>8.539999999999992</v>
      </c>
      <c r="AE2" s="138">
        <f>AC2/AC3-1</f>
        <v>-2.2474448020780358E-2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171.1</v>
      </c>
      <c r="T3" s="63"/>
      <c r="W3" s="133">
        <v>42614</v>
      </c>
      <c r="X3" s="10">
        <v>176.88</v>
      </c>
      <c r="Y3" s="10">
        <v>177.67</v>
      </c>
      <c r="Z3" s="10">
        <v>174.82</v>
      </c>
      <c r="AA3" s="10">
        <v>177.09</v>
      </c>
      <c r="AB3" s="95">
        <v>3912800</v>
      </c>
      <c r="AC3" s="10">
        <v>177.09</v>
      </c>
      <c r="AD3" s="2">
        <f t="shared" ref="AD3:AD66" si="0">Y3-Z3</f>
        <v>2.8499999999999943</v>
      </c>
      <c r="AE3" s="138">
        <f t="shared" ref="AE3:AE66" si="1">AC3/AC4-1</f>
        <v>3.7977553565355926E-3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171.1</v>
      </c>
      <c r="T4" s="63"/>
      <c r="W4" s="133">
        <v>42613</v>
      </c>
      <c r="X4" s="10">
        <v>177.1</v>
      </c>
      <c r="Y4" s="10">
        <v>178.32</v>
      </c>
      <c r="Z4" s="10">
        <v>175.35</v>
      </c>
      <c r="AA4" s="10">
        <v>176.42</v>
      </c>
      <c r="AB4" s="95">
        <v>3275300</v>
      </c>
      <c r="AC4" s="10">
        <v>176.42</v>
      </c>
      <c r="AD4" s="2">
        <f t="shared" si="0"/>
        <v>2.9699999999999989</v>
      </c>
      <c r="AE4" s="138">
        <f t="shared" si="1"/>
        <v>-3.2768361581921868E-3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42612</v>
      </c>
      <c r="X5" s="10">
        <v>178.16</v>
      </c>
      <c r="Y5" s="10">
        <v>179.42</v>
      </c>
      <c r="Z5" s="10">
        <v>175.94</v>
      </c>
      <c r="AA5" s="10">
        <v>177</v>
      </c>
      <c r="AB5" s="95">
        <v>2783800</v>
      </c>
      <c r="AC5" s="10">
        <v>177</v>
      </c>
      <c r="AD5" s="2">
        <f t="shared" si="0"/>
        <v>3.4799999999999898</v>
      </c>
      <c r="AE5" s="138">
        <f t="shared" si="1"/>
        <v>-2.2547914317926354E-3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42611</v>
      </c>
      <c r="X6" s="10">
        <v>177.3</v>
      </c>
      <c r="Y6" s="10">
        <v>178.68</v>
      </c>
      <c r="Z6" s="10">
        <v>176.9</v>
      </c>
      <c r="AA6" s="10">
        <v>177.4</v>
      </c>
      <c r="AB6" s="95">
        <v>1672600</v>
      </c>
      <c r="AC6" s="10">
        <v>177.4</v>
      </c>
      <c r="AD6" s="2">
        <f t="shared" si="0"/>
        <v>1.7800000000000011</v>
      </c>
      <c r="AE6" s="138">
        <f t="shared" si="1"/>
        <v>1.3547076089410748E-3</v>
      </c>
    </row>
    <row r="7" spans="1:31" x14ac:dyDescent="0.25">
      <c r="B7" s="381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187</v>
      </c>
      <c r="Q7" s="2">
        <f>Q10+Q8</f>
        <v>780.73999999999796</v>
      </c>
      <c r="R7">
        <v>0</v>
      </c>
      <c r="T7" s="63"/>
      <c r="W7" s="133">
        <v>42608</v>
      </c>
      <c r="X7" s="10">
        <v>176.83</v>
      </c>
      <c r="Y7" s="10">
        <v>178.65</v>
      </c>
      <c r="Z7" s="10">
        <v>175.13</v>
      </c>
      <c r="AA7" s="10">
        <v>177.16</v>
      </c>
      <c r="AB7" s="95">
        <v>2258600</v>
      </c>
      <c r="AC7" s="10">
        <v>177.16</v>
      </c>
      <c r="AD7" s="2">
        <f t="shared" si="0"/>
        <v>3.5200000000000102</v>
      </c>
      <c r="AE7" s="138">
        <f t="shared" si="1"/>
        <v>6.3621904112702854E-3</v>
      </c>
    </row>
    <row r="8" spans="1:31" x14ac:dyDescent="0.25">
      <c r="B8" s="381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T8" s="63"/>
      <c r="W8" s="133">
        <v>42607</v>
      </c>
      <c r="X8" s="10">
        <v>175.52</v>
      </c>
      <c r="Y8" s="10">
        <v>177.14</v>
      </c>
      <c r="Z8" s="10">
        <v>174.69</v>
      </c>
      <c r="AA8" s="10">
        <v>176.04</v>
      </c>
      <c r="AB8" s="95">
        <v>1873500</v>
      </c>
      <c r="AC8" s="10">
        <v>176.04</v>
      </c>
      <c r="AD8" s="2">
        <f t="shared" si="0"/>
        <v>2.4499999999999886</v>
      </c>
      <c r="AE8" s="138">
        <f t="shared" si="1"/>
        <v>4.2213348545350193E-3</v>
      </c>
    </row>
    <row r="9" spans="1:31" x14ac:dyDescent="0.25">
      <c r="B9" s="38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224</v>
      </c>
      <c r="Q9" s="138">
        <f>IF(Q2=0, 0, Q8/Q6)</f>
        <v>0</v>
      </c>
      <c r="T9" s="67"/>
      <c r="W9" s="133">
        <v>42606</v>
      </c>
      <c r="X9" s="10">
        <v>177.57</v>
      </c>
      <c r="Y9" s="10">
        <v>177.69</v>
      </c>
      <c r="Z9" s="10">
        <v>174.37</v>
      </c>
      <c r="AA9" s="10">
        <v>175.3</v>
      </c>
      <c r="AB9" s="95">
        <v>2180200</v>
      </c>
      <c r="AC9" s="10">
        <v>175.3</v>
      </c>
      <c r="AD9" s="2">
        <f t="shared" si="0"/>
        <v>3.3199999999999932</v>
      </c>
      <c r="AE9" s="138">
        <f t="shared" si="1"/>
        <v>-1.1503326942596148E-2</v>
      </c>
    </row>
    <row r="10" spans="1:31" x14ac:dyDescent="0.25">
      <c r="B10" s="38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223</v>
      </c>
      <c r="P10" s="34"/>
      <c r="Q10" s="2">
        <f>M32</f>
        <v>780.73999999999796</v>
      </c>
      <c r="W10" s="133">
        <v>42605</v>
      </c>
      <c r="X10" s="10">
        <v>176.72</v>
      </c>
      <c r="Y10" s="10">
        <v>177.47</v>
      </c>
      <c r="Z10" s="10">
        <v>176.12</v>
      </c>
      <c r="AA10" s="10">
        <v>177.34</v>
      </c>
      <c r="AB10" s="95">
        <v>1974100</v>
      </c>
      <c r="AC10" s="10">
        <v>177.34</v>
      </c>
      <c r="AD10" s="2">
        <f t="shared" si="0"/>
        <v>1.3499999999999943</v>
      </c>
      <c r="AE10" s="138">
        <f t="shared" si="1"/>
        <v>8.0145512419711462E-3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VALUE(TRIM(CLEAN(MID(U57, FIND("(", U57)+1, 5))))</f>
        <v>1.1599999999999999E-2</v>
      </c>
      <c r="W11" s="133">
        <v>42604</v>
      </c>
      <c r="X11" s="10">
        <v>175</v>
      </c>
      <c r="Y11" s="10">
        <v>176.31</v>
      </c>
      <c r="Z11" s="10">
        <v>174.06</v>
      </c>
      <c r="AA11" s="10">
        <v>175.93</v>
      </c>
      <c r="AB11" s="95">
        <v>1539300</v>
      </c>
      <c r="AC11" s="10">
        <v>175.93</v>
      </c>
      <c r="AD11" s="2">
        <f t="shared" si="0"/>
        <v>2.25</v>
      </c>
      <c r="AE11" s="138">
        <f t="shared" si="1"/>
        <v>5.7165723432230919E-3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42601</v>
      </c>
      <c r="X12" s="10">
        <v>174.18</v>
      </c>
      <c r="Y12" s="10">
        <v>175.06</v>
      </c>
      <c r="Z12" s="10">
        <v>173.43</v>
      </c>
      <c r="AA12" s="10">
        <v>174.93</v>
      </c>
      <c r="AB12" s="95">
        <v>1534900</v>
      </c>
      <c r="AC12" s="10">
        <v>174.93</v>
      </c>
      <c r="AD12" s="2">
        <f t="shared" si="0"/>
        <v>1.6299999999999955</v>
      </c>
      <c r="AE12" s="138">
        <f t="shared" si="1"/>
        <v>5.7494394296555562E-3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42600</v>
      </c>
      <c r="X13" s="10">
        <v>172.82</v>
      </c>
      <c r="Y13" s="10">
        <v>174.18</v>
      </c>
      <c r="Z13" s="10">
        <v>172.64</v>
      </c>
      <c r="AA13" s="10">
        <v>173.93</v>
      </c>
      <c r="AB13" s="95">
        <v>2112000</v>
      </c>
      <c r="AC13" s="10">
        <v>173.93</v>
      </c>
      <c r="AD13" s="2">
        <f t="shared" si="0"/>
        <v>1.5400000000000205</v>
      </c>
      <c r="AE13" s="138">
        <f t="shared" si="1"/>
        <v>5.2014101600879048E-3</v>
      </c>
    </row>
    <row r="14" spans="1:31" x14ac:dyDescent="0.25">
      <c r="W14" s="133">
        <v>42599</v>
      </c>
      <c r="X14" s="10">
        <v>172.25</v>
      </c>
      <c r="Y14" s="10">
        <v>173.28</v>
      </c>
      <c r="Z14" s="10">
        <v>171.76</v>
      </c>
      <c r="AA14" s="10">
        <v>173.03</v>
      </c>
      <c r="AB14" s="95">
        <v>1661300</v>
      </c>
      <c r="AC14" s="10">
        <v>173.03</v>
      </c>
      <c r="AD14" s="2">
        <f t="shared" si="0"/>
        <v>1.5200000000000102</v>
      </c>
      <c r="AE14" s="138">
        <f t="shared" si="1"/>
        <v>3.6542923433875441E-3</v>
      </c>
    </row>
    <row r="15" spans="1:31" x14ac:dyDescent="0.25">
      <c r="W15" s="133">
        <v>42598</v>
      </c>
      <c r="X15" s="10">
        <v>174.81</v>
      </c>
      <c r="Y15" s="10">
        <v>174.99</v>
      </c>
      <c r="Z15" s="10">
        <v>172.1</v>
      </c>
      <c r="AA15" s="10">
        <v>172.4</v>
      </c>
      <c r="AB15" s="95">
        <v>1906900</v>
      </c>
      <c r="AC15" s="10">
        <v>172.4</v>
      </c>
      <c r="AD15" s="2">
        <f t="shared" si="0"/>
        <v>2.8900000000000148</v>
      </c>
      <c r="AE15" s="138">
        <f t="shared" si="1"/>
        <v>-1.7887660931981242E-2</v>
      </c>
    </row>
    <row r="16" spans="1:31" x14ac:dyDescent="0.25">
      <c r="W16" s="133">
        <v>42597</v>
      </c>
      <c r="X16" s="10">
        <v>173.37</v>
      </c>
      <c r="Y16" s="10">
        <v>175.81</v>
      </c>
      <c r="Z16" s="10">
        <v>172.5</v>
      </c>
      <c r="AA16" s="10">
        <v>175.54</v>
      </c>
      <c r="AB16" s="95">
        <v>2580700</v>
      </c>
      <c r="AC16" s="10">
        <v>175.54</v>
      </c>
      <c r="AD16" s="2">
        <f t="shared" si="0"/>
        <v>3.3100000000000023</v>
      </c>
      <c r="AE16" s="138">
        <f t="shared" si="1"/>
        <v>1.7800197135733775E-2</v>
      </c>
    </row>
    <row r="17" spans="1:31" x14ac:dyDescent="0.25">
      <c r="W17" s="133">
        <v>42594</v>
      </c>
      <c r="X17" s="10">
        <v>172.13</v>
      </c>
      <c r="Y17" s="10">
        <v>172.62</v>
      </c>
      <c r="Z17" s="10">
        <v>171.38</v>
      </c>
      <c r="AA17" s="10">
        <v>172.47</v>
      </c>
      <c r="AB17" s="95">
        <v>1653000</v>
      </c>
      <c r="AC17" s="10">
        <v>172.47</v>
      </c>
      <c r="AD17" s="2">
        <f t="shared" si="0"/>
        <v>1.2400000000000091</v>
      </c>
      <c r="AE17" s="138">
        <f t="shared" si="1"/>
        <v>2.2081468998780274E-3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42593</v>
      </c>
      <c r="X18" s="10">
        <v>172.07</v>
      </c>
      <c r="Y18" s="10">
        <v>173.16</v>
      </c>
      <c r="Z18" s="10">
        <v>170.9</v>
      </c>
      <c r="AA18" s="10">
        <v>172.09</v>
      </c>
      <c r="AB18" s="95">
        <v>1574500</v>
      </c>
      <c r="AC18" s="10">
        <v>172.09</v>
      </c>
      <c r="AD18" s="2">
        <f t="shared" si="0"/>
        <v>2.2599999999999909</v>
      </c>
      <c r="AE18" s="138">
        <f t="shared" si="1"/>
        <v>1.3965667733488729E-3</v>
      </c>
    </row>
    <row r="19" spans="1:31" x14ac:dyDescent="0.25">
      <c r="W19" s="133">
        <v>42592</v>
      </c>
      <c r="X19" s="10">
        <v>171.22</v>
      </c>
      <c r="Y19" s="10">
        <v>172.18</v>
      </c>
      <c r="Z19" s="10">
        <v>169.84</v>
      </c>
      <c r="AA19" s="10">
        <v>171.85</v>
      </c>
      <c r="AB19" s="95">
        <v>1952300</v>
      </c>
      <c r="AC19" s="10">
        <v>171.85</v>
      </c>
      <c r="AD19" s="2">
        <f t="shared" si="0"/>
        <v>2.3400000000000034</v>
      </c>
      <c r="AE19" s="138">
        <f t="shared" si="1"/>
        <v>3.9726587602968433E-3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42591</v>
      </c>
      <c r="X20" s="10">
        <v>168.94</v>
      </c>
      <c r="Y20" s="10">
        <v>172.17</v>
      </c>
      <c r="Z20" s="10">
        <v>168.7</v>
      </c>
      <c r="AA20" s="10">
        <v>171.17</v>
      </c>
      <c r="AB20" s="95">
        <v>3274300</v>
      </c>
      <c r="AC20" s="10">
        <v>171.17</v>
      </c>
      <c r="AD20" s="2">
        <f t="shared" si="0"/>
        <v>3.4699999999999989</v>
      </c>
      <c r="AE20" s="138">
        <f t="shared" si="1"/>
        <v>1.6750816750816799E-2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42590</v>
      </c>
      <c r="X21" s="10">
        <v>170</v>
      </c>
      <c r="Y21" s="10">
        <v>171.23</v>
      </c>
      <c r="Z21" s="10">
        <v>167.86</v>
      </c>
      <c r="AA21" s="10">
        <v>168.35</v>
      </c>
      <c r="AB21" s="95">
        <v>1908400</v>
      </c>
      <c r="AC21" s="10">
        <v>168.35</v>
      </c>
      <c r="AD21" s="2">
        <f t="shared" si="0"/>
        <v>3.3699999999999761</v>
      </c>
      <c r="AE21" s="138">
        <f t="shared" si="1"/>
        <v>-1.0404420409123039E-2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42587</v>
      </c>
      <c r="X22" s="10">
        <v>167.95</v>
      </c>
      <c r="Y22" s="10">
        <v>170.2</v>
      </c>
      <c r="Z22" s="10">
        <v>167.23</v>
      </c>
      <c r="AA22" s="10">
        <v>170.12</v>
      </c>
      <c r="AB22" s="95">
        <v>2559400</v>
      </c>
      <c r="AC22" s="10">
        <v>170.12</v>
      </c>
      <c r="AD22" s="2">
        <f t="shared" si="0"/>
        <v>2.9699999999999989</v>
      </c>
      <c r="AE22" s="138">
        <f t="shared" si="1"/>
        <v>1.8743637343553443E-2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42586</v>
      </c>
      <c r="X23" s="10">
        <v>164.27</v>
      </c>
      <c r="Y23" s="10">
        <v>167</v>
      </c>
      <c r="Z23" s="10">
        <v>164.2</v>
      </c>
      <c r="AA23" s="10">
        <v>166.99</v>
      </c>
      <c r="AB23" s="95">
        <v>1997800</v>
      </c>
      <c r="AC23" s="10">
        <v>166.99</v>
      </c>
      <c r="AD23" s="2">
        <f t="shared" si="0"/>
        <v>2.8000000000000114</v>
      </c>
      <c r="AE23" s="138">
        <f t="shared" si="1"/>
        <v>1.7549204801657448E-2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42585</v>
      </c>
      <c r="X24" s="10">
        <v>161.88</v>
      </c>
      <c r="Y24" s="10">
        <v>164.15</v>
      </c>
      <c r="Z24" s="10">
        <v>161.28</v>
      </c>
      <c r="AA24" s="10">
        <v>164.11</v>
      </c>
      <c r="AB24" s="95">
        <v>1501900</v>
      </c>
      <c r="AC24" s="10">
        <v>164.11</v>
      </c>
      <c r="AD24" s="2">
        <f t="shared" si="0"/>
        <v>2.8700000000000045</v>
      </c>
      <c r="AE24" s="138">
        <f t="shared" si="1"/>
        <v>7.4897169869239111E-3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42584</v>
      </c>
      <c r="X25" s="10">
        <v>163.1</v>
      </c>
      <c r="Y25" s="10">
        <v>163.99</v>
      </c>
      <c r="Z25" s="10">
        <v>162.27000000000001</v>
      </c>
      <c r="AA25" s="10">
        <v>162.88999999999999</v>
      </c>
      <c r="AB25" s="95">
        <v>2268900</v>
      </c>
      <c r="AC25" s="10">
        <v>162.88999999999999</v>
      </c>
      <c r="AD25" s="2">
        <f t="shared" si="0"/>
        <v>1.7199999999999989</v>
      </c>
      <c r="AE25" s="138">
        <f t="shared" si="1"/>
        <v>-3.7918170142499097E-3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42583</v>
      </c>
      <c r="X26" s="10">
        <v>162.78</v>
      </c>
      <c r="Y26" s="10">
        <v>163.88</v>
      </c>
      <c r="Z26" s="10">
        <v>161.9</v>
      </c>
      <c r="AA26" s="10">
        <v>163.51</v>
      </c>
      <c r="AB26" s="95">
        <v>1787600</v>
      </c>
      <c r="AC26" s="10">
        <v>163.51</v>
      </c>
      <c r="AD26" s="2">
        <f t="shared" si="0"/>
        <v>1.9799999999999898</v>
      </c>
      <c r="AE26" s="138">
        <f t="shared" si="1"/>
        <v>9.4456105692060088E-3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42580</v>
      </c>
      <c r="X27" s="10">
        <v>163.93</v>
      </c>
      <c r="Y27" s="10">
        <v>164.65</v>
      </c>
      <c r="Z27" s="10">
        <v>161.1</v>
      </c>
      <c r="AA27" s="10">
        <v>161.97999999999999</v>
      </c>
      <c r="AB27" s="95">
        <v>2603000</v>
      </c>
      <c r="AC27" s="10">
        <v>161.97999999999999</v>
      </c>
      <c r="AD27" s="2">
        <f t="shared" si="0"/>
        <v>3.5500000000000114</v>
      </c>
      <c r="AE27" s="138">
        <f t="shared" si="1"/>
        <v>-1.370029836205322E-2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42579</v>
      </c>
      <c r="X28" s="10">
        <v>165</v>
      </c>
      <c r="Y28" s="10">
        <v>166.97</v>
      </c>
      <c r="Z28" s="10">
        <v>163.92</v>
      </c>
      <c r="AA28" s="10">
        <v>164.23</v>
      </c>
      <c r="AB28" s="95">
        <v>1951200</v>
      </c>
      <c r="AC28" s="10">
        <v>164.23</v>
      </c>
      <c r="AD28" s="2">
        <f t="shared" si="0"/>
        <v>3.0500000000000114</v>
      </c>
      <c r="AE28" s="138">
        <f t="shared" si="1"/>
        <v>-8.6321381142098197E-3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42578</v>
      </c>
      <c r="X29" s="10">
        <v>165.94</v>
      </c>
      <c r="Y29" s="10">
        <v>167.6</v>
      </c>
      <c r="Z29" s="10">
        <v>162.71</v>
      </c>
      <c r="AA29" s="10">
        <v>165.66</v>
      </c>
      <c r="AB29" s="95">
        <v>3049300</v>
      </c>
      <c r="AC29" s="10">
        <v>165.66</v>
      </c>
      <c r="AD29" s="2">
        <f t="shared" si="0"/>
        <v>4.8899999999999864</v>
      </c>
      <c r="AE29" s="138">
        <f t="shared" si="1"/>
        <v>1.3582966226137971E-2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42577</v>
      </c>
      <c r="X30" s="10">
        <v>161.41</v>
      </c>
      <c r="Y30" s="10">
        <v>163.5</v>
      </c>
      <c r="Z30" s="10">
        <v>160.37</v>
      </c>
      <c r="AA30" s="10">
        <v>163.44</v>
      </c>
      <c r="AB30" s="95">
        <v>2863100</v>
      </c>
      <c r="AC30" s="10">
        <v>163.44</v>
      </c>
      <c r="AD30" s="2">
        <f t="shared" si="0"/>
        <v>3.1299999999999955</v>
      </c>
      <c r="AE30" s="138">
        <f t="shared" si="1"/>
        <v>2.2906496432594903E-2</v>
      </c>
    </row>
    <row r="31" spans="1:31" x14ac:dyDescent="0.25">
      <c r="W31" s="133">
        <v>42576</v>
      </c>
      <c r="X31" s="10">
        <v>159.63999999999999</v>
      </c>
      <c r="Y31" s="10">
        <v>160.69999999999999</v>
      </c>
      <c r="Z31" s="10">
        <v>159.27000000000001</v>
      </c>
      <c r="AA31" s="10">
        <v>159.78</v>
      </c>
      <c r="AB31" s="95">
        <v>962700</v>
      </c>
      <c r="AC31" s="10">
        <v>159.78</v>
      </c>
      <c r="AD31" s="2">
        <f t="shared" si="0"/>
        <v>1.4299999999999784</v>
      </c>
      <c r="AE31" s="138">
        <f t="shared" si="1"/>
        <v>6.8892089935501666E-4</v>
      </c>
    </row>
    <row r="32" spans="1:31" x14ac:dyDescent="0.25">
      <c r="L32" t="s">
        <v>223</v>
      </c>
      <c r="M32" s="2">
        <f>M50+K50-F50</f>
        <v>780.73999999999796</v>
      </c>
      <c r="W32" s="133">
        <v>42573</v>
      </c>
      <c r="X32" s="10">
        <v>159.59</v>
      </c>
      <c r="Y32" s="10">
        <v>160.30000000000001</v>
      </c>
      <c r="Z32" s="10">
        <v>156.69</v>
      </c>
      <c r="AA32" s="10">
        <v>159.66999999999999</v>
      </c>
      <c r="AB32" s="95">
        <v>1966400</v>
      </c>
      <c r="AC32" s="10">
        <v>159.66999999999999</v>
      </c>
      <c r="AD32" s="2">
        <f t="shared" si="0"/>
        <v>3.6100000000000136</v>
      </c>
      <c r="AE32" s="138">
        <f t="shared" si="1"/>
        <v>-4.6131787295057292E-3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42572</v>
      </c>
      <c r="X33" s="10">
        <v>163.01</v>
      </c>
      <c r="Y33" s="10">
        <v>163.47999999999999</v>
      </c>
      <c r="Z33" s="10">
        <v>159.82</v>
      </c>
      <c r="AA33" s="10">
        <v>160.41</v>
      </c>
      <c r="AB33" s="95">
        <v>1953000</v>
      </c>
      <c r="AC33" s="10">
        <v>160.41</v>
      </c>
      <c r="AD33" s="2">
        <f t="shared" si="0"/>
        <v>3.6599999999999966</v>
      </c>
      <c r="AE33" s="138">
        <f t="shared" si="1"/>
        <v>-1.389315792709156E-2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42571</v>
      </c>
      <c r="X34" s="10">
        <v>161.6</v>
      </c>
      <c r="Y34" s="10">
        <v>163.77000000000001</v>
      </c>
      <c r="Z34" s="10">
        <v>160.91999999999999</v>
      </c>
      <c r="AA34" s="10">
        <v>162.66999999999999</v>
      </c>
      <c r="AB34" s="95">
        <v>1806400</v>
      </c>
      <c r="AC34" s="10">
        <v>162.66999999999999</v>
      </c>
      <c r="AD34" s="2">
        <f t="shared" si="0"/>
        <v>2.8500000000000227</v>
      </c>
      <c r="AE34" s="138">
        <f t="shared" si="1"/>
        <v>1.3330841587242181E-2</v>
      </c>
    </row>
    <row r="35" spans="1:31" x14ac:dyDescent="0.25">
      <c r="A35" s="23" t="s">
        <v>71</v>
      </c>
      <c r="B35" s="560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42570</v>
      </c>
      <c r="X35" s="10">
        <v>161.47</v>
      </c>
      <c r="Y35" s="10">
        <v>162</v>
      </c>
      <c r="Z35" s="10">
        <v>159.79</v>
      </c>
      <c r="AA35" s="10">
        <v>160.53</v>
      </c>
      <c r="AB35" s="95">
        <v>1479700</v>
      </c>
      <c r="AC35" s="10">
        <v>160.53</v>
      </c>
      <c r="AD35" s="2">
        <f t="shared" si="0"/>
        <v>2.210000000000008</v>
      </c>
      <c r="AE35" s="138">
        <f t="shared" si="1"/>
        <v>-1.1088523378303572E-2</v>
      </c>
    </row>
    <row r="36" spans="1:31" x14ac:dyDescent="0.25">
      <c r="B36" s="560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42569</v>
      </c>
      <c r="X36" s="10">
        <v>162.41999999999999</v>
      </c>
      <c r="Y36" s="10">
        <v>163.69999999999999</v>
      </c>
      <c r="Z36" s="10">
        <v>161.94999999999999</v>
      </c>
      <c r="AA36" s="10">
        <v>162.33000000000001</v>
      </c>
      <c r="AB36" s="95">
        <v>1462600</v>
      </c>
      <c r="AC36" s="10">
        <v>162.33000000000001</v>
      </c>
      <c r="AD36" s="2">
        <f t="shared" si="0"/>
        <v>1.75</v>
      </c>
      <c r="AE36" s="138">
        <f t="shared" si="1"/>
        <v>7.2598659717051373E-3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42566</v>
      </c>
      <c r="X37" s="10">
        <v>161.11000000000001</v>
      </c>
      <c r="Y37" s="10">
        <v>161.57</v>
      </c>
      <c r="Z37" s="10">
        <v>159.66</v>
      </c>
      <c r="AA37" s="10">
        <v>161.16</v>
      </c>
      <c r="AB37" s="95">
        <v>1925900</v>
      </c>
      <c r="AC37" s="10">
        <v>161.16</v>
      </c>
      <c r="AD37" s="2">
        <f t="shared" si="0"/>
        <v>1.9099999999999966</v>
      </c>
      <c r="AE37" s="138">
        <f t="shared" si="1"/>
        <v>2.3011381304807177E-3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42565</v>
      </c>
      <c r="X38" s="10">
        <v>159.55000000000001</v>
      </c>
      <c r="Y38" s="10">
        <v>161.06</v>
      </c>
      <c r="Z38" s="10">
        <v>158.86000000000001</v>
      </c>
      <c r="AA38" s="10">
        <v>160.79</v>
      </c>
      <c r="AB38" s="95">
        <v>2355000</v>
      </c>
      <c r="AC38" s="10">
        <v>160.79</v>
      </c>
      <c r="AD38" s="2">
        <f t="shared" si="0"/>
        <v>2.1999999999999886</v>
      </c>
      <c r="AE38" s="138">
        <f t="shared" si="1"/>
        <v>2.1472587510323438E-2</v>
      </c>
    </row>
    <row r="39" spans="1:31" x14ac:dyDescent="0.25">
      <c r="B39" s="560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42564</v>
      </c>
      <c r="X39" s="10">
        <v>158.91</v>
      </c>
      <c r="Y39" s="10">
        <v>160.38</v>
      </c>
      <c r="Z39" s="10">
        <v>157.34</v>
      </c>
      <c r="AA39" s="10">
        <v>157.41</v>
      </c>
      <c r="AB39" s="95">
        <v>1573400</v>
      </c>
      <c r="AC39" s="10">
        <v>157.41</v>
      </c>
      <c r="AD39" s="2">
        <f t="shared" si="0"/>
        <v>3.039999999999992</v>
      </c>
      <c r="AE39" s="138">
        <f t="shared" si="1"/>
        <v>-7.4405700233306504E-3</v>
      </c>
    </row>
    <row r="40" spans="1:31" x14ac:dyDescent="0.25">
      <c r="B40" s="561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42563</v>
      </c>
      <c r="X40" s="10">
        <v>158.58000000000001</v>
      </c>
      <c r="Y40" s="10">
        <v>160.91</v>
      </c>
      <c r="Z40" s="10">
        <v>158.25</v>
      </c>
      <c r="AA40" s="10">
        <v>158.59</v>
      </c>
      <c r="AB40" s="95">
        <v>2030600</v>
      </c>
      <c r="AC40" s="10">
        <v>158.59</v>
      </c>
      <c r="AD40" s="2">
        <f t="shared" si="0"/>
        <v>2.6599999999999966</v>
      </c>
      <c r="AE40" s="138">
        <f t="shared" si="1"/>
        <v>7.8164717844433351E-3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545" t="s">
        <v>78</v>
      </c>
      <c r="P41" s="545"/>
      <c r="T41" s="91" t="s">
        <v>113</v>
      </c>
      <c r="W41" s="133">
        <v>42562</v>
      </c>
      <c r="X41" s="10">
        <v>157.1</v>
      </c>
      <c r="Y41" s="10">
        <v>158.47</v>
      </c>
      <c r="Z41" s="10">
        <v>156.28</v>
      </c>
      <c r="AA41" s="10">
        <v>157.36000000000001</v>
      </c>
      <c r="AB41" s="95">
        <v>2520100</v>
      </c>
      <c r="AC41" s="10">
        <v>157.36000000000001</v>
      </c>
      <c r="AD41" s="2">
        <f t="shared" si="0"/>
        <v>2.1899999999999977</v>
      </c>
      <c r="AE41" s="138">
        <f t="shared" si="1"/>
        <v>1.4309655794766174E-2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188.21</v>
      </c>
      <c r="Q42" s="2"/>
      <c r="T42" s="135" t="s">
        <v>98</v>
      </c>
      <c r="U42" s="98">
        <v>177.09</v>
      </c>
      <c r="W42" s="133">
        <v>42559</v>
      </c>
      <c r="X42" s="10">
        <v>152.65</v>
      </c>
      <c r="Y42" s="10">
        <v>155.25</v>
      </c>
      <c r="Z42" s="10">
        <v>151.94</v>
      </c>
      <c r="AA42" s="10">
        <v>155.13999999999999</v>
      </c>
      <c r="AB42" s="95">
        <v>2674100</v>
      </c>
      <c r="AC42" s="10">
        <v>155.13999999999999</v>
      </c>
      <c r="AD42" s="2">
        <f t="shared" si="0"/>
        <v>3.3100000000000023</v>
      </c>
      <c r="AE42" s="138">
        <f t="shared" si="1"/>
        <v>2.7485263924763137E-2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186.499</v>
      </c>
      <c r="Q43" s="2"/>
      <c r="T43" s="136" t="s">
        <v>99</v>
      </c>
      <c r="U43" s="88">
        <v>177</v>
      </c>
      <c r="W43" s="133">
        <v>42558</v>
      </c>
      <c r="X43" s="10">
        <v>150.13999999999999</v>
      </c>
      <c r="Y43" s="10">
        <v>153</v>
      </c>
      <c r="Z43" s="10">
        <v>150.13999999999999</v>
      </c>
      <c r="AA43" s="10">
        <v>150.99</v>
      </c>
      <c r="AB43" s="95">
        <v>1924800</v>
      </c>
      <c r="AC43" s="10">
        <v>150.99</v>
      </c>
      <c r="AD43" s="2">
        <f t="shared" si="0"/>
        <v>2.8600000000000136</v>
      </c>
      <c r="AE43" s="138">
        <f t="shared" si="1"/>
        <v>2.3899621589325015E-3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184.78800000000001</v>
      </c>
      <c r="Q44" s="2"/>
      <c r="T44" s="136" t="s">
        <v>100</v>
      </c>
      <c r="U44" s="88" t="s">
        <v>439</v>
      </c>
      <c r="W44" s="133">
        <v>42557</v>
      </c>
      <c r="X44" s="10">
        <v>149.36000000000001</v>
      </c>
      <c r="Y44" s="10">
        <v>151.27000000000001</v>
      </c>
      <c r="Z44" s="10">
        <v>147.16</v>
      </c>
      <c r="AA44" s="10">
        <v>150.63</v>
      </c>
      <c r="AB44" s="95">
        <v>2060300</v>
      </c>
      <c r="AC44" s="10">
        <v>150.63</v>
      </c>
      <c r="AD44" s="2">
        <f t="shared" si="0"/>
        <v>4.1100000000000136</v>
      </c>
      <c r="AE44" s="138">
        <f t="shared" si="1"/>
        <v>-8.6229769169543502E-4</v>
      </c>
    </row>
    <row r="45" spans="1:31" x14ac:dyDescent="0.25">
      <c r="O45" s="83">
        <v>1.07</v>
      </c>
      <c r="P45" s="83">
        <f t="shared" si="3"/>
        <v>183.077</v>
      </c>
      <c r="Q45" s="2"/>
      <c r="T45" s="136" t="s">
        <v>101</v>
      </c>
      <c r="U45" s="88" t="s">
        <v>440</v>
      </c>
      <c r="W45" s="133">
        <v>42556</v>
      </c>
      <c r="X45" s="10">
        <v>151.58000000000001</v>
      </c>
      <c r="Y45" s="10">
        <v>151.71</v>
      </c>
      <c r="Z45" s="10">
        <v>149.53</v>
      </c>
      <c r="AA45" s="10">
        <v>150.76</v>
      </c>
      <c r="AB45" s="95">
        <v>2632100</v>
      </c>
      <c r="AC45" s="10">
        <v>150.76</v>
      </c>
      <c r="AD45" s="2">
        <f t="shared" si="0"/>
        <v>2.1800000000000068</v>
      </c>
      <c r="AE45" s="138">
        <f t="shared" si="1"/>
        <v>-2.2435481779276456E-2</v>
      </c>
    </row>
    <row r="46" spans="1:31" x14ac:dyDescent="0.25">
      <c r="O46" s="83">
        <v>1.06</v>
      </c>
      <c r="P46" s="83">
        <f t="shared" si="3"/>
        <v>181.36600000000001</v>
      </c>
      <c r="Q46" s="2"/>
      <c r="T46" s="136" t="s">
        <v>102</v>
      </c>
      <c r="U46" s="88">
        <v>202.46</v>
      </c>
      <c r="W46" s="133">
        <v>42552</v>
      </c>
      <c r="X46" s="10">
        <v>154.47</v>
      </c>
      <c r="Y46" s="10">
        <v>155.87</v>
      </c>
      <c r="Z46" s="10">
        <v>153.62</v>
      </c>
      <c r="AA46" s="10">
        <v>154.22</v>
      </c>
      <c r="AB46" s="95">
        <v>1977900</v>
      </c>
      <c r="AC46" s="10">
        <v>154.22</v>
      </c>
      <c r="AD46" s="2">
        <f t="shared" si="0"/>
        <v>2.25</v>
      </c>
      <c r="AE46" s="138">
        <f t="shared" si="1"/>
        <v>-7.5933075933076744E-3</v>
      </c>
    </row>
    <row r="47" spans="1:31" x14ac:dyDescent="0.25">
      <c r="O47" s="83">
        <v>1.05</v>
      </c>
      <c r="P47" s="83">
        <f t="shared" si="3"/>
        <v>179.655</v>
      </c>
      <c r="Q47" s="2"/>
      <c r="T47" s="136" t="s">
        <v>103</v>
      </c>
      <c r="U47" s="88">
        <v>1.1541399999999999</v>
      </c>
      <c r="W47" s="133">
        <v>42551</v>
      </c>
      <c r="X47" s="10">
        <v>155</v>
      </c>
      <c r="Y47" s="10">
        <v>157.24</v>
      </c>
      <c r="Z47" s="10">
        <v>154.16999999999999</v>
      </c>
      <c r="AA47" s="10">
        <v>155.4</v>
      </c>
      <c r="AB47" s="95">
        <v>4262600</v>
      </c>
      <c r="AC47" s="10">
        <v>155.4</v>
      </c>
      <c r="AD47" s="2">
        <f t="shared" si="0"/>
        <v>3.0700000000000216</v>
      </c>
      <c r="AE47" s="138">
        <f t="shared" si="1"/>
        <v>2.580645161290418E-3</v>
      </c>
    </row>
    <row r="48" spans="1:31" x14ac:dyDescent="0.25">
      <c r="O48" s="83">
        <v>1.04</v>
      </c>
      <c r="P48" s="83">
        <f t="shared" si="3"/>
        <v>177.94399999999999</v>
      </c>
      <c r="Q48" s="2"/>
      <c r="T48" s="136" t="s">
        <v>104</v>
      </c>
      <c r="U48" s="88" t="s">
        <v>130</v>
      </c>
      <c r="W48" s="133">
        <v>42550</v>
      </c>
      <c r="X48" s="10">
        <v>152.01</v>
      </c>
      <c r="Y48" s="10">
        <v>155.65</v>
      </c>
      <c r="Z48" s="10">
        <v>150.78</v>
      </c>
      <c r="AA48" s="10">
        <v>155</v>
      </c>
      <c r="AB48" s="95">
        <v>4786000</v>
      </c>
      <c r="AC48" s="10">
        <v>155</v>
      </c>
      <c r="AD48" s="2">
        <f t="shared" si="0"/>
        <v>4.8700000000000045</v>
      </c>
      <c r="AE48" s="138">
        <f t="shared" si="1"/>
        <v>3.4920210990184941E-2</v>
      </c>
    </row>
    <row r="49" spans="1:31" x14ac:dyDescent="0.25">
      <c r="O49" s="83">
        <v>1.03</v>
      </c>
      <c r="P49" s="83">
        <f t="shared" si="3"/>
        <v>176.233</v>
      </c>
      <c r="Q49" s="2"/>
      <c r="T49" s="136"/>
      <c r="U49" s="88"/>
      <c r="W49" s="133">
        <v>42549</v>
      </c>
      <c r="X49" s="10">
        <v>146.69999999999999</v>
      </c>
      <c r="Y49" s="10">
        <v>149.93</v>
      </c>
      <c r="Z49" s="10">
        <v>146.58000000000001</v>
      </c>
      <c r="AA49" s="10">
        <v>149.77000000000001</v>
      </c>
      <c r="AB49" s="95">
        <v>3723300</v>
      </c>
      <c r="AC49" s="10">
        <v>149.77000000000001</v>
      </c>
      <c r="AD49" s="2">
        <f t="shared" si="0"/>
        <v>3.3499999999999943</v>
      </c>
      <c r="AE49" s="138">
        <f t="shared" si="1"/>
        <v>4.2748729374086247E-2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174.52199999999999</v>
      </c>
      <c r="Q50" s="2"/>
      <c r="T50" s="136" t="s">
        <v>105</v>
      </c>
      <c r="U50" s="88" t="s">
        <v>441</v>
      </c>
      <c r="W50" s="133">
        <v>42548</v>
      </c>
      <c r="X50" s="10">
        <v>146.5</v>
      </c>
      <c r="Y50" s="10">
        <v>147.25</v>
      </c>
      <c r="Z50" s="10">
        <v>142.27000000000001</v>
      </c>
      <c r="AA50" s="10">
        <v>143.63</v>
      </c>
      <c r="AB50" s="95">
        <v>3786400</v>
      </c>
      <c r="AC50" s="10">
        <v>143.63</v>
      </c>
      <c r="AD50" s="2">
        <f t="shared" si="0"/>
        <v>4.9799999999999898</v>
      </c>
      <c r="AE50" s="138">
        <f t="shared" si="1"/>
        <v>-3.422538999462077E-2</v>
      </c>
    </row>
    <row r="51" spans="1:31" x14ac:dyDescent="0.25">
      <c r="O51" s="83">
        <v>1.01</v>
      </c>
      <c r="P51" s="83">
        <f t="shared" si="3"/>
        <v>172.81100000000001</v>
      </c>
      <c r="Q51" s="2"/>
      <c r="T51" s="136" t="s">
        <v>106</v>
      </c>
      <c r="U51" s="88" t="s">
        <v>375</v>
      </c>
      <c r="W51" s="133">
        <v>42545</v>
      </c>
      <c r="X51" s="10">
        <v>152</v>
      </c>
      <c r="Y51" s="10">
        <v>154.87</v>
      </c>
      <c r="Z51" s="10">
        <v>148.4</v>
      </c>
      <c r="AA51" s="10">
        <v>148.72</v>
      </c>
      <c r="AB51" s="95">
        <v>6417700</v>
      </c>
      <c r="AC51" s="10">
        <v>148.72</v>
      </c>
      <c r="AD51" s="2">
        <f t="shared" si="0"/>
        <v>6.4699999999999989</v>
      </c>
      <c r="AE51" s="138">
        <f t="shared" si="1"/>
        <v>-6.241331484049939E-2</v>
      </c>
    </row>
    <row r="52" spans="1:31" x14ac:dyDescent="0.25">
      <c r="O52" s="83">
        <v>1</v>
      </c>
      <c r="P52" s="83">
        <f t="shared" si="3"/>
        <v>171.1</v>
      </c>
      <c r="Q52" s="2"/>
      <c r="T52" s="136" t="s">
        <v>107</v>
      </c>
      <c r="U52" s="90">
        <v>8066808</v>
      </c>
      <c r="W52" s="133">
        <v>42544</v>
      </c>
      <c r="X52" s="10">
        <v>157.35</v>
      </c>
      <c r="Y52" s="10">
        <v>158.63</v>
      </c>
      <c r="Z52" s="10">
        <v>155.97</v>
      </c>
      <c r="AA52" s="10">
        <v>158.62</v>
      </c>
      <c r="AB52" s="95">
        <v>2443500</v>
      </c>
      <c r="AC52" s="10">
        <v>158.62</v>
      </c>
      <c r="AD52" s="2">
        <f t="shared" si="0"/>
        <v>2.6599999999999966</v>
      </c>
      <c r="AE52" s="138">
        <f t="shared" si="1"/>
        <v>2.2431352326930609E-2</v>
      </c>
    </row>
    <row r="53" spans="1:31" x14ac:dyDescent="0.25">
      <c r="O53" s="83">
        <v>0.99</v>
      </c>
      <c r="P53" s="83">
        <f t="shared" si="3"/>
        <v>169.38899999999998</v>
      </c>
      <c r="Q53" s="2"/>
      <c r="T53" s="136" t="s">
        <v>110</v>
      </c>
      <c r="U53" s="90">
        <v>2433390</v>
      </c>
      <c r="W53" s="133">
        <v>42543</v>
      </c>
      <c r="X53" s="10">
        <v>155.72999999999999</v>
      </c>
      <c r="Y53" s="10">
        <v>157.16999999999999</v>
      </c>
      <c r="Z53" s="10">
        <v>154.80000000000001</v>
      </c>
      <c r="AA53" s="10">
        <v>155.13999999999999</v>
      </c>
      <c r="AB53" s="95">
        <v>1603900</v>
      </c>
      <c r="AC53" s="10">
        <v>155.13999999999999</v>
      </c>
      <c r="AD53" s="2">
        <f t="shared" si="0"/>
        <v>2.3699999999999761</v>
      </c>
      <c r="AE53" s="138">
        <f t="shared" si="1"/>
        <v>-4.3001091072460973E-3</v>
      </c>
    </row>
    <row r="54" spans="1:31" x14ac:dyDescent="0.25">
      <c r="O54" s="83">
        <v>0.98</v>
      </c>
      <c r="P54" s="83">
        <f t="shared" si="3"/>
        <v>167.678</v>
      </c>
      <c r="Q54" s="2"/>
      <c r="T54" s="136" t="s">
        <v>108</v>
      </c>
      <c r="U54" s="88" t="s">
        <v>442</v>
      </c>
      <c r="W54" s="133">
        <v>42542</v>
      </c>
      <c r="X54" s="10">
        <v>157.61000000000001</v>
      </c>
      <c r="Y54" s="10">
        <v>158.4</v>
      </c>
      <c r="Z54" s="10">
        <v>155.61000000000001</v>
      </c>
      <c r="AA54" s="10">
        <v>155.81</v>
      </c>
      <c r="AB54" s="95">
        <v>1612600</v>
      </c>
      <c r="AC54" s="10">
        <v>155.81</v>
      </c>
      <c r="AD54" s="2">
        <f t="shared" si="0"/>
        <v>2.789999999999992</v>
      </c>
      <c r="AE54" s="138">
        <f t="shared" si="1"/>
        <v>-7.136940036959194E-3</v>
      </c>
    </row>
    <row r="55" spans="1:31" x14ac:dyDescent="0.25">
      <c r="O55" s="83">
        <v>0.97</v>
      </c>
      <c r="P55" s="83">
        <f t="shared" si="3"/>
        <v>165.96699999999998</v>
      </c>
      <c r="T55" s="136" t="s">
        <v>111</v>
      </c>
      <c r="U55" s="88" t="s">
        <v>130</v>
      </c>
      <c r="W55" s="133">
        <v>42541</v>
      </c>
      <c r="X55" s="10">
        <v>158.4</v>
      </c>
      <c r="Y55" s="10">
        <v>159.6</v>
      </c>
      <c r="Z55" s="10">
        <v>156.69</v>
      </c>
      <c r="AA55" s="10">
        <v>156.93</v>
      </c>
      <c r="AB55" s="95">
        <v>2026500</v>
      </c>
      <c r="AC55" s="10">
        <v>156.93</v>
      </c>
      <c r="AD55" s="2">
        <f t="shared" si="0"/>
        <v>2.9099999999999966</v>
      </c>
      <c r="AE55" s="138">
        <f t="shared" si="1"/>
        <v>5.9615384615385736E-3</v>
      </c>
    </row>
    <row r="56" spans="1:31" x14ac:dyDescent="0.25">
      <c r="O56" s="83">
        <v>0.96</v>
      </c>
      <c r="P56" s="83">
        <f t="shared" si="3"/>
        <v>164.256</v>
      </c>
      <c r="T56" s="136" t="s">
        <v>112</v>
      </c>
      <c r="U56" s="88">
        <v>-2.02</v>
      </c>
      <c r="W56" s="133">
        <v>42538</v>
      </c>
      <c r="X56" s="10">
        <v>158.97</v>
      </c>
      <c r="Y56" s="10">
        <v>159.75</v>
      </c>
      <c r="Z56" s="10">
        <v>154.93</v>
      </c>
      <c r="AA56" s="10">
        <v>156</v>
      </c>
      <c r="AB56" s="95">
        <v>4333300</v>
      </c>
      <c r="AC56" s="10">
        <v>156</v>
      </c>
      <c r="AD56" s="2">
        <f t="shared" si="0"/>
        <v>4.8199999999999932</v>
      </c>
      <c r="AE56" s="138">
        <f t="shared" si="1"/>
        <v>-1.6579461640295001E-2</v>
      </c>
    </row>
    <row r="57" spans="1:31" x14ac:dyDescent="0.25">
      <c r="O57" s="83">
        <v>0.95</v>
      </c>
      <c r="P57" s="83">
        <f t="shared" si="3"/>
        <v>162.54499999999999</v>
      </c>
      <c r="T57" s="136" t="s">
        <v>109</v>
      </c>
      <c r="U57" s="88" t="s">
        <v>576</v>
      </c>
      <c r="W57" s="133">
        <v>42537</v>
      </c>
      <c r="X57" s="10">
        <v>157.05000000000001</v>
      </c>
      <c r="Y57" s="10">
        <v>158.84</v>
      </c>
      <c r="Z57" s="10">
        <v>155.6</v>
      </c>
      <c r="AA57" s="10">
        <v>158.63</v>
      </c>
      <c r="AB57" s="95">
        <v>2280400</v>
      </c>
      <c r="AC57" s="10">
        <v>158.63</v>
      </c>
      <c r="AD57" s="2">
        <f t="shared" si="0"/>
        <v>3.2400000000000091</v>
      </c>
      <c r="AE57" s="138">
        <f t="shared" si="1"/>
        <v>1.4520202020200657E-3</v>
      </c>
    </row>
    <row r="58" spans="1:31" x14ac:dyDescent="0.25">
      <c r="O58" s="83">
        <v>0.94</v>
      </c>
      <c r="P58" s="83">
        <f t="shared" si="3"/>
        <v>160.83399999999997</v>
      </c>
      <c r="W58" s="133">
        <v>42536</v>
      </c>
      <c r="X58" s="10">
        <v>158.82</v>
      </c>
      <c r="Y58" s="10">
        <v>160.12</v>
      </c>
      <c r="Z58" s="10">
        <v>158.18</v>
      </c>
      <c r="AA58" s="10">
        <v>158.4</v>
      </c>
      <c r="AB58" s="95">
        <v>3088400</v>
      </c>
      <c r="AC58" s="10">
        <v>158.4</v>
      </c>
      <c r="AD58" s="2">
        <f t="shared" si="0"/>
        <v>1.9399999999999977</v>
      </c>
      <c r="AE58" s="138" t="e">
        <f t="shared" si="1"/>
        <v>#DIV/0!</v>
      </c>
    </row>
    <row r="59" spans="1:31" x14ac:dyDescent="0.25">
      <c r="O59" s="83">
        <v>0.93</v>
      </c>
      <c r="P59" s="83">
        <f t="shared" si="3"/>
        <v>159.12299999999999</v>
      </c>
      <c r="W59" s="133">
        <v>42536</v>
      </c>
      <c r="X59" s="10" t="s">
        <v>246</v>
      </c>
      <c r="Y59" s="10"/>
      <c r="Z59" s="10"/>
      <c r="AA59" s="10"/>
      <c r="AB59" s="95"/>
      <c r="AC59" s="10"/>
      <c r="AD59" s="2">
        <f t="shared" si="0"/>
        <v>0</v>
      </c>
      <c r="AE59" s="138">
        <f t="shared" si="1"/>
        <v>-1</v>
      </c>
    </row>
    <row r="60" spans="1:31" x14ac:dyDescent="0.25">
      <c r="O60" s="83">
        <v>0.92</v>
      </c>
      <c r="P60" s="83">
        <f t="shared" si="3"/>
        <v>157.41200000000001</v>
      </c>
      <c r="W60" s="133">
        <v>42535</v>
      </c>
      <c r="X60" s="10">
        <v>159.27000000000001</v>
      </c>
      <c r="Y60" s="10">
        <v>160.53</v>
      </c>
      <c r="Z60" s="10">
        <v>158.13</v>
      </c>
      <c r="AA60" s="10">
        <v>158.99</v>
      </c>
      <c r="AB60" s="95">
        <v>2566900</v>
      </c>
      <c r="AC60" s="10">
        <v>158.49</v>
      </c>
      <c r="AD60" s="2">
        <f t="shared" si="0"/>
        <v>2.4000000000000057</v>
      </c>
      <c r="AE60" s="138">
        <f t="shared" si="1"/>
        <v>-6.3945834116981848E-3</v>
      </c>
    </row>
    <row r="61" spans="1:31" x14ac:dyDescent="0.25">
      <c r="O61" s="83">
        <v>0.91</v>
      </c>
      <c r="P61" s="83">
        <f t="shared" si="3"/>
        <v>155.70099999999999</v>
      </c>
      <c r="W61" s="133">
        <v>42534</v>
      </c>
      <c r="X61" s="10">
        <v>160.13999999999999</v>
      </c>
      <c r="Y61" s="10">
        <v>162.25</v>
      </c>
      <c r="Z61" s="10">
        <v>159.63999999999999</v>
      </c>
      <c r="AA61" s="10">
        <v>160.01</v>
      </c>
      <c r="AB61" s="95">
        <v>2156800</v>
      </c>
      <c r="AC61" s="10">
        <v>159.51</v>
      </c>
      <c r="AD61" s="2">
        <f t="shared" si="0"/>
        <v>2.6100000000000136</v>
      </c>
      <c r="AE61" s="138">
        <f t="shared" si="1"/>
        <v>-4.9903312332356675E-3</v>
      </c>
    </row>
    <row r="62" spans="1:31" x14ac:dyDescent="0.25">
      <c r="O62" s="83">
        <v>0.9</v>
      </c>
      <c r="P62" s="83">
        <f t="shared" si="3"/>
        <v>153.99</v>
      </c>
      <c r="W62" s="133">
        <v>42531</v>
      </c>
      <c r="X62" s="10">
        <v>162.16999999999999</v>
      </c>
      <c r="Y62" s="10">
        <v>162.97999999999999</v>
      </c>
      <c r="Z62" s="10">
        <v>160</v>
      </c>
      <c r="AA62" s="10">
        <v>160.82</v>
      </c>
      <c r="AB62" s="95">
        <v>2665700</v>
      </c>
      <c r="AC62" s="10">
        <v>160.31</v>
      </c>
      <c r="AD62" s="2">
        <f t="shared" si="0"/>
        <v>2.9799999999999898</v>
      </c>
      <c r="AE62" s="138">
        <f t="shared" si="1"/>
        <v>-2.0229800757853522E-2</v>
      </c>
    </row>
    <row r="63" spans="1:31" x14ac:dyDescent="0.25">
      <c r="W63" s="133">
        <v>42530</v>
      </c>
      <c r="X63" s="10">
        <v>162.13999999999999</v>
      </c>
      <c r="Y63" s="10">
        <v>165.05</v>
      </c>
      <c r="Z63" s="10">
        <v>162.12</v>
      </c>
      <c r="AA63" s="10">
        <v>164.14</v>
      </c>
      <c r="AB63" s="95">
        <v>2914300</v>
      </c>
      <c r="AC63" s="10">
        <v>163.62</v>
      </c>
      <c r="AD63" s="2">
        <f t="shared" si="0"/>
        <v>2.9300000000000068</v>
      </c>
      <c r="AE63" s="138">
        <f t="shared" si="1"/>
        <v>2.6349653777806292E-3</v>
      </c>
    </row>
    <row r="64" spans="1:31" x14ac:dyDescent="0.25">
      <c r="W64" s="133">
        <v>42529</v>
      </c>
      <c r="X64" s="10">
        <v>164.09</v>
      </c>
      <c r="Y64" s="10">
        <v>164.62</v>
      </c>
      <c r="Z64" s="10">
        <v>163.34</v>
      </c>
      <c r="AA64" s="10">
        <v>163.69999999999999</v>
      </c>
      <c r="AB64" s="95">
        <v>2562000</v>
      </c>
      <c r="AC64" s="10">
        <v>163.19</v>
      </c>
      <c r="AD64" s="2">
        <f t="shared" si="0"/>
        <v>1.2800000000000011</v>
      </c>
      <c r="AE64" s="138">
        <f t="shared" si="1"/>
        <v>-6.8768257059396154E-3</v>
      </c>
    </row>
    <row r="65" spans="23:31" x14ac:dyDescent="0.25">
      <c r="W65" s="133">
        <v>42528</v>
      </c>
      <c r="X65" s="10">
        <v>163.34</v>
      </c>
      <c r="Y65" s="10">
        <v>165.95</v>
      </c>
      <c r="Z65" s="10">
        <v>162.81</v>
      </c>
      <c r="AA65" s="10">
        <v>164.84</v>
      </c>
      <c r="AB65" s="95">
        <v>3234000</v>
      </c>
      <c r="AC65" s="10">
        <v>164.32</v>
      </c>
      <c r="AD65" s="2">
        <f t="shared" si="0"/>
        <v>3.1399999999999864</v>
      </c>
      <c r="AE65" s="138">
        <f t="shared" si="1"/>
        <v>1.2258978623790995E-2</v>
      </c>
    </row>
    <row r="66" spans="23:31" x14ac:dyDescent="0.25">
      <c r="W66" s="133">
        <v>42527</v>
      </c>
      <c r="X66" s="10">
        <v>163.4</v>
      </c>
      <c r="Y66" s="10">
        <v>163.94</v>
      </c>
      <c r="Z66" s="10">
        <v>161.02000000000001</v>
      </c>
      <c r="AA66" s="10">
        <v>162.84</v>
      </c>
      <c r="AB66" s="95">
        <v>3401000</v>
      </c>
      <c r="AC66" s="10">
        <v>162.33000000000001</v>
      </c>
      <c r="AD66" s="2">
        <f t="shared" si="0"/>
        <v>2.9199999999999875</v>
      </c>
      <c r="AE66" s="138">
        <f t="shared" si="1"/>
        <v>1.7278617710583255E-3</v>
      </c>
    </row>
    <row r="67" spans="23:31" x14ac:dyDescent="0.25">
      <c r="W67" s="133">
        <v>42524</v>
      </c>
      <c r="X67" s="10">
        <v>165.77</v>
      </c>
      <c r="Y67" s="10">
        <v>166</v>
      </c>
      <c r="Z67" s="10">
        <v>161.19999999999999</v>
      </c>
      <c r="AA67" s="10">
        <v>162.56</v>
      </c>
      <c r="AB67" s="95">
        <v>8298500</v>
      </c>
      <c r="AC67" s="10">
        <v>162.05000000000001</v>
      </c>
      <c r="AD67" s="2">
        <f>Y67-Z67</f>
        <v>4.8000000000000114</v>
      </c>
      <c r="AE67" s="138">
        <f>AC67/AC68-1</f>
        <v>4.9410698096101768E-2</v>
      </c>
    </row>
    <row r="68" spans="23:31" x14ac:dyDescent="0.25">
      <c r="W68" s="133">
        <v>42523</v>
      </c>
      <c r="X68" s="10">
        <v>155.21</v>
      </c>
      <c r="Y68" s="10">
        <v>155.52000000000001</v>
      </c>
      <c r="Z68" s="10">
        <v>153.38999999999999</v>
      </c>
      <c r="AA68" s="10">
        <v>154.91</v>
      </c>
      <c r="AB68" s="95">
        <v>4674600</v>
      </c>
      <c r="AC68" s="10">
        <v>154.41999999999999</v>
      </c>
      <c r="AD68" s="2">
        <f>Y68-Z68</f>
        <v>2.1300000000000239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22" priority="11">
      <formula>F21&gt;0</formula>
    </cfRule>
    <cfRule type="expression" dxfId="221" priority="12">
      <formula>F21&lt;0</formula>
    </cfRule>
  </conditionalFormatting>
  <conditionalFormatting sqref="H21:H23">
    <cfRule type="expression" dxfId="220" priority="9">
      <formula>H21&gt;0</formula>
    </cfRule>
    <cfRule type="expression" dxfId="219" priority="10">
      <formula>H21&lt;0</formula>
    </cfRule>
  </conditionalFormatting>
  <conditionalFormatting sqref="Q8">
    <cfRule type="expression" dxfId="218" priority="1">
      <formula>Q8&gt;0</formula>
    </cfRule>
    <cfRule type="expression" dxfId="217" priority="2">
      <formula>Q8&lt;0</formula>
    </cfRule>
  </conditionalFormatting>
  <conditionalFormatting sqref="Q7">
    <cfRule type="expression" dxfId="216" priority="3">
      <formula>Q7&gt;0</formula>
    </cfRule>
    <cfRule type="expression" dxfId="215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65" activePane="bottomLeft" state="frozen"/>
      <selection activeCell="A2" sqref="A2"/>
      <selection pane="bottomLeft" activeCell="T72" sqref="T72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299</v>
      </c>
      <c r="W2" s="133">
        <v>42615</v>
      </c>
      <c r="X2" s="10">
        <v>50.68</v>
      </c>
      <c r="Y2" s="10">
        <v>51.53</v>
      </c>
      <c r="Z2" s="10">
        <v>50.45</v>
      </c>
      <c r="AA2" s="10">
        <v>51.09</v>
      </c>
      <c r="AB2" s="95">
        <v>3730800</v>
      </c>
      <c r="AC2" s="10">
        <v>51.09</v>
      </c>
      <c r="AD2" s="2">
        <f>Y2-Z2</f>
        <v>1.0799999999999983</v>
      </c>
      <c r="AE2" s="138">
        <f>AC2/AC3-1</f>
        <v>3.9300451955197602E-3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51.14</v>
      </c>
      <c r="T3" s="1"/>
      <c r="W3" s="133">
        <v>42614</v>
      </c>
      <c r="X3" s="10">
        <v>50.54</v>
      </c>
      <c r="Y3" s="10">
        <v>51.48</v>
      </c>
      <c r="Z3" s="10">
        <v>50.12</v>
      </c>
      <c r="AA3" s="10">
        <v>50.89</v>
      </c>
      <c r="AB3" s="95">
        <v>3980400</v>
      </c>
      <c r="AC3" s="10">
        <v>50.89</v>
      </c>
      <c r="AD3" s="2">
        <f t="shared" ref="AD3:AD66" si="0">Y3-Z3</f>
        <v>1.3599999999999994</v>
      </c>
      <c r="AE3" s="138">
        <f t="shared" ref="AE3:AE66" si="1">AC3/AC4-1</f>
        <v>9.5219202539178482E-3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51.14</v>
      </c>
      <c r="T4" s="163"/>
      <c r="W4" s="133">
        <v>42613</v>
      </c>
      <c r="X4" s="10">
        <v>50.79</v>
      </c>
      <c r="Y4" s="10">
        <v>51</v>
      </c>
      <c r="Z4" s="10">
        <v>49.35</v>
      </c>
      <c r="AA4" s="10">
        <v>50.41</v>
      </c>
      <c r="AB4" s="95">
        <v>5191700</v>
      </c>
      <c r="AC4" s="10">
        <v>50.41</v>
      </c>
      <c r="AD4" s="2">
        <f t="shared" si="0"/>
        <v>1.6499999999999986</v>
      </c>
      <c r="AE4" s="138">
        <f t="shared" si="1"/>
        <v>-1.1374779368503729E-2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42612</v>
      </c>
      <c r="X5" s="10">
        <v>46.95</v>
      </c>
      <c r="Y5" s="10">
        <v>51.53</v>
      </c>
      <c r="Z5" s="10">
        <v>46.95</v>
      </c>
      <c r="AA5" s="10">
        <v>50.99</v>
      </c>
      <c r="AB5" s="95">
        <v>12871600</v>
      </c>
      <c r="AC5" s="10">
        <v>50.99</v>
      </c>
      <c r="AD5" s="2">
        <f t="shared" si="0"/>
        <v>4.5799999999999983</v>
      </c>
      <c r="AE5" s="138">
        <f t="shared" si="1"/>
        <v>8.6048988285410077E-2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42611</v>
      </c>
      <c r="X6" s="10">
        <v>47.06</v>
      </c>
      <c r="Y6" s="10">
        <v>47.32</v>
      </c>
      <c r="Z6" s="10">
        <v>46.81</v>
      </c>
      <c r="AA6" s="10">
        <v>46.95</v>
      </c>
      <c r="AB6" s="95">
        <v>2383100</v>
      </c>
      <c r="AC6" s="10">
        <v>46.95</v>
      </c>
      <c r="AD6" s="2">
        <f t="shared" si="0"/>
        <v>0.50999999999999801</v>
      </c>
      <c r="AE6" s="138">
        <f t="shared" si="1"/>
        <v>1.7068487305313962E-3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187</v>
      </c>
      <c r="Q7" s="2">
        <f>Q10+Q8</f>
        <v>1461.5600000000013</v>
      </c>
      <c r="R7">
        <v>0</v>
      </c>
      <c r="W7" s="133">
        <v>42608</v>
      </c>
      <c r="X7" s="10">
        <v>47.62</v>
      </c>
      <c r="Y7" s="10">
        <v>47.87</v>
      </c>
      <c r="Z7" s="10">
        <v>46.68</v>
      </c>
      <c r="AA7" s="10">
        <v>46.87</v>
      </c>
      <c r="AB7" s="95">
        <v>3347100</v>
      </c>
      <c r="AC7" s="10">
        <v>46.87</v>
      </c>
      <c r="AD7" s="2">
        <f t="shared" si="0"/>
        <v>1.1899999999999977</v>
      </c>
      <c r="AE7" s="138">
        <f t="shared" si="1"/>
        <v>-1.3885966757837265E-2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190</v>
      </c>
      <c r="P8" s="34"/>
      <c r="Q8" s="2">
        <f>K18+M18-F18+Q2*Q4</f>
        <v>0</v>
      </c>
      <c r="W8" s="133">
        <v>42607</v>
      </c>
      <c r="X8" s="10">
        <v>47.46</v>
      </c>
      <c r="Y8" s="10">
        <v>47.76</v>
      </c>
      <c r="Z8" s="10">
        <v>47.3</v>
      </c>
      <c r="AA8" s="10">
        <v>47.53</v>
      </c>
      <c r="AB8" s="95">
        <v>2073100</v>
      </c>
      <c r="AC8" s="10">
        <v>47.53</v>
      </c>
      <c r="AD8" s="2">
        <f t="shared" si="0"/>
        <v>0.46000000000000085</v>
      </c>
      <c r="AE8" s="138">
        <f t="shared" si="1"/>
        <v>-1.4705882352941124E-3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224</v>
      </c>
      <c r="Q9" s="138">
        <f>IF(Q2=0, 0, Q8/Q6)</f>
        <v>0</v>
      </c>
      <c r="W9" s="133">
        <v>42606</v>
      </c>
      <c r="X9" s="10">
        <v>47.29</v>
      </c>
      <c r="Y9" s="10">
        <v>47.94</v>
      </c>
      <c r="Z9" s="10">
        <v>47.27</v>
      </c>
      <c r="AA9" s="10">
        <v>47.6</v>
      </c>
      <c r="AB9" s="95">
        <v>2174900</v>
      </c>
      <c r="AC9" s="10">
        <v>47.6</v>
      </c>
      <c r="AD9" s="2">
        <f t="shared" si="0"/>
        <v>0.6699999999999946</v>
      </c>
      <c r="AE9" s="138">
        <f t="shared" si="1"/>
        <v>2.3162771109708213E-3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223</v>
      </c>
      <c r="P10" s="34"/>
      <c r="Q10" s="2">
        <f>M75</f>
        <v>1461.5600000000013</v>
      </c>
      <c r="W10" s="133">
        <v>42605</v>
      </c>
      <c r="X10" s="10">
        <v>47.27</v>
      </c>
      <c r="Y10" s="10">
        <v>47.96</v>
      </c>
      <c r="Z10" s="10">
        <v>47.27</v>
      </c>
      <c r="AA10" s="10">
        <v>47.49</v>
      </c>
      <c r="AB10" s="95">
        <v>2270400</v>
      </c>
      <c r="AC10" s="10">
        <v>47.49</v>
      </c>
      <c r="AD10" s="2">
        <f t="shared" si="0"/>
        <v>0.68999999999999773</v>
      </c>
      <c r="AE10" s="138">
        <f t="shared" si="1"/>
        <v>1.1501597444089517E-2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184</v>
      </c>
      <c r="P11" s="34"/>
      <c r="Q11" s="138">
        <f>IF(U58="N/A (N/A)", 0, VALUE(TRIM(CLEAN(MID(U58, FIND("(", U58)+1, 5)))))</f>
        <v>0</v>
      </c>
      <c r="W11" s="133">
        <v>42604</v>
      </c>
      <c r="X11" s="10">
        <v>46.95</v>
      </c>
      <c r="Y11" s="10">
        <v>47.09</v>
      </c>
      <c r="Z11" s="10">
        <v>46.56</v>
      </c>
      <c r="AA11" s="10">
        <v>46.95</v>
      </c>
      <c r="AB11" s="95">
        <v>2606900</v>
      </c>
      <c r="AC11" s="10">
        <v>46.95</v>
      </c>
      <c r="AD11" s="2">
        <f t="shared" si="0"/>
        <v>0.53000000000000114</v>
      </c>
      <c r="AE11" s="138">
        <f t="shared" si="1"/>
        <v>-2.9730303673816127E-3</v>
      </c>
    </row>
    <row r="12" spans="1:31" x14ac:dyDescent="0.25">
      <c r="W12" s="133">
        <v>42601</v>
      </c>
      <c r="X12" s="10">
        <v>47.25</v>
      </c>
      <c r="Y12" s="10">
        <v>47.59</v>
      </c>
      <c r="Z12" s="10">
        <v>46.94</v>
      </c>
      <c r="AA12" s="10">
        <v>47.09</v>
      </c>
      <c r="AB12" s="95">
        <v>3244000</v>
      </c>
      <c r="AC12" s="10">
        <v>47.09</v>
      </c>
      <c r="AD12" s="2">
        <f t="shared" si="0"/>
        <v>0.65000000000000568</v>
      </c>
      <c r="AE12" s="138">
        <f t="shared" si="1"/>
        <v>-1.0714285714285676E-2</v>
      </c>
    </row>
    <row r="13" spans="1:31" x14ac:dyDescent="0.25">
      <c r="W13" s="133">
        <v>42600</v>
      </c>
      <c r="X13" s="10">
        <v>48.16</v>
      </c>
      <c r="Y13" s="10">
        <v>48.22</v>
      </c>
      <c r="Z13" s="10">
        <v>47.18</v>
      </c>
      <c r="AA13" s="10">
        <v>47.6</v>
      </c>
      <c r="AB13" s="95">
        <v>4915900</v>
      </c>
      <c r="AC13" s="10">
        <v>47.6</v>
      </c>
      <c r="AD13" s="2">
        <f t="shared" si="0"/>
        <v>1.0399999999999991</v>
      </c>
      <c r="AE13" s="138">
        <f t="shared" si="1"/>
        <v>-1.2038190120381875E-2</v>
      </c>
    </row>
    <row r="14" spans="1:31" x14ac:dyDescent="0.25">
      <c r="W14" s="133">
        <v>42599</v>
      </c>
      <c r="X14" s="10">
        <v>47.91</v>
      </c>
      <c r="Y14" s="10">
        <v>48.21</v>
      </c>
      <c r="Z14" s="10">
        <v>47.68</v>
      </c>
      <c r="AA14" s="10">
        <v>48.18</v>
      </c>
      <c r="AB14" s="95">
        <v>3297700</v>
      </c>
      <c r="AC14" s="10">
        <v>48.18</v>
      </c>
      <c r="AD14" s="2">
        <f t="shared" si="0"/>
        <v>0.53000000000000114</v>
      </c>
      <c r="AE14" s="138">
        <f t="shared" si="1"/>
        <v>3.9591581579494495E-3</v>
      </c>
    </row>
    <row r="15" spans="1:31" x14ac:dyDescent="0.25">
      <c r="W15" s="133">
        <v>42598</v>
      </c>
      <c r="X15" s="10">
        <v>47.82</v>
      </c>
      <c r="Y15" s="10">
        <v>48.38</v>
      </c>
      <c r="Z15" s="10">
        <v>47.6</v>
      </c>
      <c r="AA15" s="10">
        <v>47.99</v>
      </c>
      <c r="AB15" s="95">
        <v>3453800</v>
      </c>
      <c r="AC15" s="10">
        <v>47.99</v>
      </c>
      <c r="AD15" s="2">
        <f t="shared" si="0"/>
        <v>0.78000000000000114</v>
      </c>
      <c r="AE15" s="138">
        <f t="shared" si="1"/>
        <v>-4.1657987919174744E-4</v>
      </c>
    </row>
    <row r="16" spans="1:31" x14ac:dyDescent="0.25">
      <c r="W16" s="133">
        <v>42597</v>
      </c>
      <c r="X16" s="10">
        <v>47.16</v>
      </c>
      <c r="Y16" s="10">
        <v>48.48</v>
      </c>
      <c r="Z16" s="10">
        <v>47</v>
      </c>
      <c r="AA16" s="10">
        <v>48.01</v>
      </c>
      <c r="AB16" s="95">
        <v>3025400</v>
      </c>
      <c r="AC16" s="10">
        <v>48.01</v>
      </c>
      <c r="AD16" s="2">
        <f t="shared" si="0"/>
        <v>1.4799999999999969</v>
      </c>
      <c r="AE16" s="138">
        <f t="shared" si="1"/>
        <v>1.9320594479830033E-2</v>
      </c>
    </row>
    <row r="17" spans="1:31" x14ac:dyDescent="0.25">
      <c r="W17" s="133">
        <v>42594</v>
      </c>
      <c r="X17" s="10">
        <v>47.2</v>
      </c>
      <c r="Y17" s="10">
        <v>47.34</v>
      </c>
      <c r="Z17" s="10">
        <v>46.53</v>
      </c>
      <c r="AA17" s="10">
        <v>47.1</v>
      </c>
      <c r="AB17" s="95">
        <v>2165900</v>
      </c>
      <c r="AC17" s="10">
        <v>47.1</v>
      </c>
      <c r="AD17" s="2">
        <f t="shared" si="0"/>
        <v>0.81000000000000227</v>
      </c>
      <c r="AE17" s="138">
        <f t="shared" si="1"/>
        <v>-3.5963613285382445E-3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42593</v>
      </c>
      <c r="X18" s="10">
        <v>47</v>
      </c>
      <c r="Y18" s="10">
        <v>47.57</v>
      </c>
      <c r="Z18" s="10">
        <v>46.8</v>
      </c>
      <c r="AA18" s="10">
        <v>47.27</v>
      </c>
      <c r="AB18" s="95">
        <v>4010000</v>
      </c>
      <c r="AC18" s="10">
        <v>47.27</v>
      </c>
      <c r="AD18" s="2">
        <f t="shared" si="0"/>
        <v>0.77000000000000313</v>
      </c>
      <c r="AE18" s="138">
        <f t="shared" si="1"/>
        <v>3.1833616298813094E-3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SumByColor($A$19,H3:H17)</f>
        <v>0</v>
      </c>
      <c r="I19" s="361"/>
      <c r="J19" s="361"/>
      <c r="K19" s="362">
        <f>SumByColor($A$19,K3:K17)</f>
        <v>0</v>
      </c>
      <c r="L19" s="361"/>
      <c r="M19" s="362">
        <f t="shared" ref="M19" si="2">SumByColor($A$19,M2:M17)</f>
        <v>0</v>
      </c>
      <c r="W19" s="133">
        <v>42592</v>
      </c>
      <c r="X19" s="10">
        <v>47.72</v>
      </c>
      <c r="Y19" s="10">
        <v>47.8</v>
      </c>
      <c r="Z19" s="10">
        <v>46.67</v>
      </c>
      <c r="AA19" s="10">
        <v>47.12</v>
      </c>
      <c r="AB19" s="95">
        <v>3052600</v>
      </c>
      <c r="AC19" s="10">
        <v>47.12</v>
      </c>
      <c r="AD19" s="2">
        <f t="shared" si="0"/>
        <v>1.1299999999999955</v>
      </c>
      <c r="AE19" s="138">
        <f t="shared" si="1"/>
        <v>-1.4432127170048159E-2</v>
      </c>
    </row>
    <row r="20" spans="1:31" x14ac:dyDescent="0.25">
      <c r="W20" s="133">
        <v>42591</v>
      </c>
      <c r="X20" s="10">
        <v>49</v>
      </c>
      <c r="Y20" s="10">
        <v>49.47</v>
      </c>
      <c r="Z20" s="10">
        <v>47.78</v>
      </c>
      <c r="AA20" s="10">
        <v>47.81</v>
      </c>
      <c r="AB20" s="95">
        <v>3456000</v>
      </c>
      <c r="AC20" s="10">
        <v>47.81</v>
      </c>
      <c r="AD20" s="2">
        <f t="shared" si="0"/>
        <v>1.6899999999999977</v>
      </c>
      <c r="AE20" s="138">
        <f t="shared" si="1"/>
        <v>-1.4023510002062256E-2</v>
      </c>
    </row>
    <row r="21" spans="1:31" x14ac:dyDescent="0.25">
      <c r="W21" s="133">
        <v>42590</v>
      </c>
      <c r="X21" s="10">
        <v>48.39</v>
      </c>
      <c r="Y21" s="10">
        <v>49.32</v>
      </c>
      <c r="Z21" s="10">
        <v>47.9</v>
      </c>
      <c r="AA21" s="10">
        <v>48.49</v>
      </c>
      <c r="AB21" s="95">
        <v>4311300</v>
      </c>
      <c r="AC21" s="10">
        <v>48.49</v>
      </c>
      <c r="AD21" s="2">
        <f t="shared" si="0"/>
        <v>1.4200000000000017</v>
      </c>
      <c r="AE21" s="138">
        <f t="shared" si="1"/>
        <v>1.6525511258005388E-3</v>
      </c>
    </row>
    <row r="22" spans="1:31" x14ac:dyDescent="0.25">
      <c r="W22" s="133">
        <v>42587</v>
      </c>
      <c r="X22" s="10">
        <v>46.25</v>
      </c>
      <c r="Y22" s="10">
        <v>48.48</v>
      </c>
      <c r="Z22" s="10">
        <v>46.24</v>
      </c>
      <c r="AA22" s="10">
        <v>48.41</v>
      </c>
      <c r="AB22" s="95">
        <v>5995000</v>
      </c>
      <c r="AC22" s="10">
        <v>48.41</v>
      </c>
      <c r="AD22" s="2">
        <f t="shared" si="0"/>
        <v>2.2399999999999949</v>
      </c>
      <c r="AE22" s="138">
        <f t="shared" si="1"/>
        <v>5.4684095860566329E-2</v>
      </c>
    </row>
    <row r="23" spans="1:31" x14ac:dyDescent="0.25">
      <c r="W23" s="133">
        <v>42586</v>
      </c>
      <c r="X23" s="10">
        <v>44.94</v>
      </c>
      <c r="Y23" s="10">
        <v>45.96</v>
      </c>
      <c r="Z23" s="10">
        <v>44.81</v>
      </c>
      <c r="AA23" s="10">
        <v>45.9</v>
      </c>
      <c r="AB23" s="95">
        <v>3878900</v>
      </c>
      <c r="AC23" s="10">
        <v>45.9</v>
      </c>
      <c r="AD23" s="2">
        <f t="shared" si="0"/>
        <v>1.1499999999999986</v>
      </c>
      <c r="AE23" s="138">
        <f t="shared" si="1"/>
        <v>2.2271714922049046E-2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42585</v>
      </c>
      <c r="X24" s="10">
        <v>44.28</v>
      </c>
      <c r="Y24" s="10">
        <v>45.2</v>
      </c>
      <c r="Z24" s="10">
        <v>44.15</v>
      </c>
      <c r="AA24" s="10">
        <v>44.9</v>
      </c>
      <c r="AB24" s="95">
        <v>4616000</v>
      </c>
      <c r="AC24" s="10">
        <v>44.9</v>
      </c>
      <c r="AD24" s="2">
        <f t="shared" si="0"/>
        <v>1.0500000000000043</v>
      </c>
      <c r="AE24" s="138">
        <f t="shared" si="1"/>
        <v>1.1261261261261257E-2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42584</v>
      </c>
      <c r="X25" s="10">
        <v>46.9</v>
      </c>
      <c r="Y25" s="10">
        <v>46.9</v>
      </c>
      <c r="Z25" s="10">
        <v>44.24</v>
      </c>
      <c r="AA25" s="10">
        <v>44.4</v>
      </c>
      <c r="AB25" s="95">
        <v>7290700</v>
      </c>
      <c r="AC25" s="10">
        <v>44.4</v>
      </c>
      <c r="AD25" s="2">
        <f t="shared" si="0"/>
        <v>2.6599999999999966</v>
      </c>
      <c r="AE25" s="138">
        <f t="shared" si="1"/>
        <v>-6.25E-2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42583</v>
      </c>
      <c r="X26" s="10">
        <v>46.77</v>
      </c>
      <c r="Y26" s="10">
        <v>47.38</v>
      </c>
      <c r="Z26" s="10">
        <v>46.42</v>
      </c>
      <c r="AA26" s="10">
        <v>47.36</v>
      </c>
      <c r="AB26" s="95">
        <v>2934700</v>
      </c>
      <c r="AC26" s="10">
        <v>47.36</v>
      </c>
      <c r="AD26" s="2">
        <f t="shared" si="0"/>
        <v>0.96000000000000085</v>
      </c>
      <c r="AE26" s="138">
        <f t="shared" si="1"/>
        <v>1.0023459159735459E-2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42580</v>
      </c>
      <c r="X27" s="10">
        <v>47.49</v>
      </c>
      <c r="Y27" s="10">
        <v>48.11</v>
      </c>
      <c r="Z27" s="10">
        <v>46.89</v>
      </c>
      <c r="AA27" s="10">
        <v>46.89</v>
      </c>
      <c r="AB27" s="95">
        <v>3449800</v>
      </c>
      <c r="AC27" s="10">
        <v>46.89</v>
      </c>
      <c r="AD27" s="2">
        <f t="shared" si="0"/>
        <v>1.2199999999999989</v>
      </c>
      <c r="AE27" s="138">
        <f t="shared" si="1"/>
        <v>-1.0759493670886022E-2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42579</v>
      </c>
      <c r="X28" s="10">
        <v>47.17</v>
      </c>
      <c r="Y28" s="10">
        <v>47.63</v>
      </c>
      <c r="Z28" s="10">
        <v>46.81</v>
      </c>
      <c r="AA28" s="10">
        <v>47.4</v>
      </c>
      <c r="AB28" s="95">
        <v>2496600</v>
      </c>
      <c r="AC28" s="10">
        <v>47.4</v>
      </c>
      <c r="AD28" s="2">
        <f t="shared" si="0"/>
        <v>0.82000000000000028</v>
      </c>
      <c r="AE28" s="138">
        <f t="shared" si="1"/>
        <v>-8.4317032040470696E-4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42578</v>
      </c>
      <c r="X29" s="10">
        <v>47.63</v>
      </c>
      <c r="Y29" s="10">
        <v>47.75</v>
      </c>
      <c r="Z29" s="10">
        <v>47.16</v>
      </c>
      <c r="AA29" s="10">
        <v>47.44</v>
      </c>
      <c r="AB29" s="95">
        <v>3208500</v>
      </c>
      <c r="AC29" s="10">
        <v>47.44</v>
      </c>
      <c r="AD29" s="2">
        <f t="shared" si="0"/>
        <v>0.59000000000000341</v>
      </c>
      <c r="AE29" s="138">
        <f t="shared" si="1"/>
        <v>-6.0758432851455435E-3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42577</v>
      </c>
      <c r="X30" s="10">
        <v>46.87</v>
      </c>
      <c r="Y30" s="10">
        <v>48</v>
      </c>
      <c r="Z30" s="10">
        <v>46.87</v>
      </c>
      <c r="AA30" s="10">
        <v>47.73</v>
      </c>
      <c r="AB30" s="95">
        <v>4226100</v>
      </c>
      <c r="AC30" s="10">
        <v>47.73</v>
      </c>
      <c r="AD30" s="2">
        <f t="shared" si="0"/>
        <v>1.1300000000000026</v>
      </c>
      <c r="AE30" s="138">
        <f t="shared" si="1"/>
        <v>1.7914267434420816E-2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42576</v>
      </c>
      <c r="X31" s="10">
        <v>47.52</v>
      </c>
      <c r="Y31" s="10">
        <v>47.78</v>
      </c>
      <c r="Z31" s="10">
        <v>46.73</v>
      </c>
      <c r="AA31" s="10">
        <v>46.89</v>
      </c>
      <c r="AB31" s="95">
        <v>3752800</v>
      </c>
      <c r="AC31" s="10">
        <v>46.89</v>
      </c>
      <c r="AD31" s="2">
        <f t="shared" si="0"/>
        <v>1.0500000000000043</v>
      </c>
      <c r="AE31" s="138">
        <f t="shared" si="1"/>
        <v>-1.4294723565272172E-2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42573</v>
      </c>
      <c r="X32" s="10">
        <v>47.25</v>
      </c>
      <c r="Y32" s="10">
        <v>47.69</v>
      </c>
      <c r="Z32" s="10">
        <v>46.56</v>
      </c>
      <c r="AA32" s="10">
        <v>47.57</v>
      </c>
      <c r="AB32" s="95">
        <v>4903800</v>
      </c>
      <c r="AC32" s="10">
        <v>47.57</v>
      </c>
      <c r="AD32" s="2">
        <f t="shared" si="0"/>
        <v>1.1299999999999955</v>
      </c>
      <c r="AE32" s="138">
        <f t="shared" si="1"/>
        <v>1.9502786112301829E-2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42572</v>
      </c>
      <c r="X33" s="10">
        <v>47.11</v>
      </c>
      <c r="Y33" s="10">
        <v>47.4</v>
      </c>
      <c r="Z33" s="10">
        <v>46.02</v>
      </c>
      <c r="AA33" s="10">
        <v>46.66</v>
      </c>
      <c r="AB33" s="95">
        <v>5867900</v>
      </c>
      <c r="AC33" s="10">
        <v>46.66</v>
      </c>
      <c r="AD33" s="2">
        <f t="shared" si="0"/>
        <v>1.3799999999999955</v>
      </c>
      <c r="AE33" s="138">
        <f t="shared" si="1"/>
        <v>-3.3954451345755698E-2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42571</v>
      </c>
      <c r="X34" s="10">
        <v>48.28</v>
      </c>
      <c r="Y34" s="10">
        <v>49.87</v>
      </c>
      <c r="Z34" s="10">
        <v>47.54</v>
      </c>
      <c r="AA34" s="10">
        <v>48.3</v>
      </c>
      <c r="AB34" s="95">
        <v>8422200</v>
      </c>
      <c r="AC34" s="10">
        <v>48.3</v>
      </c>
      <c r="AD34" s="2">
        <f t="shared" si="0"/>
        <v>2.3299999999999983</v>
      </c>
      <c r="AE34" s="138">
        <f t="shared" si="1"/>
        <v>9.4043887147334804E-3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42570</v>
      </c>
      <c r="X35" s="10">
        <v>47.71</v>
      </c>
      <c r="Y35" s="10">
        <v>47.96</v>
      </c>
      <c r="Z35" s="10">
        <v>46.68</v>
      </c>
      <c r="AA35" s="10">
        <v>47.85</v>
      </c>
      <c r="AB35" s="95">
        <v>4720500</v>
      </c>
      <c r="AC35" s="10">
        <v>47.85</v>
      </c>
      <c r="AD35" s="2">
        <f t="shared" si="0"/>
        <v>1.2800000000000011</v>
      </c>
      <c r="AE35" s="138">
        <f t="shared" si="1"/>
        <v>2.9343953049674187E-3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42569</v>
      </c>
      <c r="X36" s="10">
        <v>47.58</v>
      </c>
      <c r="Y36" s="10">
        <v>48.02</v>
      </c>
      <c r="Z36" s="10">
        <v>47.13</v>
      </c>
      <c r="AA36" s="10">
        <v>47.71</v>
      </c>
      <c r="AB36" s="95">
        <v>3692700</v>
      </c>
      <c r="AC36" s="10">
        <v>47.71</v>
      </c>
      <c r="AD36" s="2">
        <f t="shared" si="0"/>
        <v>0.89000000000000057</v>
      </c>
      <c r="AE36" s="138">
        <f t="shared" si="1"/>
        <v>5.9034366434747021E-3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42566</v>
      </c>
      <c r="X37" s="10">
        <v>47.51</v>
      </c>
      <c r="Y37" s="10">
        <v>47.76</v>
      </c>
      <c r="Z37" s="10">
        <v>46.92</v>
      </c>
      <c r="AA37" s="10">
        <v>47.43</v>
      </c>
      <c r="AB37" s="95">
        <v>5184800</v>
      </c>
      <c r="AC37" s="10">
        <v>47.43</v>
      </c>
      <c r="AD37" s="2">
        <f t="shared" si="0"/>
        <v>0.83999999999999631</v>
      </c>
      <c r="AE37" s="138">
        <f t="shared" si="1"/>
        <v>-8.7774294670847075E-3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42565</v>
      </c>
      <c r="X38" s="10">
        <v>46.73</v>
      </c>
      <c r="Y38" s="10">
        <v>47.94</v>
      </c>
      <c r="Z38" s="10">
        <v>46.42</v>
      </c>
      <c r="AA38" s="10">
        <v>47.85</v>
      </c>
      <c r="AB38" s="95">
        <v>7702500</v>
      </c>
      <c r="AC38" s="10">
        <v>47.85</v>
      </c>
      <c r="AD38" s="2">
        <f t="shared" si="0"/>
        <v>1.519999999999996</v>
      </c>
      <c r="AE38" s="138">
        <f t="shared" si="1"/>
        <v>4.3392935019624934E-2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42564</v>
      </c>
      <c r="X39" s="10">
        <v>46.55</v>
      </c>
      <c r="Y39" s="10">
        <v>46.73</v>
      </c>
      <c r="Z39" s="10">
        <v>45.42</v>
      </c>
      <c r="AA39" s="10">
        <v>45.86</v>
      </c>
      <c r="AB39" s="95">
        <v>5491900</v>
      </c>
      <c r="AC39" s="10">
        <v>45.86</v>
      </c>
      <c r="AD39" s="2">
        <f t="shared" si="0"/>
        <v>1.3099999999999952</v>
      </c>
      <c r="AE39" s="138">
        <f t="shared" si="1"/>
        <v>-6.4991334488734287E-3</v>
      </c>
    </row>
    <row r="40" spans="2:31" ht="20.25" thickBot="1" x14ac:dyDescent="0.35">
      <c r="B40" s="193">
        <v>42549</v>
      </c>
      <c r="C40" s="460">
        <v>450</v>
      </c>
      <c r="D40" s="461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545" t="s">
        <v>78</v>
      </c>
      <c r="P40" s="545"/>
      <c r="W40" s="133">
        <v>42563</v>
      </c>
      <c r="X40" s="10">
        <v>44.19</v>
      </c>
      <c r="Y40" s="10">
        <v>46.36</v>
      </c>
      <c r="Z40" s="10">
        <v>44.19</v>
      </c>
      <c r="AA40" s="10">
        <v>46.16</v>
      </c>
      <c r="AB40" s="95">
        <v>9778600</v>
      </c>
      <c r="AC40" s="10">
        <v>46.16</v>
      </c>
      <c r="AD40" s="2">
        <f t="shared" si="0"/>
        <v>2.1700000000000017</v>
      </c>
      <c r="AE40" s="138">
        <f t="shared" si="1"/>
        <v>8.8422541853336423E-2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56.254000000000005</v>
      </c>
      <c r="Q41" s="2"/>
      <c r="W41" s="133">
        <v>42562</v>
      </c>
      <c r="X41" s="10">
        <v>41.88</v>
      </c>
      <c r="Y41" s="10">
        <v>42.74</v>
      </c>
      <c r="Z41" s="10">
        <v>41.72</v>
      </c>
      <c r="AA41" s="10">
        <v>42.41</v>
      </c>
      <c r="AB41" s="95">
        <v>4661700</v>
      </c>
      <c r="AC41" s="10">
        <v>42.41</v>
      </c>
      <c r="AD41" s="2">
        <f t="shared" si="0"/>
        <v>1.0200000000000031</v>
      </c>
      <c r="AE41" s="138">
        <f t="shared" si="1"/>
        <v>2.2420443587271022E-2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55.742600000000003</v>
      </c>
      <c r="Q42" s="2"/>
      <c r="T42" s="91" t="s">
        <v>113</v>
      </c>
      <c r="W42" s="133">
        <v>42559</v>
      </c>
      <c r="X42" s="10">
        <v>40.700000000000003</v>
      </c>
      <c r="Y42" s="10">
        <v>41.73</v>
      </c>
      <c r="Z42" s="10">
        <v>40.700000000000003</v>
      </c>
      <c r="AA42" s="10">
        <v>41.48</v>
      </c>
      <c r="AB42" s="95">
        <v>5261200</v>
      </c>
      <c r="AC42" s="10">
        <v>41.48</v>
      </c>
      <c r="AD42" s="2">
        <f t="shared" si="0"/>
        <v>1.029999999999994</v>
      </c>
      <c r="AE42" s="138">
        <f t="shared" si="1"/>
        <v>3.4671988026939271E-2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55.231200000000001</v>
      </c>
      <c r="Q43" s="2"/>
      <c r="T43" s="128" t="s">
        <v>98</v>
      </c>
      <c r="U43" s="98">
        <v>50.89</v>
      </c>
      <c r="W43" s="133">
        <v>42558</v>
      </c>
      <c r="X43" s="10">
        <v>39.32</v>
      </c>
      <c r="Y43" s="10">
        <v>40.409999999999997</v>
      </c>
      <c r="Z43" s="10">
        <v>39.31</v>
      </c>
      <c r="AA43" s="10">
        <v>40.090000000000003</v>
      </c>
      <c r="AB43" s="95">
        <v>4606300</v>
      </c>
      <c r="AC43" s="10">
        <v>40.090000000000003</v>
      </c>
      <c r="AD43" s="2">
        <f t="shared" si="0"/>
        <v>1.0999999999999943</v>
      </c>
      <c r="AE43" s="138">
        <f t="shared" si="1"/>
        <v>1.9842279318239564E-2</v>
      </c>
    </row>
    <row r="44" spans="2:31" x14ac:dyDescent="0.25">
      <c r="B44" s="193">
        <v>42557</v>
      </c>
      <c r="C44" s="460">
        <v>450</v>
      </c>
      <c r="D44" s="461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54.719800000000006</v>
      </c>
      <c r="Q44" s="2"/>
      <c r="T44" s="93" t="s">
        <v>99</v>
      </c>
      <c r="U44" s="88">
        <v>50.68</v>
      </c>
      <c r="W44" s="133">
        <v>42557</v>
      </c>
      <c r="X44" s="10">
        <v>39.14</v>
      </c>
      <c r="Y44" s="10">
        <v>39.409999999999997</v>
      </c>
      <c r="Z44" s="10">
        <v>37.64</v>
      </c>
      <c r="AA44" s="10">
        <v>39.31</v>
      </c>
      <c r="AB44" s="95">
        <v>8217800</v>
      </c>
      <c r="AC44" s="10">
        <v>39.31</v>
      </c>
      <c r="AD44" s="2">
        <f t="shared" si="0"/>
        <v>1.769999999999996</v>
      </c>
      <c r="AE44" s="138">
        <f t="shared" si="1"/>
        <v>-2.4323653512037691E-2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54.208400000000005</v>
      </c>
      <c r="Q45" s="2"/>
      <c r="T45" s="93" t="s">
        <v>100</v>
      </c>
      <c r="U45" s="88" t="s">
        <v>549</v>
      </c>
      <c r="W45" s="133">
        <v>42556</v>
      </c>
      <c r="X45" s="10">
        <v>40.799999999999997</v>
      </c>
      <c r="Y45" s="10">
        <v>40.92</v>
      </c>
      <c r="Z45" s="10">
        <v>39.409999999999997</v>
      </c>
      <c r="AA45" s="10">
        <v>40.29</v>
      </c>
      <c r="AB45" s="95">
        <v>5207800</v>
      </c>
      <c r="AC45" s="10">
        <v>40.29</v>
      </c>
      <c r="AD45" s="2">
        <f t="shared" si="0"/>
        <v>1.5100000000000051</v>
      </c>
      <c r="AE45" s="138">
        <f t="shared" si="1"/>
        <v>-2.6105873821609782E-2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53.697000000000003</v>
      </c>
      <c r="Q46" s="2"/>
      <c r="T46" s="93" t="s">
        <v>101</v>
      </c>
      <c r="U46" s="88" t="s">
        <v>550</v>
      </c>
      <c r="W46" s="133">
        <v>42552</v>
      </c>
      <c r="X46" s="10">
        <v>41.02</v>
      </c>
      <c r="Y46" s="10">
        <v>41.8</v>
      </c>
      <c r="Z46" s="10">
        <v>40.83</v>
      </c>
      <c r="AA46" s="10">
        <v>41.37</v>
      </c>
      <c r="AB46" s="95">
        <v>5092900</v>
      </c>
      <c r="AC46" s="10">
        <v>41.37</v>
      </c>
      <c r="AD46" s="2">
        <f t="shared" si="0"/>
        <v>0.96999999999999886</v>
      </c>
      <c r="AE46" s="138">
        <f t="shared" si="1"/>
        <v>8.0409356725146264E-3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53.185600000000001</v>
      </c>
      <c r="Q47" s="2"/>
      <c r="T47" s="93" t="s">
        <v>102</v>
      </c>
      <c r="U47" s="88">
        <v>59</v>
      </c>
      <c r="W47" s="133">
        <v>42551</v>
      </c>
      <c r="X47" s="10">
        <v>40.72</v>
      </c>
      <c r="Y47" s="10">
        <v>41.04</v>
      </c>
      <c r="Z47" s="10">
        <v>40.200000000000003</v>
      </c>
      <c r="AA47" s="10">
        <v>41.04</v>
      </c>
      <c r="AB47" s="95">
        <v>6052600</v>
      </c>
      <c r="AC47" s="10">
        <v>41.04</v>
      </c>
      <c r="AD47" s="2">
        <f t="shared" si="0"/>
        <v>0.83999999999999631</v>
      </c>
      <c r="AE47" s="138">
        <f t="shared" si="1"/>
        <v>1.1584914961794368E-2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52.674199999999999</v>
      </c>
      <c r="Q48" s="2"/>
      <c r="T48" s="93" t="s">
        <v>103</v>
      </c>
      <c r="U48" s="88">
        <v>0.86960700000000002</v>
      </c>
      <c r="W48" s="133">
        <v>42550</v>
      </c>
      <c r="X48" s="10">
        <v>39.19</v>
      </c>
      <c r="Y48" s="10">
        <v>40.92</v>
      </c>
      <c r="Z48" s="10">
        <v>39.15</v>
      </c>
      <c r="AA48" s="10">
        <v>40.57</v>
      </c>
      <c r="AB48" s="95">
        <v>7373100</v>
      </c>
      <c r="AC48" s="10">
        <v>40.57</v>
      </c>
      <c r="AD48" s="2">
        <f t="shared" si="0"/>
        <v>1.7700000000000031</v>
      </c>
      <c r="AE48" s="138">
        <f t="shared" si="1"/>
        <v>4.1591784338895987E-2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52.162800000000004</v>
      </c>
      <c r="Q49" s="2"/>
      <c r="T49" s="93" t="s">
        <v>123</v>
      </c>
      <c r="U49" s="88" t="s">
        <v>305</v>
      </c>
      <c r="W49" s="133">
        <v>42549</v>
      </c>
      <c r="X49" s="10">
        <v>38.82</v>
      </c>
      <c r="Y49" s="10">
        <v>39.06</v>
      </c>
      <c r="Z49" s="10">
        <v>38.01</v>
      </c>
      <c r="AA49" s="10">
        <v>38.950000000000003</v>
      </c>
      <c r="AB49" s="95">
        <v>7820500</v>
      </c>
      <c r="AC49" s="10">
        <v>38.950000000000003</v>
      </c>
      <c r="AD49" s="2">
        <f t="shared" si="0"/>
        <v>1.0500000000000043</v>
      </c>
      <c r="AE49" s="138">
        <f t="shared" si="1"/>
        <v>3.1788079470198793E-2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51.651400000000002</v>
      </c>
      <c r="Q50" s="2"/>
      <c r="T50" s="93"/>
      <c r="U50" s="88"/>
      <c r="W50" s="133">
        <v>42548</v>
      </c>
      <c r="X50" s="10">
        <v>40.64</v>
      </c>
      <c r="Y50" s="10">
        <v>40.69</v>
      </c>
      <c r="Z50" s="10">
        <v>37.409999999999997</v>
      </c>
      <c r="AA50" s="10">
        <v>37.75</v>
      </c>
      <c r="AB50" s="95">
        <v>12908800</v>
      </c>
      <c r="AC50" s="10">
        <v>37.75</v>
      </c>
      <c r="AD50" s="2">
        <f t="shared" si="0"/>
        <v>3.2800000000000011</v>
      </c>
      <c r="AE50" s="138">
        <f t="shared" si="1"/>
        <v>-8.0613735996103331E-2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51.14</v>
      </c>
      <c r="Q51" s="2"/>
      <c r="T51" s="93" t="s">
        <v>105</v>
      </c>
      <c r="U51" s="88" t="s">
        <v>551</v>
      </c>
      <c r="W51" s="133">
        <v>42545</v>
      </c>
      <c r="X51" s="10">
        <v>42.67</v>
      </c>
      <c r="Y51" s="10">
        <v>43.22</v>
      </c>
      <c r="Z51" s="10">
        <v>41.04</v>
      </c>
      <c r="AA51" s="10">
        <v>41.06</v>
      </c>
      <c r="AB51" s="95">
        <v>12313800</v>
      </c>
      <c r="AC51" s="10">
        <v>41.06</v>
      </c>
      <c r="AD51" s="2">
        <f t="shared" si="0"/>
        <v>2.1799999999999997</v>
      </c>
      <c r="AE51" s="138">
        <f t="shared" si="1"/>
        <v>-9.0989594863847723E-2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50.628599999999999</v>
      </c>
      <c r="Q52" s="2"/>
      <c r="T52" s="93" t="s">
        <v>106</v>
      </c>
      <c r="U52" s="88" t="s">
        <v>289</v>
      </c>
      <c r="W52" s="133">
        <v>42544</v>
      </c>
      <c r="X52" s="10">
        <v>45.75</v>
      </c>
      <c r="Y52" s="10">
        <v>45.92</v>
      </c>
      <c r="Z52" s="10">
        <v>44.46</v>
      </c>
      <c r="AA52" s="10">
        <v>45.17</v>
      </c>
      <c r="AB52" s="95">
        <v>4914100</v>
      </c>
      <c r="AC52" s="10">
        <v>45.17</v>
      </c>
      <c r="AD52" s="2">
        <f t="shared" si="0"/>
        <v>1.4600000000000009</v>
      </c>
      <c r="AE52" s="138">
        <f t="shared" si="1"/>
        <v>1.7742293191393976E-3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50.117199999999997</v>
      </c>
      <c r="Q53" s="2"/>
      <c r="T53" s="93" t="s">
        <v>107</v>
      </c>
      <c r="U53" s="90">
        <v>3732402</v>
      </c>
      <c r="W53" s="133">
        <v>42543</v>
      </c>
      <c r="X53" s="10">
        <v>45</v>
      </c>
      <c r="Y53" s="10">
        <v>45.64</v>
      </c>
      <c r="Z53" s="10">
        <v>44.94</v>
      </c>
      <c r="AA53" s="10">
        <v>45.09</v>
      </c>
      <c r="AB53" s="95">
        <v>4814700</v>
      </c>
      <c r="AC53" s="10">
        <v>45.09</v>
      </c>
      <c r="AD53" s="2">
        <f t="shared" si="0"/>
        <v>0.70000000000000284</v>
      </c>
      <c r="AE53" s="138">
        <f t="shared" si="1"/>
        <v>5.1270619705752196E-3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49.605800000000002</v>
      </c>
      <c r="T54" s="93" t="s">
        <v>110</v>
      </c>
      <c r="U54" s="90">
        <v>5280480</v>
      </c>
      <c r="W54" s="133">
        <v>42542</v>
      </c>
      <c r="X54" s="10">
        <v>45.01</v>
      </c>
      <c r="Y54" s="10">
        <v>45.59</v>
      </c>
      <c r="Z54" s="10">
        <v>44.4</v>
      </c>
      <c r="AA54" s="10">
        <v>44.86</v>
      </c>
      <c r="AB54" s="95">
        <v>7749400</v>
      </c>
      <c r="AC54" s="10">
        <v>44.86</v>
      </c>
      <c r="AD54" s="2">
        <f t="shared" si="0"/>
        <v>1.1900000000000048</v>
      </c>
      <c r="AE54" s="138">
        <f t="shared" si="1"/>
        <v>3.3640552995391815E-2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49.0944</v>
      </c>
      <c r="T55" s="93" t="s">
        <v>108</v>
      </c>
      <c r="U55" s="88" t="s">
        <v>552</v>
      </c>
      <c r="W55" s="133">
        <v>42541</v>
      </c>
      <c r="X55" s="10">
        <v>43.07</v>
      </c>
      <c r="Y55" s="10">
        <v>44.03</v>
      </c>
      <c r="Z55" s="10">
        <v>43</v>
      </c>
      <c r="AA55" s="10">
        <v>43.4</v>
      </c>
      <c r="AB55" s="95">
        <v>4427800</v>
      </c>
      <c r="AC55" s="10">
        <v>43.4</v>
      </c>
      <c r="AD55" s="2">
        <f t="shared" si="0"/>
        <v>1.0300000000000011</v>
      </c>
      <c r="AE55" s="138">
        <f t="shared" si="1"/>
        <v>1.8301267010793154E-2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48.582999999999998</v>
      </c>
      <c r="T56" s="93" t="s">
        <v>111</v>
      </c>
      <c r="U56" s="88">
        <v>2.79</v>
      </c>
      <c r="W56" s="133">
        <v>42538</v>
      </c>
      <c r="X56" s="10">
        <v>41.9</v>
      </c>
      <c r="Y56" s="10">
        <v>43.07</v>
      </c>
      <c r="Z56" s="10">
        <v>41.5</v>
      </c>
      <c r="AA56" s="10">
        <v>42.62</v>
      </c>
      <c r="AB56" s="95">
        <v>8183100</v>
      </c>
      <c r="AC56" s="10">
        <v>42.62</v>
      </c>
      <c r="AD56" s="2">
        <f t="shared" si="0"/>
        <v>1.5700000000000003</v>
      </c>
      <c r="AE56" s="138">
        <f t="shared" si="1"/>
        <v>1.8885967009323323E-2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48.071599999999997</v>
      </c>
      <c r="T57" s="93" t="s">
        <v>112</v>
      </c>
      <c r="U57" s="88">
        <v>18.3</v>
      </c>
      <c r="W57" s="133">
        <v>42537</v>
      </c>
      <c r="X57" s="10">
        <v>42.23</v>
      </c>
      <c r="Y57" s="10">
        <v>42.9</v>
      </c>
      <c r="Z57" s="10">
        <v>41.68</v>
      </c>
      <c r="AA57" s="10">
        <v>41.83</v>
      </c>
      <c r="AB57" s="95">
        <v>7695600</v>
      </c>
      <c r="AC57" s="10">
        <v>41.83</v>
      </c>
      <c r="AD57" s="2">
        <f t="shared" si="0"/>
        <v>1.2199999999999989</v>
      </c>
      <c r="AE57" s="138">
        <f t="shared" si="1"/>
        <v>-2.4714385637677805E-2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47.560200000000002</v>
      </c>
      <c r="T58" s="93" t="s">
        <v>109</v>
      </c>
      <c r="U58" s="88" t="s">
        <v>124</v>
      </c>
      <c r="W58" s="133">
        <v>42536</v>
      </c>
      <c r="X58" s="10">
        <v>42.55</v>
      </c>
      <c r="Y58" s="10">
        <v>43.72</v>
      </c>
      <c r="Z58" s="10">
        <v>42.51</v>
      </c>
      <c r="AA58" s="10">
        <v>42.89</v>
      </c>
      <c r="AB58" s="95">
        <v>6334500</v>
      </c>
      <c r="AC58" s="10">
        <v>42.89</v>
      </c>
      <c r="AD58" s="2">
        <f t="shared" si="0"/>
        <v>1.2100000000000009</v>
      </c>
      <c r="AE58" s="138">
        <f t="shared" si="1"/>
        <v>1.9006889997624121E-2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47.0488</v>
      </c>
      <c r="W59" s="133">
        <v>42535</v>
      </c>
      <c r="X59" s="10">
        <v>43.98</v>
      </c>
      <c r="Y59" s="10">
        <v>44.3</v>
      </c>
      <c r="Z59" s="10">
        <v>41.46</v>
      </c>
      <c r="AA59" s="10">
        <v>42.09</v>
      </c>
      <c r="AB59" s="95">
        <v>8162800</v>
      </c>
      <c r="AC59" s="10">
        <v>42.09</v>
      </c>
      <c r="AD59" s="2">
        <f t="shared" si="0"/>
        <v>2.8399999999999963</v>
      </c>
      <c r="AE59" s="138">
        <f t="shared" si="1"/>
        <v>-4.4711756695415272E-2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46.537400000000005</v>
      </c>
      <c r="W60" s="133">
        <v>42534</v>
      </c>
      <c r="X60" s="10">
        <v>45.59</v>
      </c>
      <c r="Y60" s="10">
        <v>45.88</v>
      </c>
      <c r="Z60" s="10">
        <v>43.64</v>
      </c>
      <c r="AA60" s="10">
        <v>44.06</v>
      </c>
      <c r="AB60" s="95">
        <v>7127800</v>
      </c>
      <c r="AC60" s="10">
        <v>44.06</v>
      </c>
      <c r="AD60" s="2">
        <f t="shared" si="0"/>
        <v>2.240000000000002</v>
      </c>
      <c r="AE60" s="138">
        <f t="shared" si="1"/>
        <v>-4.3836805555555469E-2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46.026000000000003</v>
      </c>
      <c r="W61" s="133">
        <v>42531</v>
      </c>
      <c r="X61" s="10">
        <v>46.09</v>
      </c>
      <c r="Y61" s="10">
        <v>46.69</v>
      </c>
      <c r="Z61" s="10">
        <v>45.63</v>
      </c>
      <c r="AA61" s="10">
        <v>46.08</v>
      </c>
      <c r="AB61" s="95">
        <v>4206300</v>
      </c>
      <c r="AC61" s="10">
        <v>46.08</v>
      </c>
      <c r="AD61" s="2">
        <f t="shared" si="0"/>
        <v>1.0599999999999952</v>
      </c>
      <c r="AE61" s="138">
        <f t="shared" si="1"/>
        <v>-1.3276231263383398E-2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42530</v>
      </c>
      <c r="X62" s="10">
        <v>45.59</v>
      </c>
      <c r="Y62" s="10">
        <v>46.91</v>
      </c>
      <c r="Z62" s="10">
        <v>45.44</v>
      </c>
      <c r="AA62" s="10">
        <v>46.7</v>
      </c>
      <c r="AB62" s="95">
        <v>4648800</v>
      </c>
      <c r="AC62" s="10">
        <v>46.7</v>
      </c>
      <c r="AD62" s="2">
        <f t="shared" si="0"/>
        <v>1.4699999999999989</v>
      </c>
      <c r="AE62" s="138">
        <f t="shared" si="1"/>
        <v>2.2105493543445043E-2</v>
      </c>
    </row>
    <row r="63" spans="2:31" x14ac:dyDescent="0.25">
      <c r="W63" s="133">
        <v>42529</v>
      </c>
      <c r="X63" s="10">
        <v>45.94</v>
      </c>
      <c r="Y63" s="10">
        <v>46.53</v>
      </c>
      <c r="Z63" s="10">
        <v>45.29</v>
      </c>
      <c r="AA63" s="10">
        <v>45.69</v>
      </c>
      <c r="AB63" s="95">
        <v>4875300</v>
      </c>
      <c r="AC63" s="10">
        <v>45.69</v>
      </c>
      <c r="AD63" s="2">
        <f t="shared" si="0"/>
        <v>1.240000000000002</v>
      </c>
      <c r="AE63" s="138">
        <f t="shared" si="1"/>
        <v>-2.6195153896529932E-3</v>
      </c>
    </row>
    <row r="64" spans="2:31" x14ac:dyDescent="0.25">
      <c r="W64" s="133">
        <v>42528</v>
      </c>
      <c r="X64" s="10">
        <v>44.5</v>
      </c>
      <c r="Y64" s="10">
        <v>46.46</v>
      </c>
      <c r="Z64" s="10">
        <v>44.01</v>
      </c>
      <c r="AA64" s="10">
        <v>45.81</v>
      </c>
      <c r="AB64" s="95">
        <v>5863000</v>
      </c>
      <c r="AC64" s="10">
        <v>45.81</v>
      </c>
      <c r="AD64" s="2">
        <f t="shared" si="0"/>
        <v>2.4500000000000028</v>
      </c>
      <c r="AE64" s="138">
        <f t="shared" si="1"/>
        <v>2.8744666516954842E-2</v>
      </c>
    </row>
    <row r="65" spans="1:31" x14ac:dyDescent="0.25">
      <c r="W65" s="133">
        <v>42527</v>
      </c>
      <c r="X65" s="10">
        <v>44.2</v>
      </c>
      <c r="Y65" s="10">
        <v>44.54</v>
      </c>
      <c r="Z65" s="10">
        <v>43.53</v>
      </c>
      <c r="AA65" s="10">
        <v>44.53</v>
      </c>
      <c r="AB65" s="95">
        <v>5251200</v>
      </c>
      <c r="AC65" s="10">
        <v>44.53</v>
      </c>
      <c r="AD65" s="2">
        <f t="shared" si="0"/>
        <v>1.009999999999998</v>
      </c>
      <c r="AE65" s="138">
        <f t="shared" si="1"/>
        <v>5.1918735891649526E-3</v>
      </c>
    </row>
    <row r="66" spans="1:31" x14ac:dyDescent="0.25">
      <c r="W66" s="133">
        <v>42524</v>
      </c>
      <c r="X66" s="10">
        <v>45.01</v>
      </c>
      <c r="Y66" s="10">
        <v>45.16</v>
      </c>
      <c r="Z66" s="10">
        <v>43.6</v>
      </c>
      <c r="AA66" s="10">
        <v>44.3</v>
      </c>
      <c r="AB66" s="95">
        <v>5639400</v>
      </c>
      <c r="AC66" s="10">
        <v>44.3</v>
      </c>
      <c r="AD66" s="2">
        <f t="shared" si="0"/>
        <v>1.5599999999999952</v>
      </c>
      <c r="AE66" s="138">
        <f t="shared" si="1"/>
        <v>-1.9260571175559127E-2</v>
      </c>
    </row>
    <row r="67" spans="1:31" x14ac:dyDescent="0.25">
      <c r="W67" s="133">
        <v>42523</v>
      </c>
      <c r="X67" s="10">
        <v>44.92</v>
      </c>
      <c r="Y67" s="10">
        <v>45.59</v>
      </c>
      <c r="Z67" s="10">
        <v>44.86</v>
      </c>
      <c r="AA67" s="10">
        <v>45.17</v>
      </c>
      <c r="AB67" s="95">
        <v>3355300</v>
      </c>
      <c r="AC67" s="10">
        <v>45.17</v>
      </c>
      <c r="AD67" s="2">
        <f>Y67-Z67</f>
        <v>0.73000000000000398</v>
      </c>
      <c r="AE67" s="138" t="e">
        <f>AC67/#REF!-1</f>
        <v>#REF!</v>
      </c>
    </row>
    <row r="68" spans="1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90" t="s">
        <v>1</v>
      </c>
      <c r="B76" s="390" t="s">
        <v>2</v>
      </c>
      <c r="C76" s="390" t="s">
        <v>4</v>
      </c>
      <c r="D76" s="392" t="s">
        <v>5</v>
      </c>
      <c r="E76" s="392" t="s">
        <v>94</v>
      </c>
      <c r="F76" s="392" t="s">
        <v>60</v>
      </c>
      <c r="G76" s="390" t="s">
        <v>3</v>
      </c>
      <c r="H76" s="390" t="s">
        <v>6</v>
      </c>
      <c r="I76" s="392" t="s">
        <v>7</v>
      </c>
      <c r="J76" s="392" t="s">
        <v>95</v>
      </c>
      <c r="K76" s="392" t="s">
        <v>61</v>
      </c>
      <c r="L76" s="390" t="s">
        <v>37</v>
      </c>
      <c r="M76" s="390" t="s">
        <v>38</v>
      </c>
    </row>
    <row r="77" spans="1:31" x14ac:dyDescent="0.25">
      <c r="A77" s="393" t="s">
        <v>13</v>
      </c>
      <c r="B77" s="383">
        <v>42485</v>
      </c>
      <c r="C77" s="384">
        <v>80</v>
      </c>
      <c r="D77" s="385">
        <v>49.5</v>
      </c>
      <c r="E77" s="385">
        <v>0</v>
      </c>
      <c r="F77" s="385">
        <f t="shared" ref="F77:F85" si="49">D77*C77+E77</f>
        <v>3960</v>
      </c>
      <c r="G77" s="384"/>
      <c r="H77" s="384"/>
      <c r="I77" s="385"/>
      <c r="J77" s="385"/>
      <c r="K77" s="385"/>
      <c r="L77" s="383"/>
      <c r="M77" s="384"/>
    </row>
    <row r="78" spans="1:31" x14ac:dyDescent="0.25">
      <c r="A78" s="394" t="s">
        <v>71</v>
      </c>
      <c r="B78" s="383">
        <v>42489</v>
      </c>
      <c r="C78" s="384">
        <v>20</v>
      </c>
      <c r="D78" s="385">
        <v>46.95</v>
      </c>
      <c r="E78" s="385">
        <v>0</v>
      </c>
      <c r="F78" s="385">
        <f t="shared" si="49"/>
        <v>939</v>
      </c>
      <c r="G78" s="384"/>
      <c r="H78" s="385"/>
      <c r="I78" s="385"/>
      <c r="J78" s="385"/>
      <c r="K78" s="385"/>
      <c r="L78" s="384"/>
      <c r="M78" s="384"/>
    </row>
    <row r="79" spans="1:31" x14ac:dyDescent="0.25">
      <c r="A79" s="384"/>
      <c r="B79" s="383">
        <v>42489</v>
      </c>
      <c r="C79" s="384">
        <v>50</v>
      </c>
      <c r="D79" s="385">
        <v>45.91</v>
      </c>
      <c r="E79" s="385">
        <v>0</v>
      </c>
      <c r="F79" s="385">
        <f t="shared" si="49"/>
        <v>2295.5</v>
      </c>
      <c r="G79" s="384"/>
      <c r="H79" s="384"/>
      <c r="I79" s="385"/>
      <c r="J79" s="385"/>
      <c r="K79" s="385"/>
      <c r="L79" s="384"/>
      <c r="M79" s="384"/>
    </row>
    <row r="80" spans="1:31" x14ac:dyDescent="0.25">
      <c r="A80" s="384"/>
      <c r="B80" s="383">
        <v>42495</v>
      </c>
      <c r="C80" s="384">
        <v>25</v>
      </c>
      <c r="D80" s="385">
        <v>45</v>
      </c>
      <c r="E80" s="385">
        <v>0</v>
      </c>
      <c r="F80" s="385">
        <f t="shared" si="49"/>
        <v>1125</v>
      </c>
      <c r="G80" s="383">
        <v>42557</v>
      </c>
      <c r="H80" s="384">
        <v>150</v>
      </c>
      <c r="I80" s="385">
        <v>39.28</v>
      </c>
      <c r="J80" s="385">
        <v>0.13</v>
      </c>
      <c r="K80" s="385">
        <f t="shared" ref="K80:K85" si="50">I80*H80-J80</f>
        <v>5891.87</v>
      </c>
      <c r="L80" s="384"/>
      <c r="M80" s="384"/>
    </row>
    <row r="81" spans="1:13" x14ac:dyDescent="0.25">
      <c r="A81" s="384"/>
      <c r="B81" s="383">
        <v>42502</v>
      </c>
      <c r="C81" s="384">
        <v>25</v>
      </c>
      <c r="D81" s="385">
        <v>44.09</v>
      </c>
      <c r="E81" s="385">
        <v>0</v>
      </c>
      <c r="F81" s="385">
        <f t="shared" si="49"/>
        <v>1102.25</v>
      </c>
      <c r="G81" s="383">
        <v>42562</v>
      </c>
      <c r="H81" s="384">
        <v>50</v>
      </c>
      <c r="I81" s="385">
        <v>42.68</v>
      </c>
      <c r="J81" s="385">
        <v>0.05</v>
      </c>
      <c r="K81" s="385">
        <f t="shared" si="50"/>
        <v>2133.9499999999998</v>
      </c>
      <c r="L81" s="384"/>
      <c r="M81" s="384"/>
    </row>
    <row r="82" spans="1:13" x14ac:dyDescent="0.25">
      <c r="A82" s="384"/>
      <c r="B82" s="383">
        <v>42535</v>
      </c>
      <c r="C82" s="384">
        <v>40</v>
      </c>
      <c r="D82" s="385">
        <v>43.19</v>
      </c>
      <c r="E82" s="385">
        <v>0</v>
      </c>
      <c r="F82" s="385">
        <f t="shared" si="49"/>
        <v>1727.6</v>
      </c>
      <c r="G82" s="383">
        <v>42566</v>
      </c>
      <c r="H82" s="384">
        <v>40</v>
      </c>
      <c r="I82" s="385">
        <v>47.51</v>
      </c>
      <c r="J82" s="385">
        <v>0.04</v>
      </c>
      <c r="K82" s="385">
        <f t="shared" si="50"/>
        <v>1900.36</v>
      </c>
      <c r="L82" s="384"/>
      <c r="M82" s="384"/>
    </row>
    <row r="83" spans="1:13" x14ac:dyDescent="0.25">
      <c r="A83" s="384"/>
      <c r="B83" s="383">
        <v>42545</v>
      </c>
      <c r="C83" s="384">
        <v>100</v>
      </c>
      <c r="D83" s="385">
        <v>42.28</v>
      </c>
      <c r="E83" s="385">
        <v>0</v>
      </c>
      <c r="F83" s="385">
        <f t="shared" si="49"/>
        <v>4228</v>
      </c>
      <c r="G83" s="383">
        <v>42587</v>
      </c>
      <c r="H83" s="384">
        <v>210</v>
      </c>
      <c r="I83" s="385">
        <v>47.58</v>
      </c>
      <c r="J83" s="385">
        <v>0.22</v>
      </c>
      <c r="K83" s="385">
        <f t="shared" si="50"/>
        <v>9991.58</v>
      </c>
      <c r="L83" s="384"/>
      <c r="M83" s="384"/>
    </row>
    <row r="84" spans="1:13" x14ac:dyDescent="0.25">
      <c r="A84" s="384"/>
      <c r="B84" s="383">
        <v>42545</v>
      </c>
      <c r="C84" s="384">
        <v>110</v>
      </c>
      <c r="D84" s="385">
        <v>41.12</v>
      </c>
      <c r="E84" s="385">
        <v>0</v>
      </c>
      <c r="F84" s="385">
        <f t="shared" si="49"/>
        <v>4523.2</v>
      </c>
      <c r="G84" s="383">
        <v>42593</v>
      </c>
      <c r="H84" s="384">
        <v>50</v>
      </c>
      <c r="I84" s="385">
        <v>47.35</v>
      </c>
      <c r="J84" s="385">
        <v>0.05</v>
      </c>
      <c r="K84" s="385">
        <f t="shared" si="50"/>
        <v>2367.4499999999998</v>
      </c>
      <c r="L84" s="384"/>
      <c r="M84" s="384"/>
    </row>
    <row r="85" spans="1:13" x14ac:dyDescent="0.25">
      <c r="A85" s="384"/>
      <c r="B85" s="383">
        <v>42557</v>
      </c>
      <c r="C85" s="384">
        <v>150</v>
      </c>
      <c r="D85" s="385">
        <v>38.08</v>
      </c>
      <c r="E85" s="385">
        <v>0</v>
      </c>
      <c r="F85" s="385">
        <f t="shared" si="49"/>
        <v>5712</v>
      </c>
      <c r="G85" s="383">
        <v>42597</v>
      </c>
      <c r="H85" s="384">
        <v>100</v>
      </c>
      <c r="I85" s="385">
        <v>47.89</v>
      </c>
      <c r="J85" s="385">
        <v>0.1</v>
      </c>
      <c r="K85" s="385">
        <f t="shared" si="50"/>
        <v>4788.8999999999996</v>
      </c>
      <c r="L85" s="384"/>
      <c r="M85" s="384"/>
    </row>
    <row r="86" spans="1:13" x14ac:dyDescent="0.25">
      <c r="A86" s="384"/>
      <c r="B86" s="383"/>
      <c r="C86" s="384"/>
      <c r="D86" s="385"/>
      <c r="E86" s="385"/>
      <c r="F86" s="385"/>
      <c r="G86" s="384"/>
      <c r="H86" s="384"/>
      <c r="I86" s="385"/>
      <c r="J86" s="385"/>
      <c r="K86" s="385"/>
      <c r="L86" s="384"/>
      <c r="M86" s="384"/>
    </row>
    <row r="87" spans="1:13" x14ac:dyDescent="0.25">
      <c r="A87" s="384"/>
      <c r="B87" s="384"/>
      <c r="C87" s="384"/>
      <c r="D87" s="385"/>
      <c r="E87" s="385"/>
      <c r="F87" s="385"/>
      <c r="G87" s="384"/>
      <c r="H87" s="384"/>
      <c r="I87" s="385"/>
      <c r="J87" s="385"/>
      <c r="K87" s="385"/>
      <c r="L87" s="384"/>
      <c r="M87" s="384"/>
    </row>
    <row r="88" spans="1:13" x14ac:dyDescent="0.25">
      <c r="A88" s="384"/>
      <c r="B88" s="384"/>
      <c r="C88" s="384"/>
      <c r="D88" s="385"/>
      <c r="E88" s="385"/>
      <c r="F88" s="385"/>
      <c r="G88" s="384"/>
      <c r="H88" s="384"/>
      <c r="I88" s="385"/>
      <c r="J88" s="385"/>
      <c r="K88" s="385"/>
      <c r="L88" s="384"/>
      <c r="M88" s="384"/>
    </row>
    <row r="89" spans="1:13" x14ac:dyDescent="0.25">
      <c r="A89" s="384"/>
      <c r="B89" s="384"/>
      <c r="C89" s="384"/>
      <c r="D89" s="385"/>
      <c r="E89" s="385"/>
      <c r="F89" s="385"/>
      <c r="G89" s="384"/>
      <c r="H89" s="384"/>
      <c r="I89" s="385"/>
      <c r="J89" s="385"/>
      <c r="K89" s="385"/>
      <c r="L89" s="384"/>
      <c r="M89" s="384"/>
    </row>
    <row r="90" spans="1:13" x14ac:dyDescent="0.25">
      <c r="A90" s="384"/>
      <c r="B90" s="384"/>
      <c r="C90" s="384"/>
      <c r="D90" s="385"/>
      <c r="E90" s="385"/>
      <c r="F90" s="385"/>
      <c r="G90" s="384"/>
      <c r="H90" s="384"/>
      <c r="I90" s="385"/>
      <c r="J90" s="385"/>
      <c r="K90" s="385"/>
      <c r="L90" s="384"/>
      <c r="M90" s="384"/>
    </row>
    <row r="91" spans="1:13" x14ac:dyDescent="0.25">
      <c r="A91" s="384"/>
      <c r="B91" s="384"/>
      <c r="C91" s="384"/>
      <c r="D91" s="385"/>
      <c r="E91" s="385"/>
      <c r="F91" s="385"/>
      <c r="G91" s="384"/>
      <c r="H91" s="384"/>
      <c r="I91" s="385"/>
      <c r="J91" s="385"/>
      <c r="K91" s="385"/>
      <c r="L91" s="384"/>
      <c r="M91" s="384"/>
    </row>
    <row r="92" spans="1:13" x14ac:dyDescent="0.25">
      <c r="A92" s="384"/>
      <c r="B92" s="384"/>
      <c r="C92" s="384"/>
      <c r="D92" s="385"/>
      <c r="E92" s="385"/>
      <c r="F92" s="385"/>
      <c r="G92" s="384"/>
      <c r="H92" s="384"/>
      <c r="I92" s="385"/>
      <c r="J92" s="385"/>
      <c r="K92" s="385"/>
      <c r="L92" s="384"/>
      <c r="M92" s="384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95" t="s">
        <v>204</v>
      </c>
      <c r="B94" s="496"/>
      <c r="C94" s="497">
        <f>SumByColor($A$19,C77:C92)</f>
        <v>0</v>
      </c>
      <c r="D94" s="497"/>
      <c r="E94" s="497"/>
      <c r="F94" s="498">
        <f>SumByColor($A$19,F77:F92)</f>
        <v>0</v>
      </c>
      <c r="G94" s="497"/>
      <c r="H94" s="497">
        <f>SumByColor($A$19,H78:H92)</f>
        <v>0</v>
      </c>
      <c r="I94" s="497"/>
      <c r="J94" s="497"/>
      <c r="K94" s="498">
        <f>SumByColor($A$19,K78:K92)</f>
        <v>0</v>
      </c>
      <c r="L94" s="497"/>
      <c r="M94" s="498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14" priority="15">
      <formula>F29&gt;0</formula>
    </cfRule>
    <cfRule type="expression" dxfId="213" priority="16">
      <formula>F29&lt;0</formula>
    </cfRule>
  </conditionalFormatting>
  <conditionalFormatting sqref="F34:F62">
    <cfRule type="expression" dxfId="212" priority="11">
      <formula>F34&gt;0</formula>
    </cfRule>
    <cfRule type="expression" dxfId="211" priority="12">
      <formula>F34&lt;0</formula>
    </cfRule>
  </conditionalFormatting>
  <conditionalFormatting sqref="F34:F62">
    <cfRule type="expression" dxfId="210" priority="13">
      <formula>F34&gt;0</formula>
    </cfRule>
    <cfRule type="expression" dxfId="209" priority="14">
      <formula>F34&lt;0</formula>
    </cfRule>
  </conditionalFormatting>
  <conditionalFormatting sqref="H29:H62">
    <cfRule type="expression" dxfId="208" priority="9">
      <formula>H29&gt;0</formula>
    </cfRule>
    <cfRule type="expression" dxfId="207" priority="10">
      <formula>H29&lt;0</formula>
    </cfRule>
  </conditionalFormatting>
  <conditionalFormatting sqref="F25:F28">
    <cfRule type="expression" dxfId="206" priority="7">
      <formula>F25&gt;0</formula>
    </cfRule>
    <cfRule type="expression" dxfId="205" priority="8">
      <formula>F25&lt;0</formula>
    </cfRule>
  </conditionalFormatting>
  <conditionalFormatting sqref="H25:H28">
    <cfRule type="expression" dxfId="204" priority="5">
      <formula>H25&gt;0</formula>
    </cfRule>
    <cfRule type="expression" dxfId="203" priority="6">
      <formula>H25&lt;0</formula>
    </cfRule>
  </conditionalFormatting>
  <conditionalFormatting sqref="Q7">
    <cfRule type="expression" dxfId="202" priority="3">
      <formula>Q7&gt;0</formula>
    </cfRule>
    <cfRule type="expression" dxfId="201" priority="4">
      <formula>Q7&lt;0</formula>
    </cfRule>
  </conditionalFormatting>
  <conditionalFormatting sqref="Q8">
    <cfRule type="expression" dxfId="200" priority="1">
      <formula>Q8&gt;0</formula>
    </cfRule>
    <cfRule type="expression" dxfId="199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2" max="12" width="13.5703125" bestFit="1" customWidth="1"/>
    <col min="18" max="18" width="9.7109375" bestFit="1" customWidth="1"/>
    <col min="20" max="20" width="13.7109375" customWidth="1"/>
    <col min="21" max="21" width="18.285156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52</v>
      </c>
      <c r="B2" s="529">
        <v>42608</v>
      </c>
      <c r="C2" s="4">
        <v>25</v>
      </c>
      <c r="D2" s="3">
        <v>79.02</v>
      </c>
      <c r="E2" s="3">
        <v>0</v>
      </c>
      <c r="F2" s="3">
        <f>C2*D2+E2</f>
        <v>1975.5</v>
      </c>
      <c r="G2" s="74"/>
      <c r="H2" s="185"/>
      <c r="I2" s="3"/>
      <c r="J2" s="3"/>
      <c r="K2" s="3"/>
      <c r="L2" s="74" t="s">
        <v>567</v>
      </c>
      <c r="M2" s="3"/>
      <c r="O2" s="11" t="s">
        <v>57</v>
      </c>
      <c r="Q2">
        <f>C18-H18</f>
        <v>25</v>
      </c>
      <c r="T2" s="1" t="s">
        <v>210</v>
      </c>
      <c r="W2" s="133">
        <v>42615</v>
      </c>
      <c r="X2" s="10">
        <v>80.099999999999994</v>
      </c>
      <c r="Y2" s="10">
        <v>80.14</v>
      </c>
      <c r="Z2" s="10">
        <v>79.53</v>
      </c>
      <c r="AA2" s="10">
        <v>79.73</v>
      </c>
      <c r="AB2" s="95">
        <v>1305800</v>
      </c>
      <c r="AC2" s="10">
        <v>79.73</v>
      </c>
      <c r="AD2" s="2">
        <f>Y2-Z2</f>
        <v>0.60999999999999943</v>
      </c>
      <c r="AE2" s="138">
        <f>AC2/AC3-1</f>
        <v>3.7641154328738047E-4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 t="s">
        <v>566</v>
      </c>
      <c r="M3" s="4"/>
      <c r="O3" s="11" t="s">
        <v>58</v>
      </c>
      <c r="Q3" s="230">
        <f>IF(Q2=0, Q4, (F18-K18-M18)/Q2)</f>
        <v>79.02</v>
      </c>
      <c r="T3" s="1" t="s">
        <v>212</v>
      </c>
      <c r="W3" s="133">
        <v>42614</v>
      </c>
      <c r="X3" s="10">
        <v>79.900000000000006</v>
      </c>
      <c r="Y3" s="10">
        <v>80.08</v>
      </c>
      <c r="Z3" s="10">
        <v>79.16</v>
      </c>
      <c r="AA3" s="10">
        <v>79.7</v>
      </c>
      <c r="AB3" s="95">
        <v>1638000</v>
      </c>
      <c r="AC3" s="10">
        <v>79.7</v>
      </c>
      <c r="AD3" s="2">
        <f t="shared" ref="AD3:AD66" si="0">Y3-Z3</f>
        <v>0.92000000000000171</v>
      </c>
      <c r="AE3" s="138">
        <f t="shared" ref="AE3:AE66" si="1">AC3/AC4-1</f>
        <v>3.7655328228947127E-4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80.81</v>
      </c>
      <c r="T4" s="163">
        <v>42627</v>
      </c>
      <c r="U4" s="1" t="s">
        <v>565</v>
      </c>
      <c r="W4" s="133">
        <v>42613</v>
      </c>
      <c r="X4" s="10">
        <v>79.709999999999994</v>
      </c>
      <c r="Y4" s="10">
        <v>79.989999999999995</v>
      </c>
      <c r="Z4" s="10">
        <v>79.11</v>
      </c>
      <c r="AA4" s="10">
        <v>79.67</v>
      </c>
      <c r="AB4" s="95">
        <v>1657800</v>
      </c>
      <c r="AC4" s="10">
        <v>79.67</v>
      </c>
      <c r="AD4" s="2">
        <f t="shared" si="0"/>
        <v>0.87999999999999545</v>
      </c>
      <c r="AE4" s="138">
        <f t="shared" si="1"/>
        <v>-6.2719518314091616E-4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2020.25</v>
      </c>
      <c r="W5" s="133">
        <v>42612</v>
      </c>
      <c r="X5" s="10">
        <v>79.77</v>
      </c>
      <c r="Y5" s="10">
        <v>79.88</v>
      </c>
      <c r="Z5" s="10">
        <v>79.39</v>
      </c>
      <c r="AA5" s="10">
        <v>79.72</v>
      </c>
      <c r="AB5" s="95">
        <v>858300</v>
      </c>
      <c r="AC5" s="10">
        <v>79.72</v>
      </c>
      <c r="AD5" s="2">
        <f t="shared" si="0"/>
        <v>0.48999999999999488</v>
      </c>
      <c r="AE5" s="138">
        <f t="shared" si="1"/>
        <v>-6.2680205591070237E-4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1975.5</v>
      </c>
      <c r="W6" s="133">
        <v>42611</v>
      </c>
      <c r="X6" s="10">
        <v>79.38</v>
      </c>
      <c r="Y6" s="10">
        <v>79.89</v>
      </c>
      <c r="Z6" s="10">
        <v>79.239999999999995</v>
      </c>
      <c r="AA6" s="10">
        <v>79.77</v>
      </c>
      <c r="AB6" s="95">
        <v>1427000</v>
      </c>
      <c r="AC6" s="10">
        <v>79.77</v>
      </c>
      <c r="AD6" s="2">
        <f t="shared" si="0"/>
        <v>0.65000000000000568</v>
      </c>
      <c r="AE6" s="138">
        <f t="shared" si="1"/>
        <v>5.2930056710775997E-3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187</v>
      </c>
      <c r="Q7" s="2">
        <f>Q10+Q8</f>
        <v>535.69999999999891</v>
      </c>
      <c r="R7" s="30">
        <v>42639</v>
      </c>
      <c r="W7" s="133">
        <v>42608</v>
      </c>
      <c r="X7" s="10">
        <v>79.650000000000006</v>
      </c>
      <c r="Y7" s="10">
        <v>79.760000000000005</v>
      </c>
      <c r="Z7" s="10">
        <v>78.760000000000005</v>
      </c>
      <c r="AA7" s="10">
        <v>79.349999999999994</v>
      </c>
      <c r="AB7" s="95">
        <v>1743700</v>
      </c>
      <c r="AC7" s="10">
        <v>79.349999999999994</v>
      </c>
      <c r="AD7" s="2">
        <f t="shared" si="0"/>
        <v>1</v>
      </c>
      <c r="AE7" s="138">
        <f t="shared" si="1"/>
        <v>-1.2600806451623647E-4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44.75</v>
      </c>
      <c r="W8" s="133">
        <v>42607</v>
      </c>
      <c r="X8" s="10">
        <v>80.77</v>
      </c>
      <c r="Y8" s="10">
        <v>80.88</v>
      </c>
      <c r="Z8" s="10">
        <v>79.27</v>
      </c>
      <c r="AA8" s="10">
        <v>79.36</v>
      </c>
      <c r="AB8" s="95">
        <v>2097000</v>
      </c>
      <c r="AC8" s="10">
        <v>79.36</v>
      </c>
      <c r="AD8" s="2">
        <f t="shared" si="0"/>
        <v>1.6099999999999994</v>
      </c>
      <c r="AE8" s="138">
        <f t="shared" si="1"/>
        <v>-2.1213616181549044E-2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2.2652493039736776E-2</v>
      </c>
      <c r="W9" s="133">
        <v>42606</v>
      </c>
      <c r="X9" s="10">
        <v>81.849999999999994</v>
      </c>
      <c r="Y9" s="10">
        <v>82.01</v>
      </c>
      <c r="Z9" s="10">
        <v>80.87</v>
      </c>
      <c r="AA9" s="10">
        <v>81.08</v>
      </c>
      <c r="AB9" s="95">
        <v>1262100</v>
      </c>
      <c r="AC9" s="10">
        <v>81.08</v>
      </c>
      <c r="AD9" s="2">
        <f t="shared" si="0"/>
        <v>1.1400000000000006</v>
      </c>
      <c r="AE9" s="138">
        <f t="shared" si="1"/>
        <v>-1.1460619361131408E-2</v>
      </c>
    </row>
    <row r="10" spans="1:31" x14ac:dyDescent="0.25">
      <c r="H10" s="72"/>
      <c r="O10" s="11" t="s">
        <v>223</v>
      </c>
      <c r="P10" s="34"/>
      <c r="Q10" s="2">
        <f>M63</f>
        <v>490.94999999999891</v>
      </c>
      <c r="W10" s="133">
        <v>42605</v>
      </c>
      <c r="X10" s="10">
        <v>82.39</v>
      </c>
      <c r="Y10" s="10">
        <v>82.56</v>
      </c>
      <c r="Z10" s="10">
        <v>82</v>
      </c>
      <c r="AA10" s="10">
        <v>82.02</v>
      </c>
      <c r="AB10" s="95">
        <v>899300</v>
      </c>
      <c r="AC10" s="10">
        <v>82.02</v>
      </c>
      <c r="AD10" s="2">
        <f t="shared" si="0"/>
        <v>0.56000000000000227</v>
      </c>
      <c r="AE10" s="138">
        <f t="shared" si="1"/>
        <v>-1.5824710894706273E-3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2.2499999999999999E-2</v>
      </c>
      <c r="W11" s="133">
        <v>42604</v>
      </c>
      <c r="X11" s="10">
        <v>81.73</v>
      </c>
      <c r="Y11" s="10">
        <v>82.26</v>
      </c>
      <c r="Z11" s="10">
        <v>81.56</v>
      </c>
      <c r="AA11" s="10">
        <v>82.15</v>
      </c>
      <c r="AB11" s="95">
        <v>1349900</v>
      </c>
      <c r="AC11" s="10">
        <v>82.15</v>
      </c>
      <c r="AD11" s="2">
        <f t="shared" si="0"/>
        <v>0.70000000000000284</v>
      </c>
      <c r="AE11" s="138">
        <f t="shared" si="1"/>
        <v>5.2618697993147556E-3</v>
      </c>
    </row>
    <row r="12" spans="1:31" x14ac:dyDescent="0.25">
      <c r="H12" s="72"/>
      <c r="W12" s="133">
        <v>42601</v>
      </c>
      <c r="X12" s="10">
        <v>82.12</v>
      </c>
      <c r="Y12" s="10">
        <v>82.36</v>
      </c>
      <c r="Z12" s="10">
        <v>81.56</v>
      </c>
      <c r="AA12" s="10">
        <v>81.72</v>
      </c>
      <c r="AB12" s="95">
        <v>2054800</v>
      </c>
      <c r="AC12" s="10">
        <v>81.72</v>
      </c>
      <c r="AD12" s="2">
        <f t="shared" si="0"/>
        <v>0.79999999999999716</v>
      </c>
      <c r="AE12" s="138">
        <f t="shared" si="1"/>
        <v>-8.4930842028634324E-3</v>
      </c>
    </row>
    <row r="13" spans="1:31" x14ac:dyDescent="0.25">
      <c r="H13" s="72"/>
      <c r="W13" s="133">
        <v>42600</v>
      </c>
      <c r="X13" s="10">
        <v>82.61</v>
      </c>
      <c r="Y13" s="10">
        <v>82.93</v>
      </c>
      <c r="Z13" s="10">
        <v>82.34</v>
      </c>
      <c r="AA13" s="10">
        <v>82.42</v>
      </c>
      <c r="AB13" s="95">
        <v>1541100</v>
      </c>
      <c r="AC13" s="10">
        <v>82.42</v>
      </c>
      <c r="AD13" s="2">
        <f t="shared" si="0"/>
        <v>0.59000000000000341</v>
      </c>
      <c r="AE13" s="138">
        <f t="shared" si="1"/>
        <v>-4.3488765402270868E-3</v>
      </c>
    </row>
    <row r="14" spans="1:31" x14ac:dyDescent="0.25">
      <c r="H14" s="72"/>
      <c r="W14" s="133">
        <v>42599</v>
      </c>
      <c r="X14" s="10">
        <v>82.88</v>
      </c>
      <c r="Y14" s="10">
        <v>82.99</v>
      </c>
      <c r="Z14" s="10">
        <v>82.12</v>
      </c>
      <c r="AA14" s="10">
        <v>82.78</v>
      </c>
      <c r="AB14" s="95">
        <v>1491900</v>
      </c>
      <c r="AC14" s="10">
        <v>82.78</v>
      </c>
      <c r="AD14" s="2">
        <f t="shared" si="0"/>
        <v>0.86999999999999034</v>
      </c>
      <c r="AE14" s="138">
        <f t="shared" si="1"/>
        <v>1.2094823415578215E-3</v>
      </c>
    </row>
    <row r="15" spans="1:31" x14ac:dyDescent="0.25">
      <c r="H15" s="72"/>
      <c r="W15" s="133">
        <v>42598</v>
      </c>
      <c r="X15" s="10">
        <v>83</v>
      </c>
      <c r="Y15" s="10">
        <v>83.18</v>
      </c>
      <c r="Z15" s="10">
        <v>82.65</v>
      </c>
      <c r="AA15" s="10">
        <v>82.68</v>
      </c>
      <c r="AB15" s="95">
        <v>1059700</v>
      </c>
      <c r="AC15" s="10">
        <v>82.68</v>
      </c>
      <c r="AD15" s="2">
        <f t="shared" si="0"/>
        <v>0.53000000000000114</v>
      </c>
      <c r="AE15" s="138">
        <f t="shared" si="1"/>
        <v>-6.1305445366028888E-3</v>
      </c>
    </row>
    <row r="16" spans="1:31" x14ac:dyDescent="0.25">
      <c r="H16" s="72"/>
      <c r="W16" s="133">
        <v>42597</v>
      </c>
      <c r="X16" s="10">
        <v>83.25</v>
      </c>
      <c r="Y16" s="10">
        <v>83.49</v>
      </c>
      <c r="Z16" s="10">
        <v>83.05</v>
      </c>
      <c r="AA16" s="10">
        <v>83.19</v>
      </c>
      <c r="AB16" s="95">
        <v>1392900</v>
      </c>
      <c r="AC16" s="10">
        <v>83.19</v>
      </c>
      <c r="AD16" s="2">
        <f t="shared" si="0"/>
        <v>0.43999999999999773</v>
      </c>
      <c r="AE16" s="138">
        <f t="shared" si="1"/>
        <v>-4.9043062200956333E-3</v>
      </c>
    </row>
    <row r="17" spans="1:31" x14ac:dyDescent="0.25">
      <c r="H17" s="72"/>
      <c r="W17" s="133">
        <v>42594</v>
      </c>
      <c r="X17" s="10">
        <v>83.55</v>
      </c>
      <c r="Y17" s="10">
        <v>83.66</v>
      </c>
      <c r="Z17" s="10">
        <v>83.12</v>
      </c>
      <c r="AA17" s="10">
        <v>83.6</v>
      </c>
      <c r="AB17" s="95">
        <v>1025600</v>
      </c>
      <c r="AC17" s="10">
        <v>83.6</v>
      </c>
      <c r="AD17" s="2">
        <f t="shared" si="0"/>
        <v>0.53999999999999204</v>
      </c>
      <c r="AE17" s="138">
        <f t="shared" si="1"/>
        <v>-1.196029183112568E-4</v>
      </c>
    </row>
    <row r="18" spans="1:31" x14ac:dyDescent="0.25">
      <c r="A18" s="32" t="s">
        <v>81</v>
      </c>
      <c r="B18" s="14"/>
      <c r="C18" s="14">
        <f>SUM(C2:C6)</f>
        <v>25</v>
      </c>
      <c r="D18" s="18"/>
      <c r="E18" s="18"/>
      <c r="F18" s="18">
        <f>SUM(F2:F6)</f>
        <v>1975.5</v>
      </c>
      <c r="G18" s="14"/>
      <c r="H18" s="73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3">
        <v>42593</v>
      </c>
      <c r="X18" s="10">
        <v>83.69</v>
      </c>
      <c r="Y18" s="10">
        <v>83.73</v>
      </c>
      <c r="Z18" s="10">
        <v>82.65</v>
      </c>
      <c r="AA18" s="10">
        <v>83.61</v>
      </c>
      <c r="AB18" s="95">
        <v>1176000</v>
      </c>
      <c r="AC18" s="10">
        <v>83.61</v>
      </c>
      <c r="AD18" s="2">
        <f t="shared" si="0"/>
        <v>1.0799999999999983</v>
      </c>
      <c r="AE18" s="138">
        <f t="shared" si="1"/>
        <v>7.1813285457822396E-4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42592</v>
      </c>
      <c r="X19" s="10">
        <v>83.8</v>
      </c>
      <c r="Y19" s="10">
        <v>83.98</v>
      </c>
      <c r="Z19" s="10">
        <v>83.24</v>
      </c>
      <c r="AA19" s="10">
        <v>83.55</v>
      </c>
      <c r="AB19" s="95">
        <v>2212300</v>
      </c>
      <c r="AC19" s="10">
        <v>83.55</v>
      </c>
      <c r="AD19" s="2">
        <f t="shared" si="0"/>
        <v>0.74000000000000909</v>
      </c>
      <c r="AE19" s="138">
        <f t="shared" si="1"/>
        <v>-2.983293556085953E-3</v>
      </c>
    </row>
    <row r="20" spans="1:31" x14ac:dyDescent="0.25">
      <c r="W20" s="133">
        <v>42591</v>
      </c>
      <c r="X20" s="10">
        <v>83.91</v>
      </c>
      <c r="Y20" s="10">
        <v>84.05</v>
      </c>
      <c r="Z20" s="10">
        <v>83.56</v>
      </c>
      <c r="AA20" s="10">
        <v>83.8</v>
      </c>
      <c r="AB20" s="95">
        <v>1354700</v>
      </c>
      <c r="AC20" s="10">
        <v>83.8</v>
      </c>
      <c r="AD20" s="2">
        <f t="shared" si="0"/>
        <v>0.48999999999999488</v>
      </c>
      <c r="AE20" s="138">
        <f t="shared" si="1"/>
        <v>2.387204583431668E-4</v>
      </c>
    </row>
    <row r="21" spans="1:31" x14ac:dyDescent="0.25">
      <c r="W21" s="133">
        <v>42590</v>
      </c>
      <c r="X21" s="10">
        <v>84.64</v>
      </c>
      <c r="Y21" s="10">
        <v>84.7</v>
      </c>
      <c r="Z21" s="10">
        <v>83.61</v>
      </c>
      <c r="AA21" s="10">
        <v>83.78</v>
      </c>
      <c r="AB21" s="95">
        <v>1214600</v>
      </c>
      <c r="AC21" s="10">
        <v>83.78</v>
      </c>
      <c r="AD21" s="2">
        <f t="shared" si="0"/>
        <v>1.0900000000000034</v>
      </c>
      <c r="AE21" s="138">
        <f t="shared" si="1"/>
        <v>-6.8752963489805419E-3</v>
      </c>
    </row>
    <row r="22" spans="1:31" x14ac:dyDescent="0.25">
      <c r="W22" s="133">
        <v>42587</v>
      </c>
      <c r="X22" s="10">
        <v>84</v>
      </c>
      <c r="Y22" s="10">
        <v>84.74</v>
      </c>
      <c r="Z22" s="10">
        <v>83.69</v>
      </c>
      <c r="AA22" s="10">
        <v>84.36</v>
      </c>
      <c r="AB22" s="95">
        <v>1492800</v>
      </c>
      <c r="AC22" s="10">
        <v>84.36</v>
      </c>
      <c r="AD22" s="2">
        <f t="shared" si="0"/>
        <v>1.0499999999999972</v>
      </c>
      <c r="AE22" s="138">
        <f t="shared" si="1"/>
        <v>9.3323761665471405E-3</v>
      </c>
    </row>
    <row r="23" spans="1:31" x14ac:dyDescent="0.25">
      <c r="W23" s="133">
        <v>42586</v>
      </c>
      <c r="X23" s="10">
        <v>84.52</v>
      </c>
      <c r="Y23" s="10">
        <v>84.8</v>
      </c>
      <c r="Z23" s="10">
        <v>83.51</v>
      </c>
      <c r="AA23" s="10">
        <v>83.58</v>
      </c>
      <c r="AB23" s="95">
        <v>1793500</v>
      </c>
      <c r="AC23" s="10">
        <v>83.58</v>
      </c>
      <c r="AD23" s="2">
        <f t="shared" si="0"/>
        <v>1.289999999999992</v>
      </c>
      <c r="AE23" s="138">
        <f t="shared" si="1"/>
        <v>-1.2523629489603061E-2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42585</v>
      </c>
      <c r="X24" s="10">
        <v>84.74</v>
      </c>
      <c r="Y24" s="10">
        <v>84.9</v>
      </c>
      <c r="Z24" s="10">
        <v>83.24</v>
      </c>
      <c r="AA24" s="10">
        <v>84.64</v>
      </c>
      <c r="AB24" s="95">
        <v>2616500</v>
      </c>
      <c r="AC24" s="10">
        <v>84.64</v>
      </c>
      <c r="AD24" s="2">
        <f t="shared" si="0"/>
        <v>1.6600000000000108</v>
      </c>
      <c r="AE24" s="138">
        <f t="shared" si="1"/>
        <v>-3.2972209138012465E-3</v>
      </c>
    </row>
    <row r="25" spans="1:31" x14ac:dyDescent="0.25">
      <c r="B25" s="383">
        <v>42488</v>
      </c>
      <c r="C25" s="384">
        <v>30</v>
      </c>
      <c r="D25" s="385">
        <v>79.349999999999994</v>
      </c>
      <c r="E25" s="385">
        <v>78.510000000000005</v>
      </c>
      <c r="F25" s="385">
        <f t="shared" ref="F25:F37" si="3">C25*(E25-D25)</f>
        <v>-25.199999999999676</v>
      </c>
      <c r="G25" s="385">
        <f t="shared" ref="G25:G37" si="4">D25*C25</f>
        <v>2380.5</v>
      </c>
      <c r="H25" s="386">
        <f t="shared" ref="H25:H37" si="5">(E25-D25)/D25</f>
        <v>-1.0586011342154875E-2</v>
      </c>
      <c r="I25" s="385"/>
      <c r="W25" s="133">
        <v>42584</v>
      </c>
      <c r="X25" s="10">
        <v>83.04</v>
      </c>
      <c r="Y25" s="10">
        <v>85.52</v>
      </c>
      <c r="Z25" s="10">
        <v>82.01</v>
      </c>
      <c r="AA25" s="10">
        <v>84.92</v>
      </c>
      <c r="AB25" s="95">
        <v>4813800</v>
      </c>
      <c r="AC25" s="10">
        <v>84.92</v>
      </c>
      <c r="AD25" s="2">
        <f t="shared" si="0"/>
        <v>3.5099999999999909</v>
      </c>
      <c r="AE25" s="138">
        <f t="shared" si="1"/>
        <v>3.0457468753792183E-2</v>
      </c>
    </row>
    <row r="26" spans="1:31" x14ac:dyDescent="0.25">
      <c r="B26" s="383">
        <v>42494</v>
      </c>
      <c r="C26" s="384">
        <v>30</v>
      </c>
      <c r="D26" s="385">
        <v>79.349999999999994</v>
      </c>
      <c r="E26" s="385">
        <v>77.510000000000005</v>
      </c>
      <c r="F26" s="385">
        <f t="shared" si="3"/>
        <v>-55.199999999999676</v>
      </c>
      <c r="G26" s="385">
        <f t="shared" si="4"/>
        <v>2380.5</v>
      </c>
      <c r="H26" s="386">
        <f t="shared" si="5"/>
        <v>-2.3188405797101314E-2</v>
      </c>
      <c r="I26" s="385"/>
      <c r="W26" s="133">
        <v>42583</v>
      </c>
      <c r="X26" s="10">
        <v>83.21</v>
      </c>
      <c r="Y26" s="10">
        <v>83.89</v>
      </c>
      <c r="Z26" s="10">
        <v>82.1</v>
      </c>
      <c r="AA26" s="10">
        <v>82.41</v>
      </c>
      <c r="AB26" s="95">
        <v>4588000</v>
      </c>
      <c r="AC26" s="10">
        <v>82.41</v>
      </c>
      <c r="AD26" s="2">
        <f t="shared" si="0"/>
        <v>1.7900000000000063</v>
      </c>
      <c r="AE26" s="138">
        <f t="shared" si="1"/>
        <v>-1.4234449760765489E-2</v>
      </c>
    </row>
    <row r="27" spans="1:31" x14ac:dyDescent="0.25">
      <c r="B27" s="383">
        <v>42495</v>
      </c>
      <c r="C27" s="384">
        <v>50</v>
      </c>
      <c r="D27" s="385">
        <v>78.11</v>
      </c>
      <c r="E27" s="385">
        <v>78.55</v>
      </c>
      <c r="F27" s="385">
        <f t="shared" si="3"/>
        <v>21.999999999999886</v>
      </c>
      <c r="G27" s="385">
        <f t="shared" si="4"/>
        <v>3905.5</v>
      </c>
      <c r="H27" s="386">
        <f t="shared" si="5"/>
        <v>5.6330815516578894E-3</v>
      </c>
      <c r="I27" s="385"/>
      <c r="W27" s="133">
        <v>42580</v>
      </c>
      <c r="X27" s="10">
        <v>82.6</v>
      </c>
      <c r="Y27" s="10">
        <v>83.74</v>
      </c>
      <c r="Z27" s="10">
        <v>82.45</v>
      </c>
      <c r="AA27" s="10">
        <v>83.6</v>
      </c>
      <c r="AB27" s="95">
        <v>2727100</v>
      </c>
      <c r="AC27" s="10">
        <v>83.6</v>
      </c>
      <c r="AD27" s="2">
        <f t="shared" si="0"/>
        <v>1.289999999999992</v>
      </c>
      <c r="AE27" s="138">
        <f t="shared" si="1"/>
        <v>1.2596899224806002E-2</v>
      </c>
    </row>
    <row r="28" spans="1:31" x14ac:dyDescent="0.25">
      <c r="B28" s="383">
        <v>42498</v>
      </c>
      <c r="C28" s="384">
        <v>50</v>
      </c>
      <c r="D28" s="385">
        <v>78.11</v>
      </c>
      <c r="E28" s="385">
        <v>76.849999999999994</v>
      </c>
      <c r="F28" s="385">
        <f t="shared" si="3"/>
        <v>-63.000000000000256</v>
      </c>
      <c r="G28" s="385">
        <f t="shared" si="4"/>
        <v>3905.5</v>
      </c>
      <c r="H28" s="386">
        <f t="shared" si="5"/>
        <v>-1.6131097170656833E-2</v>
      </c>
      <c r="I28" s="385"/>
      <c r="W28" s="133">
        <v>42579</v>
      </c>
      <c r="X28" s="10">
        <v>83.12</v>
      </c>
      <c r="Y28" s="10">
        <v>83.23</v>
      </c>
      <c r="Z28" s="10">
        <v>82.18</v>
      </c>
      <c r="AA28" s="10">
        <v>82.56</v>
      </c>
      <c r="AB28" s="95">
        <v>3311700</v>
      </c>
      <c r="AC28" s="10">
        <v>82.56</v>
      </c>
      <c r="AD28" s="2">
        <f t="shared" si="0"/>
        <v>1.0499999999999972</v>
      </c>
      <c r="AE28" s="138">
        <f t="shared" si="1"/>
        <v>-9.3592512598992261E-3</v>
      </c>
    </row>
    <row r="29" spans="1:31" x14ac:dyDescent="0.25">
      <c r="B29" s="383">
        <v>42515</v>
      </c>
      <c r="C29" s="384">
        <v>50</v>
      </c>
      <c r="D29" s="385">
        <v>78.11</v>
      </c>
      <c r="E29" s="385">
        <v>76.73</v>
      </c>
      <c r="F29" s="385">
        <f t="shared" si="3"/>
        <v>-68.999999999999773</v>
      </c>
      <c r="G29" s="385">
        <f t="shared" si="4"/>
        <v>3905.5</v>
      </c>
      <c r="H29" s="386">
        <f t="shared" si="5"/>
        <v>-1.7667392139290687E-2</v>
      </c>
      <c r="I29" s="385"/>
      <c r="W29" s="133">
        <v>42578</v>
      </c>
      <c r="X29" s="10">
        <v>83.5</v>
      </c>
      <c r="Y29" s="10">
        <v>83.64</v>
      </c>
      <c r="Z29" s="10">
        <v>82.88</v>
      </c>
      <c r="AA29" s="10">
        <v>83.34</v>
      </c>
      <c r="AB29" s="95">
        <v>1688700</v>
      </c>
      <c r="AC29" s="10">
        <v>83.34</v>
      </c>
      <c r="AD29" s="2">
        <f t="shared" si="0"/>
        <v>0.76000000000000512</v>
      </c>
      <c r="AE29" s="138">
        <f t="shared" si="1"/>
        <v>-3.5868005738880493E-3</v>
      </c>
    </row>
    <row r="30" spans="1:31" x14ac:dyDescent="0.25">
      <c r="B30" s="383">
        <v>42518</v>
      </c>
      <c r="C30" s="384">
        <v>50</v>
      </c>
      <c r="D30" s="385">
        <v>78.11</v>
      </c>
      <c r="E30" s="385">
        <v>78.150000000000006</v>
      </c>
      <c r="F30" s="385">
        <f t="shared" si="3"/>
        <v>2.0000000000003126</v>
      </c>
      <c r="G30" s="385">
        <f t="shared" si="4"/>
        <v>3905.5</v>
      </c>
      <c r="H30" s="386">
        <f t="shared" si="5"/>
        <v>5.1209832287807259E-4</v>
      </c>
      <c r="I30" s="385"/>
      <c r="W30" s="133">
        <v>42577</v>
      </c>
      <c r="X30" s="10">
        <v>82.81</v>
      </c>
      <c r="Y30" s="10">
        <v>83.66</v>
      </c>
      <c r="Z30" s="10">
        <v>82.68</v>
      </c>
      <c r="AA30" s="10">
        <v>83.64</v>
      </c>
      <c r="AB30" s="95">
        <v>1510000</v>
      </c>
      <c r="AC30" s="10">
        <v>83.64</v>
      </c>
      <c r="AD30" s="2">
        <f t="shared" si="0"/>
        <v>0.97999999999998977</v>
      </c>
      <c r="AE30" s="138">
        <f t="shared" si="1"/>
        <v>9.413468501086264E-3</v>
      </c>
    </row>
    <row r="31" spans="1:31" x14ac:dyDescent="0.25">
      <c r="B31" s="383">
        <v>42522</v>
      </c>
      <c r="C31" s="384">
        <v>25</v>
      </c>
      <c r="D31" s="385">
        <v>77.171599999999998</v>
      </c>
      <c r="E31" s="385">
        <v>78.72</v>
      </c>
      <c r="F31" s="385">
        <f t="shared" si="3"/>
        <v>38.710000000000022</v>
      </c>
      <c r="G31" s="385">
        <f t="shared" si="4"/>
        <v>1929.29</v>
      </c>
      <c r="H31" s="386">
        <f t="shared" si="5"/>
        <v>2.0064376013974063E-2</v>
      </c>
      <c r="I31" s="385"/>
      <c r="W31" s="133">
        <v>42576</v>
      </c>
      <c r="X31" s="10">
        <v>82.85</v>
      </c>
      <c r="Y31" s="10">
        <v>82.99</v>
      </c>
      <c r="Z31" s="10">
        <v>82.04</v>
      </c>
      <c r="AA31" s="10">
        <v>82.86</v>
      </c>
      <c r="AB31" s="95">
        <v>1336800</v>
      </c>
      <c r="AC31" s="10">
        <v>82.86</v>
      </c>
      <c r="AD31" s="2">
        <f t="shared" si="0"/>
        <v>0.94999999999998863</v>
      </c>
      <c r="AE31" s="138">
        <f t="shared" si="1"/>
        <v>-1.5664537896131758E-3</v>
      </c>
    </row>
    <row r="32" spans="1:31" x14ac:dyDescent="0.25">
      <c r="B32" s="383">
        <v>42528</v>
      </c>
      <c r="C32" s="384">
        <v>25</v>
      </c>
      <c r="D32" s="385">
        <v>77.171599999999998</v>
      </c>
      <c r="E32" s="385">
        <v>80.42</v>
      </c>
      <c r="F32" s="385">
        <f t="shared" si="3"/>
        <v>81.210000000000093</v>
      </c>
      <c r="G32" s="385">
        <f t="shared" si="4"/>
        <v>1929.29</v>
      </c>
      <c r="H32" s="386">
        <f t="shared" si="5"/>
        <v>4.209320527240596E-2</v>
      </c>
      <c r="I32" s="385"/>
      <c r="W32" s="133">
        <v>42573</v>
      </c>
      <c r="X32" s="10">
        <v>82.91</v>
      </c>
      <c r="Y32" s="10">
        <v>83.14</v>
      </c>
      <c r="Z32" s="10">
        <v>82.57</v>
      </c>
      <c r="AA32" s="10">
        <v>82.99</v>
      </c>
      <c r="AB32" s="95">
        <v>1253300</v>
      </c>
      <c r="AC32" s="10">
        <v>82.99</v>
      </c>
      <c r="AD32" s="2">
        <f t="shared" si="0"/>
        <v>0.57000000000000739</v>
      </c>
      <c r="AE32" s="138">
        <f t="shared" si="1"/>
        <v>4.5999273695678244E-3</v>
      </c>
    </row>
    <row r="33" spans="2:31" x14ac:dyDescent="0.25">
      <c r="B33" s="383">
        <v>42534</v>
      </c>
      <c r="C33" s="384">
        <v>25</v>
      </c>
      <c r="D33" s="385">
        <v>77.171599999999998</v>
      </c>
      <c r="E33" s="385">
        <v>78.2</v>
      </c>
      <c r="F33" s="385">
        <f t="shared" si="3"/>
        <v>25.710000000000122</v>
      </c>
      <c r="G33" s="385">
        <f t="shared" si="4"/>
        <v>1929.29</v>
      </c>
      <c r="H33" s="386">
        <f t="shared" si="5"/>
        <v>1.3326145887865548E-2</v>
      </c>
      <c r="I33" s="385"/>
      <c r="W33" s="133">
        <v>42572</v>
      </c>
      <c r="X33" s="10">
        <v>83.24</v>
      </c>
      <c r="Y33" s="10">
        <v>83.55</v>
      </c>
      <c r="Z33" s="10">
        <v>82.27</v>
      </c>
      <c r="AA33" s="10">
        <v>82.61</v>
      </c>
      <c r="AB33" s="95">
        <v>1772100</v>
      </c>
      <c r="AC33" s="10">
        <v>82.61</v>
      </c>
      <c r="AD33" s="2">
        <f t="shared" si="0"/>
        <v>1.2800000000000011</v>
      </c>
      <c r="AE33" s="138">
        <f t="shared" si="1"/>
        <v>-8.1642454076120696E-3</v>
      </c>
    </row>
    <row r="34" spans="2:31" x14ac:dyDescent="0.25">
      <c r="B34" s="383">
        <v>42537</v>
      </c>
      <c r="C34" s="384">
        <v>50</v>
      </c>
      <c r="D34" s="385">
        <v>76.525800000000004</v>
      </c>
      <c r="E34" s="385">
        <v>76.540000000000006</v>
      </c>
      <c r="F34" s="385">
        <f t="shared" si="3"/>
        <v>0.71000000000012164</v>
      </c>
      <c r="G34" s="385">
        <f t="shared" si="4"/>
        <v>3826.29</v>
      </c>
      <c r="H34" s="386">
        <f t="shared" si="5"/>
        <v>1.8555833457477652E-4</v>
      </c>
      <c r="I34" s="385"/>
      <c r="W34" s="133">
        <v>42571</v>
      </c>
      <c r="X34" s="10">
        <v>82.93</v>
      </c>
      <c r="Y34" s="10">
        <v>83.54</v>
      </c>
      <c r="Z34" s="10">
        <v>82.57</v>
      </c>
      <c r="AA34" s="10">
        <v>83.29</v>
      </c>
      <c r="AB34" s="95">
        <v>1300800</v>
      </c>
      <c r="AC34" s="10">
        <v>83.29</v>
      </c>
      <c r="AD34" s="2">
        <f t="shared" si="0"/>
        <v>0.97000000000001307</v>
      </c>
      <c r="AE34" s="138">
        <f t="shared" si="1"/>
        <v>5.6749577396766338E-3</v>
      </c>
    </row>
    <row r="35" spans="2:31" x14ac:dyDescent="0.25">
      <c r="B35" s="383">
        <v>42546</v>
      </c>
      <c r="C35" s="384">
        <v>50</v>
      </c>
      <c r="D35" s="385">
        <v>76.53</v>
      </c>
      <c r="E35" s="385">
        <v>75.23</v>
      </c>
      <c r="F35" s="385">
        <f t="shared" si="3"/>
        <v>-64.999999999999858</v>
      </c>
      <c r="G35" s="385">
        <f t="shared" si="4"/>
        <v>3826.5</v>
      </c>
      <c r="H35" s="386">
        <f t="shared" si="5"/>
        <v>-1.6986802561087117E-2</v>
      </c>
      <c r="I35" s="385"/>
      <c r="W35" s="133">
        <v>42570</v>
      </c>
      <c r="X35" s="10">
        <v>82.94</v>
      </c>
      <c r="Y35" s="10">
        <v>83.5</v>
      </c>
      <c r="Z35" s="10">
        <v>82.38</v>
      </c>
      <c r="AA35" s="10">
        <v>82.82</v>
      </c>
      <c r="AB35" s="95">
        <v>1739100</v>
      </c>
      <c r="AC35" s="10">
        <v>82.82</v>
      </c>
      <c r="AD35" s="2">
        <f t="shared" si="0"/>
        <v>1.1200000000000045</v>
      </c>
      <c r="AE35" s="138">
        <f t="shared" si="1"/>
        <v>-4.6869366662660727E-3</v>
      </c>
    </row>
    <row r="36" spans="2:31" x14ac:dyDescent="0.25">
      <c r="B36" s="383">
        <v>42548</v>
      </c>
      <c r="C36" s="384">
        <v>75</v>
      </c>
      <c r="D36" s="385">
        <v>75.543899999999994</v>
      </c>
      <c r="E36" s="385">
        <v>73.69</v>
      </c>
      <c r="F36" s="385">
        <f t="shared" si="3"/>
        <v>-139.04249999999968</v>
      </c>
      <c r="G36" s="385">
        <f t="shared" si="4"/>
        <v>5665.7924999999996</v>
      </c>
      <c r="H36" s="386">
        <f t="shared" si="5"/>
        <v>-2.4540697528192164E-2</v>
      </c>
      <c r="I36" s="385"/>
      <c r="W36" s="133">
        <v>42569</v>
      </c>
      <c r="X36" s="10">
        <v>82.5</v>
      </c>
      <c r="Y36" s="10">
        <v>83.32</v>
      </c>
      <c r="Z36" s="10">
        <v>82.29</v>
      </c>
      <c r="AA36" s="10">
        <v>83.21</v>
      </c>
      <c r="AB36" s="95">
        <v>1587700</v>
      </c>
      <c r="AC36" s="10">
        <v>83.21</v>
      </c>
      <c r="AD36" s="2">
        <f t="shared" si="0"/>
        <v>1.0299999999999869</v>
      </c>
      <c r="AE36" s="138">
        <f t="shared" si="1"/>
        <v>1.0320543953375338E-2</v>
      </c>
    </row>
    <row r="37" spans="2:31" x14ac:dyDescent="0.25">
      <c r="B37" s="383">
        <v>42549</v>
      </c>
      <c r="C37" s="384">
        <v>75</v>
      </c>
      <c r="D37" s="385">
        <v>75.543899999999994</v>
      </c>
      <c r="E37" s="385">
        <v>75.430000000000007</v>
      </c>
      <c r="F37" s="385">
        <f t="shared" si="3"/>
        <v>-8.5424999999990092</v>
      </c>
      <c r="G37" s="385">
        <f t="shared" si="4"/>
        <v>5665.7924999999996</v>
      </c>
      <c r="H37" s="386">
        <f t="shared" si="5"/>
        <v>-1.5077325899243593E-3</v>
      </c>
      <c r="I37" s="385"/>
      <c r="W37" s="133">
        <v>42566</v>
      </c>
      <c r="X37" s="10">
        <v>83.02</v>
      </c>
      <c r="Y37" s="10">
        <v>83.28</v>
      </c>
      <c r="Z37" s="10">
        <v>82.12</v>
      </c>
      <c r="AA37" s="10">
        <v>82.36</v>
      </c>
      <c r="AB37" s="95">
        <v>2379200</v>
      </c>
      <c r="AC37" s="10">
        <v>82.36</v>
      </c>
      <c r="AD37" s="2">
        <f t="shared" si="0"/>
        <v>1.1599999999999966</v>
      </c>
      <c r="AE37" s="138">
        <f t="shared" si="1"/>
        <v>-7.3520549596239881E-3</v>
      </c>
    </row>
    <row r="38" spans="2:31" x14ac:dyDescent="0.25">
      <c r="B38" s="383">
        <v>42550</v>
      </c>
      <c r="C38" s="384">
        <v>75</v>
      </c>
      <c r="D38" s="385">
        <v>75.543899999999994</v>
      </c>
      <c r="E38" s="385">
        <v>77.290000000000006</v>
      </c>
      <c r="F38" s="385">
        <f t="shared" ref="F38:F39" si="6">C38*(E38-D38)</f>
        <v>130.95750000000095</v>
      </c>
      <c r="G38" s="385">
        <f t="shared" ref="G38:G39" si="7">D38*C38</f>
        <v>5665.7924999999996</v>
      </c>
      <c r="H38" s="386">
        <f t="shared" ref="H38:H39" si="8">(E38-D38)/D38</f>
        <v>2.3113712688913504E-2</v>
      </c>
      <c r="I38" s="385"/>
      <c r="W38" s="133">
        <v>42565</v>
      </c>
      <c r="X38" s="10">
        <v>82.76</v>
      </c>
      <c r="Y38" s="10">
        <v>83.42</v>
      </c>
      <c r="Z38" s="10">
        <v>82.54</v>
      </c>
      <c r="AA38" s="10">
        <v>82.97</v>
      </c>
      <c r="AB38" s="95">
        <v>1742800</v>
      </c>
      <c r="AC38" s="10">
        <v>82.97</v>
      </c>
      <c r="AD38" s="2">
        <f t="shared" si="0"/>
        <v>0.87999999999999545</v>
      </c>
      <c r="AE38" s="138">
        <f t="shared" si="1"/>
        <v>8.3859990277102003E-3</v>
      </c>
    </row>
    <row r="39" spans="2:31" x14ac:dyDescent="0.25">
      <c r="B39" s="383">
        <v>42552</v>
      </c>
      <c r="C39" s="384">
        <v>50</v>
      </c>
      <c r="D39" s="385">
        <v>74.176599999999993</v>
      </c>
      <c r="E39" s="385">
        <v>78.28</v>
      </c>
      <c r="F39" s="385">
        <f t="shared" si="6"/>
        <v>205.17000000000039</v>
      </c>
      <c r="G39" s="385">
        <f t="shared" si="7"/>
        <v>3708.8299999999995</v>
      </c>
      <c r="H39" s="386">
        <f t="shared" si="8"/>
        <v>5.5319332511870427E-2</v>
      </c>
      <c r="I39" s="385"/>
      <c r="W39" s="133">
        <v>42564</v>
      </c>
      <c r="X39" s="10">
        <v>82.14</v>
      </c>
      <c r="Y39" s="10">
        <v>82.87</v>
      </c>
      <c r="Z39" s="10">
        <v>81.97</v>
      </c>
      <c r="AA39" s="10">
        <v>82.28</v>
      </c>
      <c r="AB39" s="95">
        <v>1942600</v>
      </c>
      <c r="AC39" s="10">
        <v>82.28</v>
      </c>
      <c r="AD39" s="2">
        <f t="shared" si="0"/>
        <v>0.90000000000000568</v>
      </c>
      <c r="AE39" s="138">
        <f t="shared" si="1"/>
        <v>6.2370062370062929E-3</v>
      </c>
    </row>
    <row r="40" spans="2:31" ht="20.25" thickBot="1" x14ac:dyDescent="0.35">
      <c r="B40" s="383">
        <v>42557</v>
      </c>
      <c r="C40" s="384">
        <v>50</v>
      </c>
      <c r="D40" s="385">
        <v>74.176599999999993</v>
      </c>
      <c r="E40" s="385">
        <v>79.989999999999995</v>
      </c>
      <c r="F40" s="385">
        <f t="shared" ref="F40" si="9">C40*(E40-D40)</f>
        <v>290.67000000000007</v>
      </c>
      <c r="G40" s="385">
        <f t="shared" ref="G40" si="10">D40*C40</f>
        <v>3708.8299999999995</v>
      </c>
      <c r="H40" s="386">
        <f t="shared" ref="H40" si="11">(E40-D40)/D40</f>
        <v>7.837242472693548E-2</v>
      </c>
      <c r="I40" s="385"/>
      <c r="O40" s="545" t="s">
        <v>78</v>
      </c>
      <c r="P40" s="545"/>
      <c r="W40" s="133">
        <v>42563</v>
      </c>
      <c r="X40" s="10">
        <v>81.150000000000006</v>
      </c>
      <c r="Y40" s="10">
        <v>82</v>
      </c>
      <c r="Z40" s="10">
        <v>81.12</v>
      </c>
      <c r="AA40" s="10">
        <v>81.77</v>
      </c>
      <c r="AB40" s="95">
        <v>2668700</v>
      </c>
      <c r="AC40" s="10">
        <v>81.77</v>
      </c>
      <c r="AD40" s="2">
        <f t="shared" si="0"/>
        <v>0.87999999999999545</v>
      </c>
      <c r="AE40" s="138">
        <f t="shared" si="1"/>
        <v>8.7589439921045287E-3</v>
      </c>
    </row>
    <row r="41" spans="2:31" ht="15.75" thickTop="1" x14ac:dyDescent="0.25">
      <c r="B41" s="383">
        <v>42562</v>
      </c>
      <c r="C41" s="384">
        <v>50</v>
      </c>
      <c r="D41" s="385">
        <v>74.176599999999993</v>
      </c>
      <c r="E41" s="385">
        <v>81.06</v>
      </c>
      <c r="F41" s="385">
        <f t="shared" ref="F41" si="12">C41*(E41-D41)</f>
        <v>344.17000000000041</v>
      </c>
      <c r="G41" s="385">
        <f t="shared" ref="G41" si="13">D41*C41</f>
        <v>3708.8299999999995</v>
      </c>
      <c r="H41" s="386">
        <f t="shared" ref="H41" si="14">(E41-D41)/D41</f>
        <v>9.2797459036947083E-2</v>
      </c>
      <c r="I41" s="385"/>
      <c r="O41" s="83">
        <v>1.1000000000000001</v>
      </c>
      <c r="P41" s="83">
        <f>O41*$Q$4</f>
        <v>88.891000000000005</v>
      </c>
      <c r="Q41" s="2"/>
      <c r="W41" s="133">
        <v>42562</v>
      </c>
      <c r="X41" s="10">
        <v>80.5</v>
      </c>
      <c r="Y41" s="10">
        <v>81.45</v>
      </c>
      <c r="Z41" s="10">
        <v>80.38</v>
      </c>
      <c r="AA41" s="10">
        <v>81.06</v>
      </c>
      <c r="AB41" s="95">
        <v>1818400</v>
      </c>
      <c r="AC41" s="10">
        <v>81.06</v>
      </c>
      <c r="AD41" s="2">
        <f t="shared" si="0"/>
        <v>1.0700000000000074</v>
      </c>
      <c r="AE41" s="138">
        <f t="shared" si="1"/>
        <v>8.4598158745956553E-3</v>
      </c>
    </row>
    <row r="42" spans="2:31" ht="20.25" thickBot="1" x14ac:dyDescent="0.35">
      <c r="B42" s="383">
        <v>42566</v>
      </c>
      <c r="C42" s="384">
        <v>50</v>
      </c>
      <c r="D42" s="385">
        <v>74.176599999999993</v>
      </c>
      <c r="E42" s="385">
        <v>82.36</v>
      </c>
      <c r="F42" s="385">
        <f t="shared" ref="F42" si="15">C42*(E42-D42)</f>
        <v>409.1700000000003</v>
      </c>
      <c r="G42" s="385">
        <f t="shared" ref="G42" si="16">D42*C42</f>
        <v>3708.8299999999995</v>
      </c>
      <c r="H42" s="386">
        <f t="shared" ref="H42" si="17">(E42-D42)/D42</f>
        <v>0.11032320165658721</v>
      </c>
      <c r="I42" s="492">
        <v>72.5</v>
      </c>
      <c r="O42" s="83">
        <v>1.0900000000000001</v>
      </c>
      <c r="P42" s="83">
        <f t="shared" ref="P42:P61" si="18">O42*$Q$4</f>
        <v>88.082900000000009</v>
      </c>
      <c r="Q42" s="2"/>
      <c r="T42" s="91" t="s">
        <v>113</v>
      </c>
      <c r="W42" s="133">
        <v>42559</v>
      </c>
      <c r="X42" s="10">
        <v>79.55</v>
      </c>
      <c r="Y42" s="10">
        <v>80.44</v>
      </c>
      <c r="Z42" s="10">
        <v>79.34</v>
      </c>
      <c r="AA42" s="10">
        <v>80.38</v>
      </c>
      <c r="AB42" s="95">
        <v>2900400</v>
      </c>
      <c r="AC42" s="10">
        <v>80.38</v>
      </c>
      <c r="AD42" s="2">
        <f t="shared" si="0"/>
        <v>1.0999999999999943</v>
      </c>
      <c r="AE42" s="138">
        <f t="shared" si="1"/>
        <v>1.1832829808660517E-2</v>
      </c>
    </row>
    <row r="43" spans="2:31" ht="15.75" thickTop="1" x14ac:dyDescent="0.25">
      <c r="B43" s="383">
        <v>42569</v>
      </c>
      <c r="C43" s="384">
        <v>50</v>
      </c>
      <c r="D43" s="385">
        <v>73.503200000000007</v>
      </c>
      <c r="E43" s="385">
        <v>83.21</v>
      </c>
      <c r="F43" s="385">
        <f t="shared" ref="F43" si="19">C43*(E43-D43)</f>
        <v>485.33999999999935</v>
      </c>
      <c r="G43" s="385">
        <f t="shared" ref="G43" si="20">D43*C43</f>
        <v>3675.1600000000003</v>
      </c>
      <c r="H43" s="386">
        <f t="shared" ref="H43" si="21">(E43-D43)/D43</f>
        <v>0.13205955659073326</v>
      </c>
      <c r="I43" s="385" t="s">
        <v>280</v>
      </c>
      <c r="O43" s="83">
        <v>1.08</v>
      </c>
      <c r="P43" s="83">
        <f t="shared" si="18"/>
        <v>87.274800000000013</v>
      </c>
      <c r="Q43" s="2"/>
      <c r="T43" s="128" t="s">
        <v>98</v>
      </c>
      <c r="U43" s="98">
        <v>79.7</v>
      </c>
      <c r="W43" s="133">
        <v>42558</v>
      </c>
      <c r="X43" s="10">
        <v>79.08</v>
      </c>
      <c r="Y43" s="10">
        <v>80.180000000000007</v>
      </c>
      <c r="Z43" s="10">
        <v>78.680000000000007</v>
      </c>
      <c r="AA43" s="10">
        <v>79.44</v>
      </c>
      <c r="AB43" s="95">
        <v>3949600</v>
      </c>
      <c r="AC43" s="10">
        <v>79.44</v>
      </c>
      <c r="AD43" s="2">
        <f t="shared" si="0"/>
        <v>1.5</v>
      </c>
      <c r="AE43" s="138">
        <f t="shared" si="1"/>
        <v>-6.8758594824352981E-3</v>
      </c>
    </row>
    <row r="44" spans="2:31" x14ac:dyDescent="0.25">
      <c r="B44" s="383">
        <v>42570</v>
      </c>
      <c r="C44" s="384">
        <v>50</v>
      </c>
      <c r="D44" s="385">
        <v>73.503200000000007</v>
      </c>
      <c r="E44" s="385">
        <v>82.82</v>
      </c>
      <c r="F44" s="385">
        <f t="shared" ref="F44:F45" si="22">C44*(E44-D44)</f>
        <v>465.83999999999935</v>
      </c>
      <c r="G44" s="385">
        <f>D44*C44</f>
        <v>3675.1600000000003</v>
      </c>
      <c r="H44" s="386">
        <f t="shared" ref="H44:H45" si="23">(E44-D44)/D44</f>
        <v>0.12675366514655126</v>
      </c>
      <c r="I44" s="385"/>
      <c r="O44" s="83">
        <v>1.07</v>
      </c>
      <c r="P44" s="83">
        <f t="shared" si="18"/>
        <v>86.466700000000003</v>
      </c>
      <c r="Q44" s="2"/>
      <c r="T44" s="93" t="s">
        <v>99</v>
      </c>
      <c r="U44" s="88">
        <v>80.099999999999994</v>
      </c>
      <c r="W44" s="133">
        <v>42557</v>
      </c>
      <c r="X44" s="10">
        <v>78.180000000000007</v>
      </c>
      <c r="Y44" s="10">
        <v>80.47</v>
      </c>
      <c r="Z44" s="10">
        <v>77.77</v>
      </c>
      <c r="AA44" s="10">
        <v>79.989999999999995</v>
      </c>
      <c r="AB44" s="95">
        <v>2853000</v>
      </c>
      <c r="AC44" s="10">
        <v>79.989999999999995</v>
      </c>
      <c r="AD44" s="2">
        <f t="shared" si="0"/>
        <v>2.7000000000000028</v>
      </c>
      <c r="AE44" s="138">
        <f t="shared" si="1"/>
        <v>2.2497763006519067E-2</v>
      </c>
    </row>
    <row r="45" spans="2:31" x14ac:dyDescent="0.25">
      <c r="B45" s="383">
        <v>42577</v>
      </c>
      <c r="C45" s="384">
        <v>40</v>
      </c>
      <c r="D45" s="385">
        <v>71.054500000000004</v>
      </c>
      <c r="E45" s="385">
        <v>83.64</v>
      </c>
      <c r="F45" s="385">
        <f t="shared" si="22"/>
        <v>503.41999999999985</v>
      </c>
      <c r="G45" s="385">
        <f>D45*C45</f>
        <v>2842.1800000000003</v>
      </c>
      <c r="H45" s="386">
        <f t="shared" si="23"/>
        <v>0.17712460153825579</v>
      </c>
      <c r="I45" s="385"/>
      <c r="O45" s="83">
        <v>1.06</v>
      </c>
      <c r="P45" s="83">
        <f t="shared" si="18"/>
        <v>85.658600000000007</v>
      </c>
      <c r="Q45" s="2"/>
      <c r="T45" s="93" t="s">
        <v>100</v>
      </c>
      <c r="U45" s="88" t="s">
        <v>553</v>
      </c>
      <c r="W45" s="133">
        <v>42556</v>
      </c>
      <c r="X45" s="10">
        <v>77.91</v>
      </c>
      <c r="Y45" s="10">
        <v>78.69</v>
      </c>
      <c r="Z45" s="10">
        <v>77.72</v>
      </c>
      <c r="AA45" s="10">
        <v>78.23</v>
      </c>
      <c r="AB45" s="95">
        <v>2576200</v>
      </c>
      <c r="AC45" s="10">
        <v>78.23</v>
      </c>
      <c r="AD45" s="2">
        <f t="shared" si="0"/>
        <v>0.96999999999999886</v>
      </c>
      <c r="AE45" s="138">
        <f t="shared" si="1"/>
        <v>-7.6638140247797804E-4</v>
      </c>
    </row>
    <row r="46" spans="2:31" x14ac:dyDescent="0.25">
      <c r="B46" s="383">
        <v>42580</v>
      </c>
      <c r="C46" s="384">
        <v>0</v>
      </c>
      <c r="D46" s="385"/>
      <c r="E46" s="385"/>
      <c r="F46" s="385">
        <v>490.95</v>
      </c>
      <c r="G46" s="385"/>
      <c r="H46" s="386"/>
      <c r="I46" s="385"/>
      <c r="O46" s="83">
        <v>1.05</v>
      </c>
      <c r="P46" s="83">
        <f t="shared" si="18"/>
        <v>84.850500000000011</v>
      </c>
      <c r="Q46" s="2"/>
      <c r="T46" s="93" t="s">
        <v>101</v>
      </c>
      <c r="U46" s="88" t="s">
        <v>554</v>
      </c>
      <c r="W46" s="133">
        <v>42552</v>
      </c>
      <c r="X46" s="10">
        <v>77.92</v>
      </c>
      <c r="Y46" s="10">
        <v>78.38</v>
      </c>
      <c r="Z46" s="10">
        <v>77.63</v>
      </c>
      <c r="AA46" s="10">
        <v>78.290000000000006</v>
      </c>
      <c r="AB46" s="95">
        <v>2303000</v>
      </c>
      <c r="AC46" s="10">
        <v>78.290000000000006</v>
      </c>
      <c r="AD46" s="2">
        <f t="shared" si="0"/>
        <v>0.75</v>
      </c>
      <c r="AE46" s="138">
        <f t="shared" si="1"/>
        <v>3.5892834252018169E-3</v>
      </c>
    </row>
    <row r="47" spans="2:31" x14ac:dyDescent="0.25">
      <c r="B47" s="193">
        <v>42608</v>
      </c>
      <c r="C47" s="10">
        <v>25</v>
      </c>
      <c r="D47" s="40">
        <v>79.02</v>
      </c>
      <c r="E47" s="40">
        <v>79.349999999999994</v>
      </c>
      <c r="F47" s="40">
        <f t="shared" ref="F47" si="24">C47*(E47-D47)</f>
        <v>8.2499999999999574</v>
      </c>
      <c r="G47" s="40">
        <f>D47*C47</f>
        <v>1975.5</v>
      </c>
      <c r="H47" s="231">
        <f t="shared" ref="H47" si="25">(E47-D47)/D47</f>
        <v>4.176157934700055E-3</v>
      </c>
      <c r="I47" s="40"/>
      <c r="O47" s="83">
        <v>1.04</v>
      </c>
      <c r="P47" s="83">
        <f t="shared" si="18"/>
        <v>84.042400000000001</v>
      </c>
      <c r="Q47" s="2"/>
      <c r="T47" s="93" t="s">
        <v>102</v>
      </c>
      <c r="U47" s="88">
        <v>93.86</v>
      </c>
      <c r="W47" s="133">
        <v>42551</v>
      </c>
      <c r="X47" s="10">
        <v>77.36</v>
      </c>
      <c r="Y47" s="10">
        <v>78.17</v>
      </c>
      <c r="Z47" s="10">
        <v>76.97</v>
      </c>
      <c r="AA47" s="10">
        <v>78.010000000000005</v>
      </c>
      <c r="AB47" s="95">
        <v>2992900</v>
      </c>
      <c r="AC47" s="10">
        <v>78.010000000000005</v>
      </c>
      <c r="AD47" s="2">
        <f t="shared" si="0"/>
        <v>1.2000000000000028</v>
      </c>
      <c r="AE47" s="138">
        <f t="shared" si="1"/>
        <v>9.3155647561133925E-3</v>
      </c>
    </row>
    <row r="48" spans="2:31" x14ac:dyDescent="0.25">
      <c r="B48" s="193">
        <v>42611</v>
      </c>
      <c r="C48" s="10">
        <v>25</v>
      </c>
      <c r="D48" s="40">
        <v>79.02</v>
      </c>
      <c r="E48" s="40">
        <v>79.77</v>
      </c>
      <c r="F48" s="40">
        <f t="shared" ref="F48" si="26">C48*(E48-D48)</f>
        <v>18.75</v>
      </c>
      <c r="G48" s="40">
        <f>D48*C48</f>
        <v>1975.5</v>
      </c>
      <c r="H48" s="231">
        <f t="shared" ref="H48" si="27">(E48-D48)/D48</f>
        <v>9.4912680334092638E-3</v>
      </c>
      <c r="I48" s="40"/>
      <c r="O48" s="83">
        <v>1.03</v>
      </c>
      <c r="P48" s="83">
        <f t="shared" si="18"/>
        <v>83.234300000000005</v>
      </c>
      <c r="Q48" s="2"/>
      <c r="T48" s="93" t="s">
        <v>103</v>
      </c>
      <c r="U48" s="88">
        <v>0.84487299999999999</v>
      </c>
      <c r="W48" s="133">
        <v>42550</v>
      </c>
      <c r="X48" s="10">
        <v>75.97</v>
      </c>
      <c r="Y48" s="10">
        <v>77.45</v>
      </c>
      <c r="Z48" s="10">
        <v>75.69</v>
      </c>
      <c r="AA48" s="10">
        <v>77.290000000000006</v>
      </c>
      <c r="AB48" s="95">
        <v>2305800</v>
      </c>
      <c r="AC48" s="10">
        <v>77.290000000000006</v>
      </c>
      <c r="AD48" s="2">
        <f t="shared" si="0"/>
        <v>1.7600000000000051</v>
      </c>
      <c r="AE48" s="138" t="e">
        <f t="shared" si="1"/>
        <v>#DIV/0!</v>
      </c>
    </row>
    <row r="49" spans="1:31" x14ac:dyDescent="0.25">
      <c r="B49" s="193">
        <v>42619</v>
      </c>
      <c r="C49" s="10">
        <v>25</v>
      </c>
      <c r="D49" s="40">
        <v>79.02</v>
      </c>
      <c r="E49" s="40">
        <v>80.81</v>
      </c>
      <c r="F49" s="40">
        <f t="shared" ref="F49" si="28">C49*(E49-D49)</f>
        <v>44.750000000000156</v>
      </c>
      <c r="G49" s="40">
        <f>D49*C49</f>
        <v>1975.5</v>
      </c>
      <c r="H49" s="231">
        <f t="shared" ref="H49" si="29">(E49-D49)/D49</f>
        <v>2.2652493039736855E-2</v>
      </c>
      <c r="I49" s="40"/>
      <c r="O49" s="83">
        <v>1.02</v>
      </c>
      <c r="P49" s="83">
        <f t="shared" si="18"/>
        <v>82.426200000000009</v>
      </c>
      <c r="Q49" s="2"/>
      <c r="T49" s="93" t="s">
        <v>123</v>
      </c>
      <c r="U49" s="88" t="s">
        <v>339</v>
      </c>
      <c r="W49" s="133">
        <v>42550</v>
      </c>
      <c r="X49" s="10" t="s">
        <v>267</v>
      </c>
      <c r="Y49" s="10"/>
      <c r="Z49" s="10"/>
      <c r="AA49" s="10"/>
      <c r="AB49" s="95"/>
      <c r="AC49" s="10"/>
      <c r="AD49" s="2">
        <f t="shared" si="0"/>
        <v>0</v>
      </c>
      <c r="AE49" s="138">
        <f t="shared" si="1"/>
        <v>-1</v>
      </c>
    </row>
    <row r="50" spans="1:31" x14ac:dyDescent="0.25">
      <c r="B50" s="193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18"/>
        <v>81.618099999999998</v>
      </c>
      <c r="Q50" s="2"/>
      <c r="T50" s="93"/>
      <c r="U50" s="88"/>
      <c r="W50" s="133">
        <v>42549</v>
      </c>
      <c r="X50" s="10">
        <v>75.16</v>
      </c>
      <c r="Y50" s="10">
        <v>75.44</v>
      </c>
      <c r="Z50" s="10">
        <v>73.98</v>
      </c>
      <c r="AA50" s="10">
        <v>75.430000000000007</v>
      </c>
      <c r="AB50" s="95">
        <v>2888300</v>
      </c>
      <c r="AC50" s="10">
        <v>74.98</v>
      </c>
      <c r="AD50" s="2">
        <f t="shared" si="0"/>
        <v>1.4599999999999937</v>
      </c>
      <c r="AE50" s="138">
        <f t="shared" si="1"/>
        <v>2.3617747440273007E-2</v>
      </c>
    </row>
    <row r="51" spans="1:31" x14ac:dyDescent="0.25">
      <c r="B51" s="193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18"/>
        <v>80.81</v>
      </c>
      <c r="Q51" s="2"/>
      <c r="T51" s="93" t="s">
        <v>105</v>
      </c>
      <c r="U51" s="88" t="s">
        <v>555</v>
      </c>
      <c r="W51" s="133">
        <v>42548</v>
      </c>
      <c r="X51" s="10">
        <v>74.84</v>
      </c>
      <c r="Y51" s="10">
        <v>75.150000000000006</v>
      </c>
      <c r="Z51" s="10">
        <v>73.25</v>
      </c>
      <c r="AA51" s="10">
        <v>73.69</v>
      </c>
      <c r="AB51" s="95">
        <v>2078500</v>
      </c>
      <c r="AC51" s="10">
        <v>73.25</v>
      </c>
      <c r="AD51" s="2">
        <f t="shared" si="0"/>
        <v>1.9000000000000057</v>
      </c>
      <c r="AE51" s="138">
        <f t="shared" si="1"/>
        <v>-2.0460016047071372E-2</v>
      </c>
    </row>
    <row r="52" spans="1:31" x14ac:dyDescent="0.25">
      <c r="B52" s="193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18"/>
        <v>80.001900000000006</v>
      </c>
      <c r="Q52" s="2"/>
      <c r="T52" s="93" t="s">
        <v>106</v>
      </c>
      <c r="U52" s="88" t="s">
        <v>290</v>
      </c>
      <c r="W52" s="133">
        <v>42545</v>
      </c>
      <c r="X52" s="10">
        <v>75.64</v>
      </c>
      <c r="Y52" s="10">
        <v>76.25</v>
      </c>
      <c r="Z52" s="10">
        <v>75.040000000000006</v>
      </c>
      <c r="AA52" s="10">
        <v>75.23</v>
      </c>
      <c r="AB52" s="95">
        <v>3282000</v>
      </c>
      <c r="AC52" s="10">
        <v>74.78</v>
      </c>
      <c r="AD52" s="2">
        <f t="shared" si="0"/>
        <v>1.2099999999999937</v>
      </c>
      <c r="AE52" s="138">
        <f t="shared" si="1"/>
        <v>-3.6960721184803647E-2</v>
      </c>
    </row>
    <row r="53" spans="1:31" x14ac:dyDescent="0.25">
      <c r="B53" s="193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8"/>
        <v>79.193799999999996</v>
      </c>
      <c r="Q53" s="2"/>
      <c r="T53" s="93" t="s">
        <v>107</v>
      </c>
      <c r="U53" s="90">
        <v>1309972</v>
      </c>
      <c r="W53" s="133">
        <v>42544</v>
      </c>
      <c r="X53" s="10">
        <v>77.98</v>
      </c>
      <c r="Y53" s="10">
        <v>78.14</v>
      </c>
      <c r="Z53" s="10">
        <v>77.44</v>
      </c>
      <c r="AA53" s="10">
        <v>78.12</v>
      </c>
      <c r="AB53" s="95">
        <v>1279300</v>
      </c>
      <c r="AC53" s="10">
        <v>77.650000000000006</v>
      </c>
      <c r="AD53" s="2">
        <f t="shared" si="0"/>
        <v>0.70000000000000284</v>
      </c>
      <c r="AE53" s="138">
        <f t="shared" si="1"/>
        <v>1.3972316531731588E-2</v>
      </c>
    </row>
    <row r="54" spans="1:31" x14ac:dyDescent="0.25">
      <c r="B54" s="193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8"/>
        <v>78.3857</v>
      </c>
      <c r="T54" s="93" t="s">
        <v>110</v>
      </c>
      <c r="U54" s="90">
        <v>2124280</v>
      </c>
      <c r="W54" s="133">
        <v>42543</v>
      </c>
      <c r="X54" s="10">
        <v>76.900000000000006</v>
      </c>
      <c r="Y54" s="10">
        <v>77.69</v>
      </c>
      <c r="Z54" s="10">
        <v>76.8</v>
      </c>
      <c r="AA54" s="10">
        <v>77.040000000000006</v>
      </c>
      <c r="AB54" s="95">
        <v>2148500</v>
      </c>
      <c r="AC54" s="10">
        <v>76.58</v>
      </c>
      <c r="AD54" s="2">
        <f t="shared" si="0"/>
        <v>0.89000000000000057</v>
      </c>
      <c r="AE54" s="138">
        <f t="shared" si="1"/>
        <v>1.9625801386888853E-3</v>
      </c>
    </row>
    <row r="55" spans="1:31" x14ac:dyDescent="0.25">
      <c r="B55" s="193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8"/>
        <v>77.577600000000004</v>
      </c>
      <c r="T55" s="93" t="s">
        <v>108</v>
      </c>
      <c r="U55" s="88" t="s">
        <v>376</v>
      </c>
      <c r="W55" s="133">
        <v>42542</v>
      </c>
      <c r="X55" s="10">
        <v>76.819999999999993</v>
      </c>
      <c r="Y55" s="10">
        <v>77.06</v>
      </c>
      <c r="Z55" s="10">
        <v>76.31</v>
      </c>
      <c r="AA55" s="10">
        <v>76.89</v>
      </c>
      <c r="AB55" s="95">
        <v>1855000</v>
      </c>
      <c r="AC55" s="10">
        <v>76.430000000000007</v>
      </c>
      <c r="AD55" s="2">
        <f t="shared" si="0"/>
        <v>0.75</v>
      </c>
      <c r="AE55" s="138">
        <f t="shared" si="1"/>
        <v>5.3933175480138651E-3</v>
      </c>
    </row>
    <row r="56" spans="1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8"/>
        <v>76.769499999999994</v>
      </c>
      <c r="T56" s="93" t="s">
        <v>111</v>
      </c>
      <c r="U56" s="88">
        <v>18.46</v>
      </c>
      <c r="W56" s="133">
        <v>42541</v>
      </c>
      <c r="X56" s="10">
        <v>76.400000000000006</v>
      </c>
      <c r="Y56" s="10">
        <v>77.06</v>
      </c>
      <c r="Z56" s="10">
        <v>76.23</v>
      </c>
      <c r="AA56" s="10">
        <v>76.48</v>
      </c>
      <c r="AB56" s="95">
        <v>2193800</v>
      </c>
      <c r="AC56" s="10">
        <v>76.02</v>
      </c>
      <c r="AD56" s="2">
        <f t="shared" si="0"/>
        <v>0.82999999999999829</v>
      </c>
      <c r="AE56" s="138">
        <f t="shared" si="1"/>
        <v>1.2789768185451633E-2</v>
      </c>
    </row>
    <row r="57" spans="1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18"/>
        <v>75.961399999999998</v>
      </c>
      <c r="T57" s="93" t="s">
        <v>112</v>
      </c>
      <c r="U57" s="88">
        <v>4.32</v>
      </c>
      <c r="W57" s="133">
        <v>42538</v>
      </c>
      <c r="X57" s="10">
        <v>76.56</v>
      </c>
      <c r="Y57" s="10">
        <v>76.569999999999993</v>
      </c>
      <c r="Z57" s="10">
        <v>75.37</v>
      </c>
      <c r="AA57" s="10">
        <v>75.510000000000005</v>
      </c>
      <c r="AB57" s="95">
        <v>2897500</v>
      </c>
      <c r="AC57" s="10">
        <v>75.06</v>
      </c>
      <c r="AD57" s="2">
        <f t="shared" si="0"/>
        <v>1.1999999999999886</v>
      </c>
      <c r="AE57" s="138">
        <f t="shared" si="1"/>
        <v>-1.3406940063091399E-2</v>
      </c>
    </row>
    <row r="58" spans="1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8"/>
        <v>75.153300000000002</v>
      </c>
      <c r="T58" s="93" t="s">
        <v>109</v>
      </c>
      <c r="U58" s="88" t="s">
        <v>556</v>
      </c>
      <c r="W58" s="133">
        <v>42537</v>
      </c>
      <c r="X58" s="10">
        <v>76.400000000000006</v>
      </c>
      <c r="Y58" s="10">
        <v>76.599999999999994</v>
      </c>
      <c r="Z58" s="10">
        <v>75.430000000000007</v>
      </c>
      <c r="AA58" s="10">
        <v>76.540000000000006</v>
      </c>
      <c r="AB58" s="95">
        <v>3228300</v>
      </c>
      <c r="AC58" s="10">
        <v>76.08</v>
      </c>
      <c r="AD58" s="2">
        <f t="shared" si="0"/>
        <v>1.1699999999999875</v>
      </c>
      <c r="AE58" s="138">
        <f t="shared" si="1"/>
        <v>-1.836788244555243E-3</v>
      </c>
    </row>
    <row r="59" spans="1:31" x14ac:dyDescent="0.25">
      <c r="O59" s="83">
        <v>0.92</v>
      </c>
      <c r="P59" s="83">
        <f t="shared" si="18"/>
        <v>74.345200000000006</v>
      </c>
      <c r="W59" s="133">
        <v>42536</v>
      </c>
      <c r="X59" s="10">
        <v>78.02</v>
      </c>
      <c r="Y59" s="10">
        <v>78.08</v>
      </c>
      <c r="Z59" s="10">
        <v>76.61</v>
      </c>
      <c r="AA59" s="10">
        <v>76.680000000000007</v>
      </c>
      <c r="AB59" s="95">
        <v>3548700</v>
      </c>
      <c r="AC59" s="10">
        <v>76.22</v>
      </c>
      <c r="AD59" s="2">
        <f t="shared" si="0"/>
        <v>1.4699999999999989</v>
      </c>
      <c r="AE59" s="138">
        <f t="shared" si="1"/>
        <v>-1.6135278172195733E-2</v>
      </c>
    </row>
    <row r="60" spans="1:31" x14ac:dyDescent="0.25">
      <c r="O60" s="83">
        <v>0.91</v>
      </c>
      <c r="P60" s="83">
        <f t="shared" si="18"/>
        <v>73.537100000000009</v>
      </c>
      <c r="W60" s="133">
        <v>42535</v>
      </c>
      <c r="X60" s="10">
        <v>78.010000000000005</v>
      </c>
      <c r="Y60" s="10">
        <v>78.319999999999993</v>
      </c>
      <c r="Z60" s="10">
        <v>77.569999999999993</v>
      </c>
      <c r="AA60" s="10">
        <v>77.930000000000007</v>
      </c>
      <c r="AB60" s="95">
        <v>1707400</v>
      </c>
      <c r="AC60" s="10">
        <v>77.47</v>
      </c>
      <c r="AD60" s="2">
        <f t="shared" si="0"/>
        <v>0.75</v>
      </c>
      <c r="AE60" s="138">
        <f t="shared" si="1"/>
        <v>-3.3449118744371953E-3</v>
      </c>
    </row>
    <row r="61" spans="1:31" x14ac:dyDescent="0.25">
      <c r="O61" s="83">
        <v>0.9</v>
      </c>
      <c r="P61" s="83">
        <f t="shared" si="18"/>
        <v>72.728999999999999</v>
      </c>
      <c r="W61" s="133">
        <v>42534</v>
      </c>
      <c r="X61" s="10">
        <v>78.53</v>
      </c>
      <c r="Y61" s="10">
        <v>78.790000000000006</v>
      </c>
      <c r="Z61" s="10">
        <v>78.150000000000006</v>
      </c>
      <c r="AA61" s="10">
        <v>78.2</v>
      </c>
      <c r="AB61" s="95">
        <v>2042100</v>
      </c>
      <c r="AC61" s="10">
        <v>77.73</v>
      </c>
      <c r="AD61" s="2">
        <f t="shared" si="0"/>
        <v>0.64000000000000057</v>
      </c>
      <c r="AE61" s="138">
        <f t="shared" si="1"/>
        <v>-4.2275172943888606E-3</v>
      </c>
    </row>
    <row r="62" spans="1:31" x14ac:dyDescent="0.25">
      <c r="W62" s="133">
        <v>42531</v>
      </c>
      <c r="X62" s="10">
        <v>79</v>
      </c>
      <c r="Y62" s="10">
        <v>79.06</v>
      </c>
      <c r="Z62" s="10">
        <v>78.05</v>
      </c>
      <c r="AA62" s="10">
        <v>78.53</v>
      </c>
      <c r="AB62" s="95">
        <v>2714500</v>
      </c>
      <c r="AC62" s="10">
        <v>78.06</v>
      </c>
      <c r="AD62" s="2">
        <f t="shared" si="0"/>
        <v>1.0100000000000051</v>
      </c>
      <c r="AE62" s="138">
        <f t="shared" si="1"/>
        <v>-9.642222786094834E-3</v>
      </c>
    </row>
    <row r="63" spans="1:31" x14ac:dyDescent="0.25">
      <c r="L63" t="s">
        <v>65</v>
      </c>
      <c r="M63" s="2">
        <f>M81+K81-F81</f>
        <v>490.94999999999891</v>
      </c>
      <c r="W63" s="133">
        <v>42530</v>
      </c>
      <c r="X63" s="10">
        <v>79.56</v>
      </c>
      <c r="Y63" s="10">
        <v>79.959999999999994</v>
      </c>
      <c r="Z63" s="10">
        <v>79.11</v>
      </c>
      <c r="AA63" s="10">
        <v>79.290000000000006</v>
      </c>
      <c r="AB63" s="95">
        <v>3082300</v>
      </c>
      <c r="AC63" s="10">
        <v>78.819999999999993</v>
      </c>
      <c r="AD63" s="2">
        <f t="shared" si="0"/>
        <v>0.84999999999999432</v>
      </c>
      <c r="AE63" s="138">
        <f t="shared" si="1"/>
        <v>-4.672307109483631E-3</v>
      </c>
    </row>
    <row r="64" spans="1:31" x14ac:dyDescent="0.25">
      <c r="A64" s="390" t="s">
        <v>1</v>
      </c>
      <c r="B64" s="390" t="s">
        <v>2</v>
      </c>
      <c r="C64" s="390" t="s">
        <v>4</v>
      </c>
      <c r="D64" s="392" t="s">
        <v>5</v>
      </c>
      <c r="E64" s="392" t="s">
        <v>94</v>
      </c>
      <c r="F64" s="392" t="s">
        <v>60</v>
      </c>
      <c r="G64" s="390" t="s">
        <v>3</v>
      </c>
      <c r="H64" s="390" t="s">
        <v>6</v>
      </c>
      <c r="I64" s="392" t="s">
        <v>7</v>
      </c>
      <c r="J64" s="392" t="s">
        <v>95</v>
      </c>
      <c r="K64" s="392" t="s">
        <v>61</v>
      </c>
      <c r="L64" s="390" t="s">
        <v>37</v>
      </c>
      <c r="M64" s="390" t="s">
        <v>38</v>
      </c>
      <c r="W64" s="133">
        <v>42529</v>
      </c>
      <c r="X64" s="10">
        <v>79.849999999999994</v>
      </c>
      <c r="Y64" s="10">
        <v>80.13</v>
      </c>
      <c r="Z64" s="10">
        <v>79.5</v>
      </c>
      <c r="AA64" s="10">
        <v>79.66</v>
      </c>
      <c r="AB64" s="95">
        <v>3437900</v>
      </c>
      <c r="AC64" s="10">
        <v>79.19</v>
      </c>
      <c r="AD64" s="2">
        <f t="shared" si="0"/>
        <v>0.62999999999999545</v>
      </c>
      <c r="AE64" s="138">
        <f t="shared" si="1"/>
        <v>-4.1498993963782205E-3</v>
      </c>
    </row>
    <row r="65" spans="1:31" x14ac:dyDescent="0.25">
      <c r="A65" s="393" t="s">
        <v>52</v>
      </c>
      <c r="B65" s="383">
        <v>42488</v>
      </c>
      <c r="C65" s="384">
        <v>30</v>
      </c>
      <c r="D65" s="385">
        <v>79.349999999999994</v>
      </c>
      <c r="E65" s="385">
        <v>0</v>
      </c>
      <c r="F65" s="385">
        <f>D65*C65+E65</f>
        <v>2380.5</v>
      </c>
      <c r="G65" s="383">
        <v>42521</v>
      </c>
      <c r="H65" s="388">
        <v>25</v>
      </c>
      <c r="I65" s="385">
        <v>79.05</v>
      </c>
      <c r="J65" s="385">
        <v>0.04</v>
      </c>
      <c r="K65" s="385">
        <f>I65*H65-J65</f>
        <v>1976.21</v>
      </c>
      <c r="L65" s="383">
        <v>42566</v>
      </c>
      <c r="M65" s="385">
        <v>33.67</v>
      </c>
      <c r="W65" s="133">
        <v>42528</v>
      </c>
      <c r="X65" s="10">
        <v>80.099999999999994</v>
      </c>
      <c r="Y65" s="10">
        <v>80.41</v>
      </c>
      <c r="Z65" s="10">
        <v>79.72</v>
      </c>
      <c r="AA65" s="10">
        <v>80</v>
      </c>
      <c r="AB65" s="95">
        <v>2142200</v>
      </c>
      <c r="AC65" s="10">
        <v>79.52</v>
      </c>
      <c r="AD65" s="2">
        <f t="shared" si="0"/>
        <v>0.68999999999999773</v>
      </c>
      <c r="AE65" s="138">
        <f t="shared" si="1"/>
        <v>-5.2539404553415547E-3</v>
      </c>
    </row>
    <row r="66" spans="1:31" x14ac:dyDescent="0.25">
      <c r="A66" s="394" t="s">
        <v>71</v>
      </c>
      <c r="B66" s="383">
        <v>42495</v>
      </c>
      <c r="C66" s="384">
        <v>20</v>
      </c>
      <c r="D66" s="385">
        <v>76.25</v>
      </c>
      <c r="E66" s="385">
        <v>0</v>
      </c>
      <c r="F66" s="385">
        <f>D66*C66+E66</f>
        <v>1525</v>
      </c>
      <c r="G66" s="383">
        <v>42552</v>
      </c>
      <c r="H66" s="388">
        <v>25</v>
      </c>
      <c r="I66" s="385">
        <v>78.28</v>
      </c>
      <c r="J66" s="385">
        <v>0.04</v>
      </c>
      <c r="K66" s="385">
        <f t="shared" ref="K66:K68" si="30">I66*H66-J66</f>
        <v>1956.96</v>
      </c>
      <c r="L66" s="384"/>
      <c r="M66" s="384"/>
      <c r="W66" s="133">
        <v>42527</v>
      </c>
      <c r="X66" s="10">
        <v>79.72</v>
      </c>
      <c r="Y66" s="10">
        <v>80.52</v>
      </c>
      <c r="Z66" s="10">
        <v>79.37</v>
      </c>
      <c r="AA66" s="10">
        <v>80.42</v>
      </c>
      <c r="AB66" s="95">
        <v>2021800</v>
      </c>
      <c r="AC66" s="10">
        <v>79.94</v>
      </c>
      <c r="AD66" s="2">
        <f t="shared" si="0"/>
        <v>1.1499999999999915</v>
      </c>
      <c r="AE66" s="138">
        <f t="shared" si="1"/>
        <v>7.8164397377711303E-3</v>
      </c>
    </row>
    <row r="67" spans="1:31" x14ac:dyDescent="0.25">
      <c r="A67" s="384"/>
      <c r="B67" s="383">
        <v>42537</v>
      </c>
      <c r="C67" s="384">
        <v>25</v>
      </c>
      <c r="D67" s="385">
        <v>75.88</v>
      </c>
      <c r="E67" s="385">
        <v>0</v>
      </c>
      <c r="F67" s="385">
        <f>D67*C67+E67</f>
        <v>1897</v>
      </c>
      <c r="G67" s="383">
        <v>42577</v>
      </c>
      <c r="H67" s="388">
        <v>10</v>
      </c>
      <c r="I67" s="385">
        <v>83.3</v>
      </c>
      <c r="J67" s="385">
        <v>0.02</v>
      </c>
      <c r="K67" s="385">
        <f t="shared" si="30"/>
        <v>832.98</v>
      </c>
      <c r="L67" s="384"/>
      <c r="M67" s="384"/>
      <c r="W67" s="133">
        <v>42524</v>
      </c>
      <c r="X67" s="10">
        <v>79.72</v>
      </c>
      <c r="Y67" s="10">
        <v>79.989999999999995</v>
      </c>
      <c r="Z67" s="10">
        <v>79.209999999999994</v>
      </c>
      <c r="AA67" s="10">
        <v>79.790000000000006</v>
      </c>
      <c r="AB67" s="95">
        <v>1988000</v>
      </c>
      <c r="AC67" s="10">
        <v>79.319999999999993</v>
      </c>
      <c r="AD67" s="2">
        <f>Y67-Z67</f>
        <v>0.78000000000000114</v>
      </c>
      <c r="AE67" s="138" t="e">
        <f>AC67/#REF!-1</f>
        <v>#REF!</v>
      </c>
    </row>
    <row r="68" spans="1:31" x14ac:dyDescent="0.25">
      <c r="A68" s="384"/>
      <c r="B68" s="383">
        <v>42548</v>
      </c>
      <c r="C68" s="384">
        <v>25</v>
      </c>
      <c r="D68" s="385">
        <v>73.58</v>
      </c>
      <c r="E68" s="385">
        <v>0</v>
      </c>
      <c r="F68" s="385">
        <f>D68*C68+E68</f>
        <v>1839.5</v>
      </c>
      <c r="G68" s="383">
        <v>42580</v>
      </c>
      <c r="H68" s="388">
        <v>40</v>
      </c>
      <c r="I68" s="385">
        <v>83.33</v>
      </c>
      <c r="J68" s="385">
        <v>7.0000000000000007E-2</v>
      </c>
      <c r="K68" s="385">
        <f t="shared" si="30"/>
        <v>3333.1299999999997</v>
      </c>
      <c r="L68" s="384"/>
      <c r="M68" s="384"/>
      <c r="W68" s="133">
        <v>42523</v>
      </c>
      <c r="X68" s="10">
        <v>78.7</v>
      </c>
      <c r="Y68" s="10">
        <v>79.89</v>
      </c>
      <c r="Z68" s="10">
        <v>78.61</v>
      </c>
      <c r="AA68" s="10">
        <v>79.89</v>
      </c>
      <c r="AB68" s="95">
        <v>2361100</v>
      </c>
      <c r="AC68" s="10">
        <v>79.41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384"/>
      <c r="B69" s="383"/>
      <c r="C69" s="384"/>
      <c r="D69" s="385"/>
      <c r="E69" s="385"/>
      <c r="F69" s="385"/>
      <c r="G69" s="384"/>
      <c r="H69" s="388"/>
      <c r="I69" s="385"/>
      <c r="J69" s="385"/>
      <c r="K69" s="385"/>
      <c r="L69" s="384"/>
      <c r="M69" s="384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384"/>
      <c r="B70" s="384"/>
      <c r="C70" s="384"/>
      <c r="D70" s="385"/>
      <c r="E70" s="385"/>
      <c r="F70" s="385"/>
      <c r="G70" s="384"/>
      <c r="H70" s="388"/>
      <c r="I70" s="385"/>
      <c r="J70" s="385"/>
      <c r="K70" s="385"/>
      <c r="L70" s="384"/>
      <c r="M70" s="384"/>
    </row>
    <row r="71" spans="1:31" x14ac:dyDescent="0.25">
      <c r="A71" s="384"/>
      <c r="B71" s="384"/>
      <c r="C71" s="384"/>
      <c r="D71" s="385"/>
      <c r="E71" s="385"/>
      <c r="F71" s="385"/>
      <c r="G71" s="384"/>
      <c r="H71" s="388"/>
      <c r="I71" s="385"/>
      <c r="J71" s="385"/>
      <c r="K71" s="385"/>
      <c r="L71" s="384"/>
      <c r="M71" s="384"/>
    </row>
    <row r="72" spans="1:31" x14ac:dyDescent="0.25">
      <c r="A72" s="384"/>
      <c r="B72" s="384"/>
      <c r="C72" s="384"/>
      <c r="D72" s="385"/>
      <c r="E72" s="385"/>
      <c r="F72" s="385"/>
      <c r="G72" s="384"/>
      <c r="H72" s="388"/>
      <c r="I72" s="385"/>
      <c r="J72" s="385"/>
      <c r="K72" s="385"/>
      <c r="L72" s="384"/>
      <c r="M72" s="384"/>
    </row>
    <row r="73" spans="1:31" x14ac:dyDescent="0.25">
      <c r="A73" s="384"/>
      <c r="B73" s="384"/>
      <c r="C73" s="384"/>
      <c r="D73" s="385"/>
      <c r="E73" s="385"/>
      <c r="F73" s="385"/>
      <c r="G73" s="384"/>
      <c r="H73" s="388"/>
      <c r="I73" s="385"/>
      <c r="J73" s="385"/>
      <c r="K73" s="385"/>
      <c r="L73" s="384"/>
      <c r="M73" s="384"/>
    </row>
    <row r="74" spans="1:31" x14ac:dyDescent="0.25">
      <c r="A74" s="384"/>
      <c r="B74" s="384"/>
      <c r="C74" s="384"/>
      <c r="D74" s="385"/>
      <c r="E74" s="385"/>
      <c r="F74" s="385"/>
      <c r="G74" s="384"/>
      <c r="H74" s="388"/>
      <c r="I74" s="385"/>
      <c r="J74" s="385"/>
      <c r="K74" s="385"/>
      <c r="L74" s="384"/>
      <c r="M74" s="384"/>
    </row>
    <row r="75" spans="1:31" x14ac:dyDescent="0.25">
      <c r="A75" s="384"/>
      <c r="B75" s="384"/>
      <c r="C75" s="384"/>
      <c r="D75" s="385"/>
      <c r="E75" s="385"/>
      <c r="F75" s="385"/>
      <c r="G75" s="384"/>
      <c r="H75" s="388"/>
      <c r="I75" s="385"/>
      <c r="J75" s="385"/>
      <c r="K75" s="385"/>
      <c r="L75" s="384"/>
      <c r="M75" s="384"/>
    </row>
    <row r="76" spans="1:31" x14ac:dyDescent="0.25">
      <c r="A76" s="384"/>
      <c r="B76" s="384"/>
      <c r="C76" s="384"/>
      <c r="D76" s="385"/>
      <c r="E76" s="385"/>
      <c r="F76" s="385"/>
      <c r="G76" s="384"/>
      <c r="H76" s="388"/>
      <c r="I76" s="385"/>
      <c r="J76" s="385"/>
      <c r="K76" s="385"/>
      <c r="L76" s="384"/>
      <c r="M76" s="384"/>
    </row>
    <row r="77" spans="1:31" x14ac:dyDescent="0.25">
      <c r="A77" s="384"/>
      <c r="B77" s="384"/>
      <c r="C77" s="384"/>
      <c r="D77" s="385"/>
      <c r="E77" s="385"/>
      <c r="F77" s="385"/>
      <c r="G77" s="384"/>
      <c r="H77" s="388"/>
      <c r="I77" s="385"/>
      <c r="J77" s="385"/>
      <c r="K77" s="385"/>
      <c r="L77" s="384"/>
      <c r="M77" s="384"/>
    </row>
    <row r="78" spans="1:31" x14ac:dyDescent="0.25">
      <c r="A78" s="384"/>
      <c r="B78" s="384"/>
      <c r="C78" s="384"/>
      <c r="D78" s="385"/>
      <c r="E78" s="385"/>
      <c r="F78" s="385"/>
      <c r="G78" s="384"/>
      <c r="H78" s="388"/>
      <c r="I78" s="385"/>
      <c r="J78" s="385"/>
      <c r="K78" s="385"/>
      <c r="L78" s="384"/>
      <c r="M78" s="384"/>
    </row>
    <row r="79" spans="1:31" x14ac:dyDescent="0.25">
      <c r="A79" s="384"/>
      <c r="B79" s="384"/>
      <c r="C79" s="384"/>
      <c r="D79" s="385"/>
      <c r="E79" s="385"/>
      <c r="F79" s="385"/>
      <c r="G79" s="384"/>
      <c r="H79" s="388"/>
      <c r="I79" s="385"/>
      <c r="J79" s="385"/>
      <c r="K79" s="385"/>
      <c r="L79" s="384"/>
      <c r="M79" s="384"/>
    </row>
    <row r="80" spans="1:31" x14ac:dyDescent="0.25">
      <c r="A80" s="384"/>
      <c r="B80" s="384"/>
      <c r="C80" s="384"/>
      <c r="D80" s="385"/>
      <c r="E80" s="385"/>
      <c r="F80" s="385"/>
      <c r="G80" s="384"/>
      <c r="H80" s="388"/>
      <c r="I80" s="385"/>
      <c r="J80" s="385"/>
      <c r="K80" s="385"/>
      <c r="L80" s="384"/>
      <c r="M80" s="384"/>
    </row>
    <row r="81" spans="1:13" x14ac:dyDescent="0.25">
      <c r="A81" s="22" t="s">
        <v>81</v>
      </c>
      <c r="B81" s="12"/>
      <c r="C81" s="12">
        <f>SUM(C65:C69)</f>
        <v>100</v>
      </c>
      <c r="D81" s="13"/>
      <c r="E81" s="13"/>
      <c r="F81" s="13">
        <f>SUM(F65:F69)</f>
        <v>7642</v>
      </c>
      <c r="G81" s="12"/>
      <c r="H81" s="77">
        <f>SUM(H65:H80)</f>
        <v>100</v>
      </c>
      <c r="I81" s="13"/>
      <c r="J81" s="13"/>
      <c r="K81" s="13">
        <f>SUM(K65:K80)</f>
        <v>8099.2799999999988</v>
      </c>
      <c r="L81" s="12"/>
      <c r="M81" s="13">
        <f>SUM(M65:M73)</f>
        <v>33.67</v>
      </c>
    </row>
    <row r="82" spans="1:13" ht="15.75" thickBot="1" x14ac:dyDescent="0.3">
      <c r="A82" s="495" t="s">
        <v>204</v>
      </c>
      <c r="B82" s="496"/>
      <c r="C82" s="497">
        <f>SumByColor($A$19,C65:C80)</f>
        <v>0</v>
      </c>
      <c r="D82" s="497"/>
      <c r="E82" s="497"/>
      <c r="F82" s="498">
        <f>SumByColor($A$19,F65:F80)</f>
        <v>0</v>
      </c>
      <c r="G82" s="497"/>
      <c r="H82" s="497">
        <f>SumByColor($A$19,H65:H80)</f>
        <v>0</v>
      </c>
      <c r="I82" s="497"/>
      <c r="J82" s="497"/>
      <c r="K82" s="498">
        <f>SumByColor($A$19,K65:K80)</f>
        <v>0</v>
      </c>
      <c r="L82" s="497"/>
      <c r="M82" s="498">
        <f t="shared" ref="M82" si="31">SumByColor($A$19,M65:M80)</f>
        <v>0</v>
      </c>
    </row>
  </sheetData>
  <mergeCells count="1">
    <mergeCell ref="O40:P40"/>
  </mergeCells>
  <conditionalFormatting sqref="O41:O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98" priority="39">
      <formula>F29&gt;0</formula>
    </cfRule>
    <cfRule type="expression" dxfId="197" priority="40">
      <formula>F29&lt;0</formula>
    </cfRule>
  </conditionalFormatting>
  <conditionalFormatting sqref="F34:F46 F50:F58">
    <cfRule type="expression" dxfId="196" priority="35">
      <formula>F34&gt;0</formula>
    </cfRule>
    <cfRule type="expression" dxfId="195" priority="36">
      <formula>F34&lt;0</formula>
    </cfRule>
  </conditionalFormatting>
  <conditionalFormatting sqref="F34:F46 F50:F58">
    <cfRule type="expression" dxfId="194" priority="37">
      <formula>F34&gt;0</formula>
    </cfRule>
    <cfRule type="expression" dxfId="193" priority="38">
      <formula>F34&lt;0</formula>
    </cfRule>
  </conditionalFormatting>
  <conditionalFormatting sqref="H29:H46 H50:H58">
    <cfRule type="expression" dxfId="192" priority="33">
      <formula>H29&gt;0</formula>
    </cfRule>
    <cfRule type="expression" dxfId="191" priority="34">
      <formula>H29&lt;0</formula>
    </cfRule>
  </conditionalFormatting>
  <conditionalFormatting sqref="F25:F28">
    <cfRule type="expression" dxfId="190" priority="27">
      <formula>F25&gt;0</formula>
    </cfRule>
    <cfRule type="expression" dxfId="189" priority="28">
      <formula>F25&lt;0</formula>
    </cfRule>
  </conditionalFormatting>
  <conditionalFormatting sqref="H25:H28">
    <cfRule type="expression" dxfId="188" priority="25">
      <formula>H25&gt;0</formula>
    </cfRule>
    <cfRule type="expression" dxfId="187" priority="26">
      <formula>H25&lt;0</formula>
    </cfRule>
  </conditionalFormatting>
  <conditionalFormatting sqref="Q7">
    <cfRule type="expression" dxfId="186" priority="15">
      <formula>Q7&gt;0</formula>
    </cfRule>
    <cfRule type="expression" dxfId="185" priority="16">
      <formula>Q7&lt;0</formula>
    </cfRule>
  </conditionalFormatting>
  <conditionalFormatting sqref="Q8">
    <cfRule type="expression" dxfId="184" priority="13">
      <formula>Q8&gt;0</formula>
    </cfRule>
    <cfRule type="expression" dxfId="183" priority="14">
      <formula>Q8&lt;0</formula>
    </cfRule>
  </conditionalFormatting>
  <conditionalFormatting sqref="F47:F49">
    <cfRule type="expression" dxfId="182" priority="3">
      <formula>F47&gt;0</formula>
    </cfRule>
    <cfRule type="expression" dxfId="181" priority="4">
      <formula>F47&lt;0</formula>
    </cfRule>
  </conditionalFormatting>
  <conditionalFormatting sqref="F47:F49">
    <cfRule type="expression" dxfId="180" priority="5">
      <formula>F47&gt;0</formula>
    </cfRule>
    <cfRule type="expression" dxfId="179" priority="6">
      <formula>F47&lt;0</formula>
    </cfRule>
  </conditionalFormatting>
  <conditionalFormatting sqref="H47:H49">
    <cfRule type="expression" dxfId="178" priority="1">
      <formula>H47&gt;0</formula>
    </cfRule>
    <cfRule type="expression" dxfId="177" priority="2">
      <formula>H47&lt;0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0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</v>
      </c>
      <c r="B2" s="475">
        <v>42467</v>
      </c>
      <c r="C2" s="7">
        <v>50</v>
      </c>
      <c r="D2" s="44">
        <v>45.5</v>
      </c>
      <c r="E2" s="44">
        <v>0</v>
      </c>
      <c r="F2" s="44">
        <f t="shared" ref="F2:F6" si="0">D2*C2+E2</f>
        <v>2275</v>
      </c>
      <c r="G2" s="474"/>
      <c r="H2" s="7"/>
      <c r="I2" s="44"/>
      <c r="J2" s="44"/>
      <c r="K2" s="44"/>
      <c r="L2" s="74">
        <v>42522</v>
      </c>
      <c r="M2" s="44">
        <v>33.75</v>
      </c>
      <c r="O2" s="11" t="s">
        <v>57</v>
      </c>
      <c r="Q2">
        <f>C29-H29</f>
        <v>400</v>
      </c>
      <c r="T2" s="1" t="s">
        <v>211</v>
      </c>
      <c r="W2" s="133">
        <v>42615</v>
      </c>
      <c r="X2" s="10">
        <v>36.67</v>
      </c>
      <c r="Y2" s="10">
        <v>37.49</v>
      </c>
      <c r="Z2" s="10">
        <v>36.67</v>
      </c>
      <c r="AA2" s="10">
        <v>37.17</v>
      </c>
      <c r="AB2" s="95">
        <v>10198700</v>
      </c>
      <c r="AC2" s="10">
        <v>37.17</v>
      </c>
      <c r="AD2" s="2">
        <f>Y2-Z2</f>
        <v>0.82000000000000028</v>
      </c>
      <c r="AE2" s="138">
        <f>AC2/AC3-1</f>
        <v>9.5057034220533687E-3</v>
      </c>
    </row>
    <row r="3" spans="1:31" x14ac:dyDescent="0.25">
      <c r="A3" s="23" t="s">
        <v>71</v>
      </c>
      <c r="B3" s="475">
        <v>42482</v>
      </c>
      <c r="C3" s="4">
        <v>50</v>
      </c>
      <c r="D3" s="3">
        <v>43.65</v>
      </c>
      <c r="E3" s="3">
        <v>0</v>
      </c>
      <c r="F3" s="3">
        <f t="shared" si="0"/>
        <v>2182.5</v>
      </c>
      <c r="G3" s="475">
        <v>42507</v>
      </c>
      <c r="H3" s="82">
        <v>100</v>
      </c>
      <c r="I3" s="44">
        <v>43.59</v>
      </c>
      <c r="J3" s="44">
        <v>0.1</v>
      </c>
      <c r="K3" s="44">
        <f>H3*I3-J3</f>
        <v>4358.8999999999996</v>
      </c>
      <c r="L3" s="74">
        <v>42615</v>
      </c>
      <c r="M3" s="44">
        <v>81</v>
      </c>
      <c r="O3" s="11" t="s">
        <v>58</v>
      </c>
      <c r="Q3" s="230">
        <f>IF(Q2=0, Q4, (F29-K29-M29)/Q2)</f>
        <v>36.834600000000009</v>
      </c>
      <c r="T3" s="1">
        <v>42565</v>
      </c>
      <c r="U3" t="s">
        <v>281</v>
      </c>
      <c r="W3" s="133">
        <v>42614</v>
      </c>
      <c r="X3" s="10">
        <v>37</v>
      </c>
      <c r="Y3" s="10">
        <v>37.15</v>
      </c>
      <c r="Z3" s="10">
        <v>36.32</v>
      </c>
      <c r="AA3" s="10">
        <v>36.82</v>
      </c>
      <c r="AB3" s="95">
        <v>7127400</v>
      </c>
      <c r="AC3" s="10">
        <v>36.82</v>
      </c>
      <c r="AD3" s="2">
        <f t="shared" ref="AD3:AD66" si="1">Y3-Z3</f>
        <v>0.82999999999999829</v>
      </c>
      <c r="AE3" s="138">
        <f t="shared" ref="AE3:AE66" si="2">AC3/AC4-1</f>
        <v>1.9047619047618536E-3</v>
      </c>
    </row>
    <row r="4" spans="1:31" x14ac:dyDescent="0.25">
      <c r="B4" s="475">
        <v>42486</v>
      </c>
      <c r="C4" s="4">
        <v>50</v>
      </c>
      <c r="D4" s="3">
        <v>43.25</v>
      </c>
      <c r="E4" s="3">
        <v>0</v>
      </c>
      <c r="F4" s="3">
        <f t="shared" si="0"/>
        <v>2162.5</v>
      </c>
      <c r="G4" s="475">
        <v>42509</v>
      </c>
      <c r="H4" s="82">
        <v>50</v>
      </c>
      <c r="I4" s="44">
        <v>43.12</v>
      </c>
      <c r="J4" s="44">
        <v>0.05</v>
      </c>
      <c r="K4" s="44">
        <f>H4*I4-J4</f>
        <v>2155.9499999999998</v>
      </c>
      <c r="L4" s="4"/>
      <c r="M4" s="4"/>
      <c r="O4" s="11" t="s">
        <v>66</v>
      </c>
      <c r="Q4" s="201">
        <v>36.82</v>
      </c>
      <c r="T4" s="163">
        <v>42568</v>
      </c>
      <c r="U4" t="s">
        <v>298</v>
      </c>
      <c r="W4" s="133">
        <v>42613</v>
      </c>
      <c r="X4" s="10">
        <v>37.32</v>
      </c>
      <c r="Y4" s="10">
        <v>37.32</v>
      </c>
      <c r="Z4" s="10">
        <v>36.020000000000003</v>
      </c>
      <c r="AA4" s="10">
        <v>36.75</v>
      </c>
      <c r="AB4" s="95">
        <v>13838000</v>
      </c>
      <c r="AC4" s="10">
        <v>36.75</v>
      </c>
      <c r="AD4" s="2">
        <f t="shared" si="1"/>
        <v>1.2999999999999972</v>
      </c>
      <c r="AE4" s="138">
        <f t="shared" si="2"/>
        <v>-1.1033369214208721E-2</v>
      </c>
    </row>
    <row r="5" spans="1:31" x14ac:dyDescent="0.25">
      <c r="B5" s="475">
        <v>42489</v>
      </c>
      <c r="C5" s="7">
        <v>50</v>
      </c>
      <c r="D5" s="44">
        <v>41.95</v>
      </c>
      <c r="E5" s="44">
        <v>0</v>
      </c>
      <c r="F5" s="44">
        <f t="shared" si="0"/>
        <v>2097.5</v>
      </c>
      <c r="G5" s="475">
        <v>42515</v>
      </c>
      <c r="H5" s="82">
        <v>50</v>
      </c>
      <c r="I5" s="44">
        <v>43.96</v>
      </c>
      <c r="J5" s="44">
        <v>0.05</v>
      </c>
      <c r="K5" s="44">
        <f>H5*I5-J5</f>
        <v>2197.9499999999998</v>
      </c>
      <c r="L5" s="4"/>
      <c r="M5" s="4"/>
      <c r="O5" s="11" t="s">
        <v>67</v>
      </c>
      <c r="Q5" s="3">
        <f>Q4*Q2</f>
        <v>14728</v>
      </c>
      <c r="T5" s="1">
        <v>42592</v>
      </c>
      <c r="U5" t="s">
        <v>561</v>
      </c>
      <c r="W5" s="133">
        <v>42612</v>
      </c>
      <c r="X5" s="10">
        <v>36.549999999999997</v>
      </c>
      <c r="Y5" s="10">
        <v>37.6</v>
      </c>
      <c r="Z5" s="10">
        <v>36.380000000000003</v>
      </c>
      <c r="AA5" s="10">
        <v>37.159999999999997</v>
      </c>
      <c r="AB5" s="95">
        <v>9950600</v>
      </c>
      <c r="AC5" s="10">
        <v>37.159999999999997</v>
      </c>
      <c r="AD5" s="2">
        <f t="shared" si="1"/>
        <v>1.2199999999999989</v>
      </c>
      <c r="AE5" s="138">
        <f t="shared" si="2"/>
        <v>1.6689466484268056E-2</v>
      </c>
    </row>
    <row r="6" spans="1:31" x14ac:dyDescent="0.25">
      <c r="B6" s="475">
        <v>42489</v>
      </c>
      <c r="C6" s="7">
        <v>50</v>
      </c>
      <c r="D6" s="44">
        <v>41.39</v>
      </c>
      <c r="E6" s="44">
        <v>0</v>
      </c>
      <c r="F6" s="44">
        <f t="shared" si="0"/>
        <v>2069.5</v>
      </c>
      <c r="G6" s="474"/>
      <c r="H6" s="7"/>
      <c r="I6" s="44"/>
      <c r="J6" s="44"/>
      <c r="K6" s="44"/>
      <c r="L6" s="4"/>
      <c r="M6" s="4"/>
      <c r="O6" s="11" t="s">
        <v>64</v>
      </c>
      <c r="Q6" s="2">
        <f>Q3*Q2</f>
        <v>14733.840000000004</v>
      </c>
      <c r="T6" s="1">
        <v>42647</v>
      </c>
      <c r="U6" t="s">
        <v>568</v>
      </c>
      <c r="W6" s="133">
        <v>42611</v>
      </c>
      <c r="X6" s="10">
        <v>36.270000000000003</v>
      </c>
      <c r="Y6" s="10">
        <v>36.6</v>
      </c>
      <c r="Z6" s="10">
        <v>36.26</v>
      </c>
      <c r="AA6" s="10">
        <v>36.549999999999997</v>
      </c>
      <c r="AB6" s="95">
        <v>5674600</v>
      </c>
      <c r="AC6" s="10">
        <v>36.549999999999997</v>
      </c>
      <c r="AD6" s="2">
        <f t="shared" si="1"/>
        <v>0.34000000000000341</v>
      </c>
      <c r="AE6" s="138">
        <f t="shared" si="2"/>
        <v>1.2745912995289377E-2</v>
      </c>
    </row>
    <row r="7" spans="1:31" x14ac:dyDescent="0.25">
      <c r="B7" s="475">
        <v>42509</v>
      </c>
      <c r="C7" s="7">
        <v>50</v>
      </c>
      <c r="D7" s="44">
        <v>42.59</v>
      </c>
      <c r="E7" s="44">
        <v>0</v>
      </c>
      <c r="F7" s="44">
        <f t="shared" ref="F7:F12" si="3">D7*C7+E7</f>
        <v>2129.5</v>
      </c>
      <c r="G7" s="475">
        <v>42545</v>
      </c>
      <c r="H7" s="82">
        <v>100</v>
      </c>
      <c r="I7" s="44">
        <v>37.01</v>
      </c>
      <c r="J7" s="44">
        <v>0.57999999999999996</v>
      </c>
      <c r="K7" s="44">
        <f>H7*I7-J7</f>
        <v>3700.42</v>
      </c>
      <c r="L7" s="4"/>
      <c r="M7" s="4"/>
      <c r="O7" s="11" t="s">
        <v>187</v>
      </c>
      <c r="Q7" s="2">
        <f>Q10+Q8</f>
        <v>199.1799999999962</v>
      </c>
      <c r="R7">
        <v>400</v>
      </c>
      <c r="W7" s="133">
        <v>42608</v>
      </c>
      <c r="X7" s="10">
        <v>36.51</v>
      </c>
      <c r="Y7" s="10">
        <v>36.64</v>
      </c>
      <c r="Z7" s="10">
        <v>35.9</v>
      </c>
      <c r="AA7" s="10">
        <v>36.090000000000003</v>
      </c>
      <c r="AB7" s="95">
        <v>7882000</v>
      </c>
      <c r="AC7" s="10">
        <v>36.090000000000003</v>
      </c>
      <c r="AD7" s="2">
        <f t="shared" si="1"/>
        <v>0.74000000000000199</v>
      </c>
      <c r="AE7" s="138">
        <f t="shared" si="2"/>
        <v>-1.0419522895530497E-2</v>
      </c>
    </row>
    <row r="8" spans="1:31" x14ac:dyDescent="0.25">
      <c r="B8" s="475">
        <v>42509</v>
      </c>
      <c r="C8" s="7">
        <v>50</v>
      </c>
      <c r="D8" s="44">
        <v>42.59</v>
      </c>
      <c r="E8" s="44">
        <v>0</v>
      </c>
      <c r="F8" s="44">
        <f t="shared" si="3"/>
        <v>2129.5</v>
      </c>
      <c r="G8" s="475">
        <v>42563</v>
      </c>
      <c r="H8" s="82">
        <v>100</v>
      </c>
      <c r="I8" s="44">
        <v>39.340000000000003</v>
      </c>
      <c r="J8" s="44">
        <v>0.09</v>
      </c>
      <c r="K8" s="44">
        <f>H8*I8-J8</f>
        <v>3933.9100000000003</v>
      </c>
      <c r="L8" s="4"/>
      <c r="M8" s="4"/>
      <c r="O8" s="11" t="s">
        <v>190</v>
      </c>
      <c r="P8" s="34"/>
      <c r="Q8" s="2">
        <f>K29+M29-F29+Q2*Q4</f>
        <v>-5.8400000000037835</v>
      </c>
      <c r="R8" s="433"/>
      <c r="W8" s="133">
        <v>42607</v>
      </c>
      <c r="X8" s="10">
        <v>36.64</v>
      </c>
      <c r="Y8" s="10">
        <v>36.81</v>
      </c>
      <c r="Z8" s="10">
        <v>36.44</v>
      </c>
      <c r="AA8" s="10">
        <v>36.47</v>
      </c>
      <c r="AB8" s="95">
        <v>6540000</v>
      </c>
      <c r="AC8" s="10">
        <v>36.47</v>
      </c>
      <c r="AD8" s="2">
        <f t="shared" si="1"/>
        <v>0.37000000000000455</v>
      </c>
      <c r="AE8" s="138">
        <f t="shared" si="2"/>
        <v>-8.158825129181535E-3</v>
      </c>
    </row>
    <row r="9" spans="1:31" x14ac:dyDescent="0.25">
      <c r="B9" s="475">
        <v>42515</v>
      </c>
      <c r="C9" s="7">
        <v>50</v>
      </c>
      <c r="D9" s="44">
        <v>43.45</v>
      </c>
      <c r="E9" s="44">
        <v>0</v>
      </c>
      <c r="F9" s="44">
        <f t="shared" si="3"/>
        <v>2172.5</v>
      </c>
      <c r="G9" s="477"/>
      <c r="H9" s="7"/>
      <c r="I9" s="44"/>
      <c r="J9" s="44"/>
      <c r="K9" s="44"/>
      <c r="L9" s="4"/>
      <c r="M9" s="4"/>
      <c r="O9" s="11" t="s">
        <v>224</v>
      </c>
      <c r="Q9" s="138">
        <f>IF(Q2=0, 0, Q8/Q6)</f>
        <v>-3.963664597962094E-4</v>
      </c>
      <c r="W9" s="133">
        <v>42606</v>
      </c>
      <c r="X9" s="10">
        <v>36.630000000000003</v>
      </c>
      <c r="Y9" s="10">
        <v>37.049999999999997</v>
      </c>
      <c r="Z9" s="10">
        <v>36.47</v>
      </c>
      <c r="AA9" s="10">
        <v>36.770000000000003</v>
      </c>
      <c r="AB9" s="95">
        <v>7548000</v>
      </c>
      <c r="AC9" s="10">
        <v>36.770000000000003</v>
      </c>
      <c r="AD9" s="2">
        <f t="shared" si="1"/>
        <v>0.57999999999999829</v>
      </c>
      <c r="AE9" s="138">
        <f t="shared" si="2"/>
        <v>2.1804306350505787E-3</v>
      </c>
    </row>
    <row r="10" spans="1:31" x14ac:dyDescent="0.25">
      <c r="B10" s="475">
        <v>42535</v>
      </c>
      <c r="C10" s="7">
        <v>100</v>
      </c>
      <c r="D10" s="44">
        <v>39.85</v>
      </c>
      <c r="E10" s="44">
        <v>0</v>
      </c>
      <c r="F10" s="44">
        <f t="shared" si="3"/>
        <v>3985</v>
      </c>
      <c r="G10" s="475">
        <v>42566</v>
      </c>
      <c r="H10" s="71">
        <v>100</v>
      </c>
      <c r="I10" s="46">
        <v>40.479999999999997</v>
      </c>
      <c r="J10" s="46">
        <v>0.09</v>
      </c>
      <c r="K10" s="46">
        <f>H10*I10-J10</f>
        <v>4047.9099999999994</v>
      </c>
      <c r="L10" s="4"/>
      <c r="M10" s="4"/>
      <c r="O10" s="11" t="s">
        <v>223</v>
      </c>
      <c r="P10" s="34"/>
      <c r="Q10" s="2">
        <f>M82</f>
        <v>205.01999999999998</v>
      </c>
      <c r="W10" s="133">
        <v>42605</v>
      </c>
      <c r="X10" s="10">
        <v>36.78</v>
      </c>
      <c r="Y10" s="10">
        <v>37.130000000000003</v>
      </c>
      <c r="Z10" s="10">
        <v>36.619999999999997</v>
      </c>
      <c r="AA10" s="10">
        <v>36.69</v>
      </c>
      <c r="AB10" s="95">
        <v>7588400</v>
      </c>
      <c r="AC10" s="10">
        <v>36.69</v>
      </c>
      <c r="AD10" s="2">
        <f t="shared" si="1"/>
        <v>0.51000000000000512</v>
      </c>
      <c r="AE10" s="138">
        <f t="shared" si="2"/>
        <v>2.1851953018301451E-3</v>
      </c>
    </row>
    <row r="11" spans="1:31" x14ac:dyDescent="0.25">
      <c r="B11" s="475">
        <v>42537</v>
      </c>
      <c r="C11" s="7">
        <v>100</v>
      </c>
      <c r="D11" s="44">
        <v>37.85</v>
      </c>
      <c r="E11" s="44">
        <v>0</v>
      </c>
      <c r="F11" s="44">
        <f t="shared" si="3"/>
        <v>3785</v>
      </c>
      <c r="G11" s="475">
        <v>42571</v>
      </c>
      <c r="H11" s="82">
        <v>100</v>
      </c>
      <c r="I11" s="44">
        <v>41.08</v>
      </c>
      <c r="J11" s="44">
        <v>0.09</v>
      </c>
      <c r="K11" s="46">
        <f>H11*I11-J11</f>
        <v>4107.91</v>
      </c>
      <c r="L11" s="4"/>
      <c r="M11" s="4"/>
      <c r="O11" s="11" t="s">
        <v>184</v>
      </c>
      <c r="P11" s="34"/>
      <c r="Q11" s="138">
        <f>VALUE(TRIM(CLEAN(MID(U58, FIND("(", U58)+1, 5))))</f>
        <v>2.18E-2</v>
      </c>
      <c r="W11" s="133">
        <v>42604</v>
      </c>
      <c r="X11" s="10">
        <v>36.53</v>
      </c>
      <c r="Y11" s="10">
        <v>36.74</v>
      </c>
      <c r="Z11" s="10">
        <v>36.07</v>
      </c>
      <c r="AA11" s="10">
        <v>36.61</v>
      </c>
      <c r="AB11" s="95">
        <v>11186100</v>
      </c>
      <c r="AC11" s="10">
        <v>36.61</v>
      </c>
      <c r="AD11" s="2">
        <f t="shared" si="1"/>
        <v>0.67000000000000171</v>
      </c>
      <c r="AE11" s="138">
        <f t="shared" si="2"/>
        <v>-4.3513734022301298E-3</v>
      </c>
    </row>
    <row r="12" spans="1:31" x14ac:dyDescent="0.25">
      <c r="B12" s="475">
        <v>42545</v>
      </c>
      <c r="C12" s="7">
        <v>50</v>
      </c>
      <c r="D12" s="44">
        <v>36.01</v>
      </c>
      <c r="E12" s="44">
        <v>0</v>
      </c>
      <c r="F12" s="44">
        <f t="shared" si="3"/>
        <v>1800.5</v>
      </c>
      <c r="G12" s="475">
        <v>42580</v>
      </c>
      <c r="H12" s="82">
        <v>50</v>
      </c>
      <c r="I12" s="44">
        <v>39.78</v>
      </c>
      <c r="J12" s="44">
        <v>0.04</v>
      </c>
      <c r="K12" s="44">
        <f>H12*I12-J12</f>
        <v>1988.96</v>
      </c>
      <c r="L12" s="4"/>
      <c r="W12" s="133">
        <v>42601</v>
      </c>
      <c r="X12" s="10">
        <v>36.81</v>
      </c>
      <c r="Y12" s="10">
        <v>36.979999999999997</v>
      </c>
      <c r="Z12" s="10">
        <v>36.369999999999997</v>
      </c>
      <c r="AA12" s="10">
        <v>36.770000000000003</v>
      </c>
      <c r="AB12" s="95">
        <v>7579600</v>
      </c>
      <c r="AC12" s="10">
        <v>36.770000000000003</v>
      </c>
      <c r="AD12" s="2">
        <f t="shared" si="1"/>
        <v>0.60999999999999943</v>
      </c>
      <c r="AE12" s="138">
        <f t="shared" si="2"/>
        <v>-8.0927974103047751E-3</v>
      </c>
    </row>
    <row r="13" spans="1:31" x14ac:dyDescent="0.25">
      <c r="B13" s="74">
        <v>42545</v>
      </c>
      <c r="C13" s="7">
        <v>50</v>
      </c>
      <c r="D13" s="44">
        <v>36.01</v>
      </c>
      <c r="E13" s="44">
        <v>0</v>
      </c>
      <c r="F13" s="44">
        <f t="shared" ref="F13" si="4">D13*C13+E13</f>
        <v>1800.5</v>
      </c>
      <c r="H13" s="72"/>
      <c r="W13" s="133">
        <v>42600</v>
      </c>
      <c r="X13" s="10">
        <v>37.369999999999997</v>
      </c>
      <c r="Y13" s="10">
        <v>37.43</v>
      </c>
      <c r="Z13" s="10">
        <v>36.85</v>
      </c>
      <c r="AA13" s="10">
        <v>37.07</v>
      </c>
      <c r="AB13" s="95">
        <v>12103300</v>
      </c>
      <c r="AC13" s="10">
        <v>37.07</v>
      </c>
      <c r="AD13" s="2">
        <f t="shared" si="1"/>
        <v>0.57999999999999829</v>
      </c>
      <c r="AE13" s="138">
        <f t="shared" si="2"/>
        <v>-1.1730205278592365E-2</v>
      </c>
    </row>
    <row r="14" spans="1:31" x14ac:dyDescent="0.25">
      <c r="B14" s="74">
        <v>42545</v>
      </c>
      <c r="C14" s="4">
        <v>100</v>
      </c>
      <c r="D14" s="2">
        <v>36.01</v>
      </c>
      <c r="E14" s="2">
        <v>0</v>
      </c>
      <c r="F14" s="2">
        <f>D14*C14+E14</f>
        <v>3601</v>
      </c>
      <c r="H14" s="72"/>
      <c r="W14" s="133">
        <v>42599</v>
      </c>
      <c r="X14" s="10">
        <v>37.03</v>
      </c>
      <c r="Y14" s="10">
        <v>37.53</v>
      </c>
      <c r="Z14" s="10">
        <v>36.71</v>
      </c>
      <c r="AA14" s="10">
        <v>37.51</v>
      </c>
      <c r="AB14" s="95">
        <v>10427900</v>
      </c>
      <c r="AC14" s="10">
        <v>37.51</v>
      </c>
      <c r="AD14" s="2">
        <f t="shared" si="1"/>
        <v>0.82000000000000028</v>
      </c>
      <c r="AE14" s="138">
        <f t="shared" si="2"/>
        <v>1.5430427720628082E-2</v>
      </c>
    </row>
    <row r="15" spans="1:31" x14ac:dyDescent="0.25">
      <c r="B15" s="74">
        <v>42548</v>
      </c>
      <c r="C15" s="4">
        <v>100</v>
      </c>
      <c r="D15" s="2">
        <v>33.880000000000003</v>
      </c>
      <c r="E15" s="2">
        <v>0</v>
      </c>
      <c r="F15" s="2">
        <f>D15*C15+E15</f>
        <v>3388.0000000000005</v>
      </c>
      <c r="H15" s="72"/>
      <c r="W15" s="133">
        <v>42598</v>
      </c>
      <c r="X15" s="10">
        <v>36.81</v>
      </c>
      <c r="Y15" s="10">
        <v>37.31</v>
      </c>
      <c r="Z15" s="10">
        <v>36.79</v>
      </c>
      <c r="AA15" s="10">
        <v>36.94</v>
      </c>
      <c r="AB15" s="95">
        <v>9253500</v>
      </c>
      <c r="AC15" s="10">
        <v>36.94</v>
      </c>
      <c r="AD15" s="2">
        <f t="shared" si="1"/>
        <v>0.52000000000000313</v>
      </c>
      <c r="AE15" s="138">
        <f t="shared" si="2"/>
        <v>5.4171180931739116E-4</v>
      </c>
    </row>
    <row r="16" spans="1:31" x14ac:dyDescent="0.25">
      <c r="B16" s="74">
        <v>42572</v>
      </c>
      <c r="C16" s="4">
        <v>50</v>
      </c>
      <c r="D16" s="3">
        <v>38.58</v>
      </c>
      <c r="E16" s="3">
        <v>0</v>
      </c>
      <c r="F16" s="3">
        <f>D16*C16+E16</f>
        <v>1929</v>
      </c>
      <c r="H16" s="72"/>
      <c r="W16" s="133">
        <v>42597</v>
      </c>
      <c r="X16" s="10">
        <v>36.35</v>
      </c>
      <c r="Y16" s="10">
        <v>37.049999999999997</v>
      </c>
      <c r="Z16" s="10">
        <v>35.840000000000003</v>
      </c>
      <c r="AA16" s="10">
        <v>36.92</v>
      </c>
      <c r="AB16" s="95">
        <v>10784600</v>
      </c>
      <c r="AC16" s="10">
        <v>36.92</v>
      </c>
      <c r="AD16" s="2">
        <f t="shared" si="1"/>
        <v>1.2099999999999937</v>
      </c>
      <c r="AE16" s="138">
        <f t="shared" si="2"/>
        <v>1.5680880330123825E-2</v>
      </c>
    </row>
    <row r="17" spans="1:31" x14ac:dyDescent="0.25">
      <c r="B17" s="74">
        <v>42580</v>
      </c>
      <c r="C17" s="7">
        <v>50</v>
      </c>
      <c r="D17" s="44">
        <v>38.979999999999997</v>
      </c>
      <c r="E17" s="44">
        <v>0</v>
      </c>
      <c r="F17" s="44">
        <f>D17*C17+E17</f>
        <v>1948.9999999999998</v>
      </c>
      <c r="W17" s="133">
        <v>42594</v>
      </c>
      <c r="X17" s="10">
        <v>36.68</v>
      </c>
      <c r="Y17" s="10">
        <v>36.74</v>
      </c>
      <c r="Z17" s="10">
        <v>36.26</v>
      </c>
      <c r="AA17" s="10">
        <v>36.35</v>
      </c>
      <c r="AB17" s="95">
        <v>7700600</v>
      </c>
      <c r="AC17" s="10">
        <v>36.35</v>
      </c>
      <c r="AD17" s="2">
        <f t="shared" si="1"/>
        <v>0.48000000000000398</v>
      </c>
      <c r="AE17" s="138">
        <f t="shared" si="2"/>
        <v>-9.5367847411444995E-3</v>
      </c>
    </row>
    <row r="18" spans="1:31" x14ac:dyDescent="0.25">
      <c r="B18" s="74">
        <v>42584</v>
      </c>
      <c r="C18" s="4">
        <v>50</v>
      </c>
      <c r="D18" s="2">
        <v>37.68</v>
      </c>
      <c r="E18" s="2">
        <v>0</v>
      </c>
      <c r="F18" s="2">
        <f>D18*C18+E18</f>
        <v>1884</v>
      </c>
      <c r="W18" s="133">
        <v>42593</v>
      </c>
      <c r="X18" s="10">
        <v>36.58</v>
      </c>
      <c r="Y18" s="10">
        <v>37.049999999999997</v>
      </c>
      <c r="Z18" s="10">
        <v>36.28</v>
      </c>
      <c r="AA18" s="10">
        <v>36.700000000000003</v>
      </c>
      <c r="AB18" s="95">
        <v>7537900</v>
      </c>
      <c r="AC18" s="10">
        <v>36.700000000000003</v>
      </c>
      <c r="AD18" s="2">
        <f t="shared" si="1"/>
        <v>0.76999999999999602</v>
      </c>
      <c r="AE18" s="138">
        <f t="shared" si="2"/>
        <v>6.0307017543861363E-3</v>
      </c>
    </row>
    <row r="19" spans="1:31" x14ac:dyDescent="0.25">
      <c r="W19" s="133">
        <v>42592</v>
      </c>
      <c r="X19" s="10">
        <v>37</v>
      </c>
      <c r="Y19" s="10">
        <v>37.119999999999997</v>
      </c>
      <c r="Z19" s="10">
        <v>36.24</v>
      </c>
      <c r="AA19" s="10">
        <v>36.479999999999997</v>
      </c>
      <c r="AB19" s="95">
        <v>9604700</v>
      </c>
      <c r="AC19" s="10">
        <v>36.479999999999997</v>
      </c>
      <c r="AD19" s="2">
        <f t="shared" si="1"/>
        <v>0.87999999999999545</v>
      </c>
      <c r="AE19" s="138" t="e">
        <f t="shared" si="2"/>
        <v>#DIV/0!</v>
      </c>
    </row>
    <row r="20" spans="1:31" x14ac:dyDescent="0.25">
      <c r="W20" s="133">
        <v>42592</v>
      </c>
      <c r="X20" s="10" t="s">
        <v>344</v>
      </c>
      <c r="Y20" s="10"/>
      <c r="Z20" s="10"/>
      <c r="AA20" s="10"/>
      <c r="AB20" s="95"/>
      <c r="AC20" s="10"/>
      <c r="AD20" s="2">
        <f t="shared" si="1"/>
        <v>0</v>
      </c>
      <c r="AE20" s="138">
        <f t="shared" si="2"/>
        <v>-1</v>
      </c>
    </row>
    <row r="21" spans="1:31" x14ac:dyDescent="0.25">
      <c r="W21" s="133">
        <v>42591</v>
      </c>
      <c r="X21" s="10">
        <v>37.75</v>
      </c>
      <c r="Y21" s="10">
        <v>38.06</v>
      </c>
      <c r="Z21" s="10">
        <v>37.14</v>
      </c>
      <c r="AA21" s="10">
        <v>37.15</v>
      </c>
      <c r="AB21" s="95">
        <v>8392000</v>
      </c>
      <c r="AC21" s="10">
        <v>36.950000000000003</v>
      </c>
      <c r="AD21" s="2">
        <f t="shared" si="1"/>
        <v>0.92000000000000171</v>
      </c>
      <c r="AE21" s="138">
        <f t="shared" si="2"/>
        <v>-7.7873254564984062E-3</v>
      </c>
    </row>
    <row r="22" spans="1:31" x14ac:dyDescent="0.25">
      <c r="W22" s="133">
        <v>42590</v>
      </c>
      <c r="X22" s="10">
        <v>37.46</v>
      </c>
      <c r="Y22" s="10">
        <v>38.24</v>
      </c>
      <c r="Z22" s="10">
        <v>37.36</v>
      </c>
      <c r="AA22" s="10">
        <v>37.44</v>
      </c>
      <c r="AB22" s="95">
        <v>10029100</v>
      </c>
      <c r="AC22" s="10">
        <v>37.24</v>
      </c>
      <c r="AD22" s="2">
        <f t="shared" si="1"/>
        <v>0.88000000000000256</v>
      </c>
      <c r="AE22" s="138">
        <f t="shared" si="2"/>
        <v>-5.8729311265349748E-3</v>
      </c>
    </row>
    <row r="23" spans="1:31" x14ac:dyDescent="0.25">
      <c r="W23" s="133">
        <v>42587</v>
      </c>
      <c r="X23" s="10">
        <v>36.979999999999997</v>
      </c>
      <c r="Y23" s="10">
        <v>37.729999999999997</v>
      </c>
      <c r="Z23" s="10">
        <v>36.86</v>
      </c>
      <c r="AA23" s="10">
        <v>37.67</v>
      </c>
      <c r="AB23" s="95">
        <v>8097500</v>
      </c>
      <c r="AC23" s="10">
        <v>37.46</v>
      </c>
      <c r="AD23" s="2">
        <f t="shared" si="1"/>
        <v>0.86999999999999744</v>
      </c>
      <c r="AE23" s="138">
        <f t="shared" si="2"/>
        <v>3.0820033021463855E-2</v>
      </c>
    </row>
    <row r="24" spans="1:31" x14ac:dyDescent="0.25">
      <c r="W24" s="133">
        <v>42586</v>
      </c>
      <c r="X24" s="10">
        <v>36.520000000000003</v>
      </c>
      <c r="Y24" s="10">
        <v>36.68</v>
      </c>
      <c r="Z24" s="10">
        <v>36.020000000000003</v>
      </c>
      <c r="AA24" s="10">
        <v>36.54</v>
      </c>
      <c r="AB24" s="95">
        <v>8825300</v>
      </c>
      <c r="AC24" s="10">
        <v>36.340000000000003</v>
      </c>
      <c r="AD24" s="2">
        <f t="shared" si="1"/>
        <v>0.65999999999999659</v>
      </c>
      <c r="AE24" s="138">
        <f t="shared" si="2"/>
        <v>1.6538037486217849E-3</v>
      </c>
    </row>
    <row r="25" spans="1:31" x14ac:dyDescent="0.25">
      <c r="W25" s="133">
        <v>42585</v>
      </c>
      <c r="X25" s="10">
        <v>36.380000000000003</v>
      </c>
      <c r="Y25" s="10">
        <v>36.869999999999997</v>
      </c>
      <c r="Z25" s="10">
        <v>36.17</v>
      </c>
      <c r="AA25" s="10">
        <v>36.479999999999997</v>
      </c>
      <c r="AB25" s="95">
        <v>10994100</v>
      </c>
      <c r="AC25" s="10">
        <v>36.28</v>
      </c>
      <c r="AD25" s="2">
        <f t="shared" si="1"/>
        <v>0.69999999999999574</v>
      </c>
      <c r="AE25" s="138">
        <f t="shared" si="2"/>
        <v>2.4868748273003671E-3</v>
      </c>
    </row>
    <row r="26" spans="1:31" x14ac:dyDescent="0.25">
      <c r="W26" s="133">
        <v>42584</v>
      </c>
      <c r="X26" s="10">
        <v>38.82</v>
      </c>
      <c r="Y26" s="10">
        <v>38.85</v>
      </c>
      <c r="Z26" s="10">
        <v>36.29</v>
      </c>
      <c r="AA26" s="10">
        <v>36.39</v>
      </c>
      <c r="AB26" s="95">
        <v>19993500</v>
      </c>
      <c r="AC26" s="10">
        <v>36.19</v>
      </c>
      <c r="AD26" s="2">
        <f t="shared" si="1"/>
        <v>2.5600000000000023</v>
      </c>
      <c r="AE26" s="138">
        <f t="shared" si="2"/>
        <v>-7.8196637799286872E-2</v>
      </c>
    </row>
    <row r="27" spans="1:31" x14ac:dyDescent="0.25">
      <c r="W27" s="133">
        <v>42583</v>
      </c>
      <c r="X27" s="10">
        <v>38.92</v>
      </c>
      <c r="Y27" s="10">
        <v>39.51</v>
      </c>
      <c r="Z27" s="10">
        <v>38.78</v>
      </c>
      <c r="AA27" s="10">
        <v>39.479999999999997</v>
      </c>
      <c r="AB27" s="95">
        <v>8965300</v>
      </c>
      <c r="AC27" s="10">
        <v>39.26</v>
      </c>
      <c r="AD27" s="2">
        <f t="shared" si="1"/>
        <v>0.72999999999999687</v>
      </c>
      <c r="AE27" s="138">
        <f t="shared" si="2"/>
        <v>1.8681888946548986E-2</v>
      </c>
    </row>
    <row r="28" spans="1:31" x14ac:dyDescent="0.25">
      <c r="H28" s="72"/>
      <c r="W28" s="133">
        <v>42580</v>
      </c>
      <c r="X28" s="10">
        <v>39.369999999999997</v>
      </c>
      <c r="Y28" s="10">
        <v>39.9</v>
      </c>
      <c r="Z28" s="10">
        <v>38.74</v>
      </c>
      <c r="AA28" s="10">
        <v>38.75</v>
      </c>
      <c r="AB28" s="95">
        <v>10468200</v>
      </c>
      <c r="AC28" s="10">
        <v>38.54</v>
      </c>
      <c r="AD28" s="2">
        <f t="shared" si="1"/>
        <v>1.1599999999999966</v>
      </c>
      <c r="AE28" s="138">
        <f t="shared" si="2"/>
        <v>-1.5329586101175297E-2</v>
      </c>
    </row>
    <row r="29" spans="1:31" x14ac:dyDescent="0.25">
      <c r="A29" s="32" t="s">
        <v>81</v>
      </c>
      <c r="B29" s="14"/>
      <c r="C29" s="14">
        <f>SUM(C2:C18)</f>
        <v>1050</v>
      </c>
      <c r="D29" s="18"/>
      <c r="E29" s="18"/>
      <c r="F29" s="18">
        <f>SUM(F2:F18)</f>
        <v>41340.5</v>
      </c>
      <c r="G29" s="14"/>
      <c r="H29" s="73">
        <f>SUM(H2:H28)</f>
        <v>650</v>
      </c>
      <c r="I29" s="18"/>
      <c r="J29" s="18"/>
      <c r="K29" s="18">
        <f>SUM(K2:K28)</f>
        <v>26491.909999999996</v>
      </c>
      <c r="L29" s="14"/>
      <c r="M29" s="18">
        <f>SUM(M2:M28)</f>
        <v>114.75</v>
      </c>
      <c r="W29" s="133">
        <v>42579</v>
      </c>
      <c r="X29" s="10">
        <v>38.5</v>
      </c>
      <c r="Y29" s="10">
        <v>39.54</v>
      </c>
      <c r="Z29" s="10">
        <v>38.25</v>
      </c>
      <c r="AA29" s="10">
        <v>39.36</v>
      </c>
      <c r="AB29" s="95">
        <v>7354100</v>
      </c>
      <c r="AC29" s="10">
        <v>39.14</v>
      </c>
      <c r="AD29" s="2">
        <f t="shared" si="1"/>
        <v>1.2899999999999991</v>
      </c>
      <c r="AE29" s="138">
        <f t="shared" si="2"/>
        <v>2.1132272371510608E-2</v>
      </c>
    </row>
    <row r="30" spans="1:31" ht="15.75" thickBot="1" x14ac:dyDescent="0.3">
      <c r="A30" s="359" t="s">
        <v>204</v>
      </c>
      <c r="B30" s="360"/>
      <c r="C30" s="361">
        <f>SumByColor($A$30,C2:C28)</f>
        <v>650</v>
      </c>
      <c r="D30" s="361"/>
      <c r="E30" s="361"/>
      <c r="F30" s="362">
        <f>SumByColor($A$30,F2:F28)</f>
        <v>26193</v>
      </c>
      <c r="G30" s="361"/>
      <c r="H30" s="361">
        <f>SumByColor($A$30,H3:H28)</f>
        <v>650</v>
      </c>
      <c r="I30" s="361"/>
      <c r="J30" s="361"/>
      <c r="K30" s="362">
        <f>SumByColor($A$30,K3:K28)</f>
        <v>26492</v>
      </c>
      <c r="L30" s="361"/>
      <c r="M30" s="362">
        <f>SumByColor($A$30,M2:M28)</f>
        <v>115</v>
      </c>
      <c r="W30" s="133">
        <v>42578</v>
      </c>
      <c r="X30" s="10">
        <v>38.880000000000003</v>
      </c>
      <c r="Y30" s="10">
        <v>38.92</v>
      </c>
      <c r="Z30" s="10">
        <v>38.5</v>
      </c>
      <c r="AA30" s="10">
        <v>38.54</v>
      </c>
      <c r="AB30" s="95">
        <v>8671900</v>
      </c>
      <c r="AC30" s="10">
        <v>38.33</v>
      </c>
      <c r="AD30" s="2">
        <f t="shared" si="1"/>
        <v>0.42000000000000171</v>
      </c>
      <c r="AE30" s="138">
        <f t="shared" si="2"/>
        <v>-1.2622359608449263E-2</v>
      </c>
    </row>
    <row r="31" spans="1:31" x14ac:dyDescent="0.25">
      <c r="W31" s="133">
        <v>42577</v>
      </c>
      <c r="X31" s="10">
        <v>38.97</v>
      </c>
      <c r="Y31" s="10">
        <v>39.33</v>
      </c>
      <c r="Z31" s="10">
        <v>38.61</v>
      </c>
      <c r="AA31" s="10">
        <v>39.03</v>
      </c>
      <c r="AB31" s="95">
        <v>9038700</v>
      </c>
      <c r="AC31" s="10">
        <v>38.82</v>
      </c>
      <c r="AD31" s="2">
        <f t="shared" si="1"/>
        <v>0.71999999999999886</v>
      </c>
      <c r="AE31" s="138">
        <f t="shared" si="2"/>
        <v>1.8064516129032704E-3</v>
      </c>
    </row>
    <row r="32" spans="1:31" x14ac:dyDescent="0.25">
      <c r="W32" s="133">
        <v>42576</v>
      </c>
      <c r="X32" s="10">
        <v>39.17</v>
      </c>
      <c r="Y32" s="10">
        <v>39.26</v>
      </c>
      <c r="Z32" s="10">
        <v>38.549999999999997</v>
      </c>
      <c r="AA32" s="10">
        <v>38.96</v>
      </c>
      <c r="AB32" s="95">
        <v>7160500</v>
      </c>
      <c r="AC32" s="10">
        <v>38.75</v>
      </c>
      <c r="AD32" s="2">
        <f t="shared" si="1"/>
        <v>0.71000000000000085</v>
      </c>
      <c r="AE32" s="138">
        <f t="shared" si="2"/>
        <v>0</v>
      </c>
    </row>
    <row r="33" spans="2:31" x14ac:dyDescent="0.25">
      <c r="W33" s="133">
        <v>42573</v>
      </c>
      <c r="X33" s="10">
        <v>39.07</v>
      </c>
      <c r="Y33" s="10">
        <v>39.19</v>
      </c>
      <c r="Z33" s="10">
        <v>38.43</v>
      </c>
      <c r="AA33" s="10">
        <v>38.96</v>
      </c>
      <c r="AB33" s="95">
        <v>9579300</v>
      </c>
      <c r="AC33" s="10">
        <v>38.75</v>
      </c>
      <c r="AD33" s="2">
        <f t="shared" si="1"/>
        <v>0.75999999999999801</v>
      </c>
      <c r="AE33" s="138">
        <f t="shared" si="2"/>
        <v>1.1485251892456194E-2</v>
      </c>
    </row>
    <row r="34" spans="2:31" x14ac:dyDescent="0.25">
      <c r="W34" s="133">
        <v>42572</v>
      </c>
      <c r="X34" s="10">
        <v>39.11</v>
      </c>
      <c r="Y34" s="10">
        <v>39.26</v>
      </c>
      <c r="Z34" s="10">
        <v>38.270000000000003</v>
      </c>
      <c r="AA34" s="10">
        <v>38.520000000000003</v>
      </c>
      <c r="AB34" s="95">
        <v>17399700</v>
      </c>
      <c r="AC34" s="10">
        <v>38.31</v>
      </c>
      <c r="AD34" s="2">
        <f t="shared" si="1"/>
        <v>0.98999999999999488</v>
      </c>
      <c r="AE34" s="138">
        <f t="shared" si="2"/>
        <v>-4.2010502625656421E-2</v>
      </c>
    </row>
    <row r="35" spans="2:31" x14ac:dyDescent="0.25">
      <c r="B35" s="191" t="s">
        <v>114</v>
      </c>
      <c r="C35" s="191" t="s">
        <v>150</v>
      </c>
      <c r="D35" s="192" t="s">
        <v>149</v>
      </c>
      <c r="E35" s="194" t="s">
        <v>151</v>
      </c>
      <c r="F35" s="194" t="s">
        <v>65</v>
      </c>
      <c r="G35" s="229" t="s">
        <v>155</v>
      </c>
      <c r="H35" s="229" t="s">
        <v>88</v>
      </c>
      <c r="I35" s="229" t="s">
        <v>161</v>
      </c>
      <c r="W35" s="133">
        <v>42571</v>
      </c>
      <c r="X35" s="10">
        <v>40.69</v>
      </c>
      <c r="Y35" s="10">
        <v>41.22</v>
      </c>
      <c r="Z35" s="10">
        <v>39.94</v>
      </c>
      <c r="AA35" s="10">
        <v>40.21</v>
      </c>
      <c r="AB35" s="95">
        <v>9541900</v>
      </c>
      <c r="AC35" s="10">
        <v>39.99</v>
      </c>
      <c r="AD35" s="2">
        <f t="shared" si="1"/>
        <v>1.2800000000000011</v>
      </c>
      <c r="AE35" s="138">
        <f t="shared" si="2"/>
        <v>-7.9384768047631171E-3</v>
      </c>
    </row>
    <row r="36" spans="2:31" x14ac:dyDescent="0.25">
      <c r="B36" s="193">
        <v>42524</v>
      </c>
      <c r="C36" s="456">
        <v>200</v>
      </c>
      <c r="D36" s="457">
        <v>42.3598</v>
      </c>
      <c r="E36" s="40">
        <v>41.755000000000003</v>
      </c>
      <c r="F36" s="40">
        <f t="shared" ref="F36:F45" si="5">C36*(E36-D36)</f>
        <v>-120.95999999999947</v>
      </c>
      <c r="G36" s="40">
        <f t="shared" ref="G36" si="6">D36*C36</f>
        <v>8471.9599999999991</v>
      </c>
      <c r="H36" s="231">
        <f t="shared" ref="H36" si="7">(E36-D36)/D36</f>
        <v>-1.4277687807779955E-2</v>
      </c>
      <c r="I36" s="40"/>
      <c r="W36" s="133">
        <v>42570</v>
      </c>
      <c r="X36" s="10">
        <v>39.880000000000003</v>
      </c>
      <c r="Y36" s="10">
        <v>40.58</v>
      </c>
      <c r="Z36" s="10">
        <v>39.5</v>
      </c>
      <c r="AA36" s="10">
        <v>40.53</v>
      </c>
      <c r="AB36" s="95">
        <v>9297000</v>
      </c>
      <c r="AC36" s="10">
        <v>40.31</v>
      </c>
      <c r="AD36" s="2">
        <f t="shared" si="1"/>
        <v>1.0799999999999983</v>
      </c>
      <c r="AE36" s="138">
        <f t="shared" si="2"/>
        <v>1.0782347041123463E-2</v>
      </c>
    </row>
    <row r="37" spans="2:31" x14ac:dyDescent="0.25">
      <c r="B37" s="193">
        <v>42527</v>
      </c>
      <c r="C37" s="10">
        <v>200</v>
      </c>
      <c r="D37" s="40">
        <v>42.3598</v>
      </c>
      <c r="E37" s="40">
        <v>41.28</v>
      </c>
      <c r="F37" s="40">
        <f t="shared" si="5"/>
        <v>-215.95999999999975</v>
      </c>
      <c r="G37" s="40">
        <f t="shared" ref="G37" si="8">D37*C37</f>
        <v>8471.9599999999991</v>
      </c>
      <c r="H37" s="231">
        <f t="shared" ref="H37" si="9">(E37-D37)/D37</f>
        <v>-2.5491149627713039E-2</v>
      </c>
      <c r="I37" s="40"/>
      <c r="W37" s="133">
        <v>42569</v>
      </c>
      <c r="X37" s="10">
        <v>40.17</v>
      </c>
      <c r="Y37" s="10">
        <v>40.520000000000003</v>
      </c>
      <c r="Z37" s="10">
        <v>40.06</v>
      </c>
      <c r="AA37" s="10">
        <v>40.1</v>
      </c>
      <c r="AB37" s="95">
        <v>8285500</v>
      </c>
      <c r="AC37" s="10">
        <v>39.880000000000003</v>
      </c>
      <c r="AD37" s="2">
        <f t="shared" si="1"/>
        <v>0.46000000000000085</v>
      </c>
      <c r="AE37" s="138">
        <f t="shared" si="2"/>
        <v>3.0181086519116551E-3</v>
      </c>
    </row>
    <row r="38" spans="2:31" x14ac:dyDescent="0.25">
      <c r="B38" s="193">
        <v>42533</v>
      </c>
      <c r="C38" s="10">
        <v>200</v>
      </c>
      <c r="D38" s="40">
        <v>42.36</v>
      </c>
      <c r="E38" s="40">
        <v>42.04</v>
      </c>
      <c r="F38" s="40">
        <f t="shared" si="5"/>
        <v>-64.000000000000057</v>
      </c>
      <c r="G38" s="40">
        <f t="shared" ref="G38" si="10">D38*C38</f>
        <v>8472</v>
      </c>
      <c r="H38" s="231">
        <f t="shared" ref="H38" si="11">(E38-D38)/D38</f>
        <v>-7.5542965061378723E-3</v>
      </c>
      <c r="I38" s="40"/>
      <c r="W38" s="133">
        <v>42566</v>
      </c>
      <c r="X38" s="10">
        <v>40.46</v>
      </c>
      <c r="Y38" s="10">
        <v>40.54</v>
      </c>
      <c r="Z38" s="10">
        <v>39.71</v>
      </c>
      <c r="AA38" s="10">
        <v>39.979999999999997</v>
      </c>
      <c r="AB38" s="95">
        <v>15192400</v>
      </c>
      <c r="AC38" s="10">
        <v>39.76</v>
      </c>
      <c r="AD38" s="2">
        <f t="shared" si="1"/>
        <v>0.82999999999999829</v>
      </c>
      <c r="AE38" s="138">
        <f t="shared" si="2"/>
        <v>-2.4533856722276703E-2</v>
      </c>
    </row>
    <row r="39" spans="2:31" x14ac:dyDescent="0.25">
      <c r="B39" s="193">
        <v>42534</v>
      </c>
      <c r="C39" s="10">
        <v>200</v>
      </c>
      <c r="D39" s="40">
        <v>42.3598</v>
      </c>
      <c r="E39" s="40">
        <v>40.57</v>
      </c>
      <c r="F39" s="40">
        <f t="shared" si="5"/>
        <v>-357.95999999999992</v>
      </c>
      <c r="G39" s="40">
        <f t="shared" ref="G39:G45" si="12">D39*C39</f>
        <v>8471.9599999999991</v>
      </c>
      <c r="H39" s="231">
        <f t="shared" ref="H39:H45" si="13">(E39-D39)/D39</f>
        <v>-4.2252324137507721E-2</v>
      </c>
      <c r="I39" s="40"/>
      <c r="W39" s="133">
        <v>42565</v>
      </c>
      <c r="X39" s="10">
        <v>40.33</v>
      </c>
      <c r="Y39" s="10">
        <v>41.35</v>
      </c>
      <c r="Z39" s="10">
        <v>40.159999999999997</v>
      </c>
      <c r="AA39" s="10">
        <v>40.98</v>
      </c>
      <c r="AB39" s="95">
        <v>18543000</v>
      </c>
      <c r="AC39" s="10">
        <v>40.76</v>
      </c>
      <c r="AD39" s="2">
        <f t="shared" si="1"/>
        <v>1.1900000000000048</v>
      </c>
      <c r="AE39" s="138">
        <f t="shared" si="2"/>
        <v>3.6095577020843761E-2</v>
      </c>
    </row>
    <row r="40" spans="2:31" x14ac:dyDescent="0.25">
      <c r="B40" s="193">
        <v>42535</v>
      </c>
      <c r="C40" s="7">
        <v>300</v>
      </c>
      <c r="D40" s="44">
        <v>41.523200000000003</v>
      </c>
      <c r="E40" s="40">
        <v>39.11</v>
      </c>
      <c r="F40" s="40">
        <f t="shared" si="5"/>
        <v>-723.96000000000095</v>
      </c>
      <c r="G40" s="40">
        <f t="shared" si="12"/>
        <v>12456.960000000001</v>
      </c>
      <c r="H40" s="231">
        <f t="shared" si="13"/>
        <v>-5.8116908138101185E-2</v>
      </c>
      <c r="I40" s="40"/>
      <c r="W40" s="133">
        <v>42564</v>
      </c>
      <c r="X40" s="10">
        <v>40.5</v>
      </c>
      <c r="Y40" s="10">
        <v>40.6</v>
      </c>
      <c r="Z40" s="10">
        <v>39.42</v>
      </c>
      <c r="AA40" s="10">
        <v>39.56</v>
      </c>
      <c r="AB40" s="95">
        <v>13885600</v>
      </c>
      <c r="AC40" s="10">
        <v>39.340000000000003</v>
      </c>
      <c r="AD40" s="2">
        <f t="shared" si="1"/>
        <v>1.1799999999999997</v>
      </c>
      <c r="AE40" s="138">
        <f t="shared" si="2"/>
        <v>-1.625406351587888E-2</v>
      </c>
    </row>
    <row r="41" spans="2:31" x14ac:dyDescent="0.25">
      <c r="B41" s="193">
        <v>42537</v>
      </c>
      <c r="C41" s="460">
        <v>400</v>
      </c>
      <c r="D41" s="461">
        <v>40.604900000000001</v>
      </c>
      <c r="E41" s="40">
        <v>38.020000000000003</v>
      </c>
      <c r="F41" s="40">
        <f t="shared" si="5"/>
        <v>-1033.9599999999991</v>
      </c>
      <c r="G41" s="40">
        <f t="shared" si="12"/>
        <v>16241.960000000001</v>
      </c>
      <c r="H41" s="231">
        <f t="shared" si="13"/>
        <v>-6.3659804604862896E-2</v>
      </c>
      <c r="I41" s="40"/>
      <c r="Q41" s="2"/>
      <c r="W41" s="133">
        <v>42563</v>
      </c>
      <c r="X41" s="10">
        <v>39.200000000000003</v>
      </c>
      <c r="Y41" s="10">
        <v>40.409999999999997</v>
      </c>
      <c r="Z41" s="10">
        <v>39.130000000000003</v>
      </c>
      <c r="AA41" s="10">
        <v>40.21</v>
      </c>
      <c r="AB41" s="95">
        <v>19533000</v>
      </c>
      <c r="AC41" s="10">
        <v>39.99</v>
      </c>
      <c r="AD41" s="2">
        <f t="shared" si="1"/>
        <v>1.279999999999994</v>
      </c>
      <c r="AE41" s="138">
        <f t="shared" si="2"/>
        <v>5.4866789765233515E-2</v>
      </c>
    </row>
    <row r="42" spans="2:31" ht="20.25" thickBot="1" x14ac:dyDescent="0.35">
      <c r="B42" s="193">
        <v>42542</v>
      </c>
      <c r="C42" s="10">
        <v>400</v>
      </c>
      <c r="D42" s="40">
        <v>40.604900000000001</v>
      </c>
      <c r="E42" s="40">
        <v>38.67</v>
      </c>
      <c r="F42" s="40">
        <f t="shared" si="5"/>
        <v>-773.95999999999958</v>
      </c>
      <c r="G42" s="40">
        <f t="shared" si="12"/>
        <v>16241.960000000001</v>
      </c>
      <c r="H42" s="231">
        <f t="shared" si="13"/>
        <v>-4.7651884378486317E-2</v>
      </c>
      <c r="I42" s="40"/>
      <c r="O42" s="545" t="s">
        <v>78</v>
      </c>
      <c r="P42" s="545"/>
      <c r="Q42" s="2"/>
      <c r="T42" s="91" t="s">
        <v>113</v>
      </c>
      <c r="W42" s="133">
        <v>42562</v>
      </c>
      <c r="X42" s="10">
        <v>37.67</v>
      </c>
      <c r="Y42" s="10">
        <v>38.450000000000003</v>
      </c>
      <c r="Z42" s="10">
        <v>37.6</v>
      </c>
      <c r="AA42" s="10">
        <v>38.119999999999997</v>
      </c>
      <c r="AB42" s="95">
        <v>11994100</v>
      </c>
      <c r="AC42" s="10">
        <v>37.909999999999997</v>
      </c>
      <c r="AD42" s="2">
        <f t="shared" si="1"/>
        <v>0.85000000000000142</v>
      </c>
      <c r="AE42" s="138">
        <f t="shared" si="2"/>
        <v>1.9908528383104418E-2</v>
      </c>
    </row>
    <row r="43" spans="2:31" ht="15.75" thickTop="1" x14ac:dyDescent="0.25">
      <c r="B43" s="193">
        <v>42545</v>
      </c>
      <c r="C43" s="10">
        <v>500</v>
      </c>
      <c r="D43" s="40">
        <v>39.685899999999997</v>
      </c>
      <c r="E43" s="40">
        <v>38.31</v>
      </c>
      <c r="F43" s="40">
        <f t="shared" si="5"/>
        <v>-687.9499999999972</v>
      </c>
      <c r="G43" s="40">
        <f t="shared" si="12"/>
        <v>19842.949999999997</v>
      </c>
      <c r="H43" s="231">
        <f t="shared" si="13"/>
        <v>-3.466974416606388E-2</v>
      </c>
      <c r="I43" s="40"/>
      <c r="O43" s="83">
        <v>1.1000000000000001</v>
      </c>
      <c r="P43" s="83">
        <f>O43*$Q$4</f>
        <v>40.502000000000002</v>
      </c>
      <c r="Q43" s="2"/>
      <c r="T43" s="128" t="s">
        <v>98</v>
      </c>
      <c r="U43" s="98">
        <v>36.82</v>
      </c>
      <c r="W43" s="133">
        <v>42559</v>
      </c>
      <c r="X43" s="10">
        <v>36.9</v>
      </c>
      <c r="Y43" s="10">
        <v>37.75</v>
      </c>
      <c r="Z43" s="10">
        <v>36.86</v>
      </c>
      <c r="AA43" s="10">
        <v>37.369999999999997</v>
      </c>
      <c r="AB43" s="95">
        <v>12621000</v>
      </c>
      <c r="AC43" s="10">
        <v>37.17</v>
      </c>
      <c r="AD43" s="2">
        <f t="shared" si="1"/>
        <v>0.89000000000000057</v>
      </c>
      <c r="AE43" s="138">
        <f t="shared" si="2"/>
        <v>2.7647221454243809E-2</v>
      </c>
    </row>
    <row r="44" spans="2:31" x14ac:dyDescent="0.25">
      <c r="B44" s="193">
        <v>42545</v>
      </c>
      <c r="C44" s="10">
        <v>500</v>
      </c>
      <c r="D44" s="40">
        <v>39.487099999999998</v>
      </c>
      <c r="E44" s="40">
        <v>35.18</v>
      </c>
      <c r="F44" s="40">
        <f t="shared" si="5"/>
        <v>-2153.5499999999993</v>
      </c>
      <c r="G44" s="40">
        <f t="shared" si="12"/>
        <v>19743.55</v>
      </c>
      <c r="H44" s="231">
        <f t="shared" si="13"/>
        <v>-0.10907612865973948</v>
      </c>
      <c r="I44" s="40"/>
      <c r="O44" s="83">
        <v>1.0900000000000001</v>
      </c>
      <c r="P44" s="83">
        <f t="shared" ref="P44:P63" si="14">O44*$Q$4</f>
        <v>40.133800000000001</v>
      </c>
      <c r="Q44" s="2"/>
      <c r="T44" s="93" t="s">
        <v>99</v>
      </c>
      <c r="U44" s="88">
        <v>36.67</v>
      </c>
      <c r="W44" s="133">
        <v>42558</v>
      </c>
      <c r="X44" s="10">
        <v>35.54</v>
      </c>
      <c r="Y44" s="10">
        <v>36.479999999999997</v>
      </c>
      <c r="Z44" s="10">
        <v>35.5</v>
      </c>
      <c r="AA44" s="10">
        <v>36.369999999999997</v>
      </c>
      <c r="AB44" s="95">
        <v>8775800</v>
      </c>
      <c r="AC44" s="10">
        <v>36.17</v>
      </c>
      <c r="AD44" s="2">
        <f t="shared" si="1"/>
        <v>0.97999999999999687</v>
      </c>
      <c r="AE44" s="138">
        <f t="shared" si="2"/>
        <v>2.2040124328906563E-2</v>
      </c>
    </row>
    <row r="45" spans="2:31" x14ac:dyDescent="0.25">
      <c r="B45" s="193">
        <v>42548</v>
      </c>
      <c r="C45" s="10">
        <v>600</v>
      </c>
      <c r="D45" s="40">
        <v>38.552599999999998</v>
      </c>
      <c r="E45" s="40">
        <v>33.36</v>
      </c>
      <c r="F45" s="40">
        <f t="shared" si="5"/>
        <v>-3115.5599999999995</v>
      </c>
      <c r="G45" s="40">
        <f t="shared" si="12"/>
        <v>23131.559999999998</v>
      </c>
      <c r="H45" s="231">
        <f t="shared" si="13"/>
        <v>-0.13468871100781787</v>
      </c>
      <c r="I45" s="40"/>
      <c r="O45" s="83">
        <v>1.08</v>
      </c>
      <c r="P45" s="83">
        <f t="shared" si="14"/>
        <v>39.765600000000006</v>
      </c>
      <c r="Q45" s="2"/>
      <c r="T45" s="93" t="s">
        <v>100</v>
      </c>
      <c r="U45" s="88" t="s">
        <v>443</v>
      </c>
      <c r="W45" s="133">
        <v>42557</v>
      </c>
      <c r="X45" s="10">
        <v>34.96</v>
      </c>
      <c r="Y45" s="10">
        <v>35.61</v>
      </c>
      <c r="Z45" s="10">
        <v>34.08</v>
      </c>
      <c r="AA45" s="10">
        <v>35.58</v>
      </c>
      <c r="AB45" s="95">
        <v>14540000</v>
      </c>
      <c r="AC45" s="10">
        <v>35.39</v>
      </c>
      <c r="AD45" s="2">
        <f t="shared" si="1"/>
        <v>1.5300000000000011</v>
      </c>
      <c r="AE45" s="138">
        <f t="shared" si="2"/>
        <v>-1.1289867344058679E-3</v>
      </c>
    </row>
    <row r="46" spans="2:31" x14ac:dyDescent="0.25">
      <c r="B46" s="193">
        <v>42549</v>
      </c>
      <c r="C46" s="10">
        <v>600</v>
      </c>
      <c r="D46" s="40">
        <v>38.552599999999998</v>
      </c>
      <c r="E46" s="40">
        <v>34.67</v>
      </c>
      <c r="F46" s="40">
        <f t="shared" ref="F46" si="15">C46*(E46-D46)</f>
        <v>-2329.5599999999977</v>
      </c>
      <c r="G46" s="40">
        <f t="shared" ref="G46" si="16">D46*C46</f>
        <v>23131.559999999998</v>
      </c>
      <c r="H46" s="231">
        <f t="shared" ref="H46" si="17">(E46-D46)/D46</f>
        <v>-0.10070916099043895</v>
      </c>
      <c r="I46" s="40"/>
      <c r="O46" s="83">
        <v>1.07</v>
      </c>
      <c r="P46" s="83">
        <f t="shared" si="14"/>
        <v>39.397400000000005</v>
      </c>
      <c r="Q46" s="2"/>
      <c r="T46" s="93" t="s">
        <v>101</v>
      </c>
      <c r="U46" s="88" t="s">
        <v>444</v>
      </c>
      <c r="W46" s="133">
        <v>42556</v>
      </c>
      <c r="X46" s="10">
        <v>36</v>
      </c>
      <c r="Y46" s="10">
        <v>36.24</v>
      </c>
      <c r="Z46" s="10">
        <v>34.78</v>
      </c>
      <c r="AA46" s="10">
        <v>35.619999999999997</v>
      </c>
      <c r="AB46" s="95">
        <v>14239500</v>
      </c>
      <c r="AC46" s="10">
        <v>35.43</v>
      </c>
      <c r="AD46" s="2">
        <f t="shared" si="1"/>
        <v>1.4600000000000009</v>
      </c>
      <c r="AE46" s="138">
        <f t="shared" si="2"/>
        <v>-3.1173092698933536E-2</v>
      </c>
    </row>
    <row r="47" spans="2:31" x14ac:dyDescent="0.25">
      <c r="B47" s="193">
        <v>42552</v>
      </c>
      <c r="C47" s="10">
        <v>600</v>
      </c>
      <c r="D47" s="40">
        <v>38.552599999999998</v>
      </c>
      <c r="E47" s="40">
        <v>36.770000000000003</v>
      </c>
      <c r="F47" s="40">
        <f t="shared" ref="F47" si="18">C47*(E47-D47)</f>
        <v>-1069.559999999997</v>
      </c>
      <c r="G47" s="40">
        <f t="shared" ref="G47" si="19">D47*C47</f>
        <v>23131.559999999998</v>
      </c>
      <c r="H47" s="231">
        <f t="shared" ref="H47" si="20">(E47-D47)/D47</f>
        <v>-4.6238126611434643E-2</v>
      </c>
      <c r="I47" s="40"/>
      <c r="O47" s="83">
        <v>1.06</v>
      </c>
      <c r="P47" s="83">
        <f t="shared" si="14"/>
        <v>39.029200000000003</v>
      </c>
      <c r="Q47" s="2"/>
      <c r="T47" s="93" t="s">
        <v>102</v>
      </c>
      <c r="U47" s="88">
        <v>52.46</v>
      </c>
      <c r="W47" s="133">
        <v>42552</v>
      </c>
      <c r="X47" s="10">
        <v>36.409999999999997</v>
      </c>
      <c r="Y47" s="10">
        <v>37</v>
      </c>
      <c r="Z47" s="10">
        <v>36.31</v>
      </c>
      <c r="AA47" s="10">
        <v>36.770000000000003</v>
      </c>
      <c r="AB47" s="95">
        <v>9408400</v>
      </c>
      <c r="AC47" s="10">
        <v>36.57</v>
      </c>
      <c r="AD47" s="2">
        <f t="shared" si="1"/>
        <v>0.68999999999999773</v>
      </c>
      <c r="AE47" s="138">
        <f t="shared" si="2"/>
        <v>9.3844879933757674E-3</v>
      </c>
    </row>
    <row r="48" spans="2:31" x14ac:dyDescent="0.25">
      <c r="B48" s="193">
        <v>42556</v>
      </c>
      <c r="C48" s="282">
        <v>600</v>
      </c>
      <c r="D48" s="339">
        <v>38.552599999999998</v>
      </c>
      <c r="E48" s="40">
        <v>35.619999999999997</v>
      </c>
      <c r="F48" s="40">
        <f t="shared" ref="F48" si="21">C48*(E48-D48)</f>
        <v>-1759.5600000000004</v>
      </c>
      <c r="G48" s="40">
        <f t="shared" ref="G48" si="22">D48*C48</f>
        <v>23131.559999999998</v>
      </c>
      <c r="H48" s="231">
        <f t="shared" ref="H48" si="23">(E48-D48)/D48</f>
        <v>-7.6067502580889512E-2</v>
      </c>
      <c r="I48" s="40"/>
      <c r="O48" s="83">
        <v>1.05</v>
      </c>
      <c r="P48" s="83">
        <f t="shared" si="14"/>
        <v>38.661000000000001</v>
      </c>
      <c r="Q48" s="2"/>
      <c r="T48" s="93" t="s">
        <v>103</v>
      </c>
      <c r="U48" s="88">
        <v>1.06281</v>
      </c>
      <c r="W48" s="133">
        <v>42551</v>
      </c>
      <c r="X48" s="10">
        <v>36.26</v>
      </c>
      <c r="Y48" s="10">
        <v>36.43</v>
      </c>
      <c r="Z48" s="10">
        <v>35.729999999999997</v>
      </c>
      <c r="AA48" s="10">
        <v>36.43</v>
      </c>
      <c r="AB48" s="95">
        <v>12413700</v>
      </c>
      <c r="AC48" s="10">
        <v>36.229999999999997</v>
      </c>
      <c r="AD48" s="2">
        <f t="shared" si="1"/>
        <v>0.70000000000000284</v>
      </c>
      <c r="AE48" s="138">
        <f t="shared" si="2"/>
        <v>5.2719200887900719E-3</v>
      </c>
    </row>
    <row r="49" spans="2:31" x14ac:dyDescent="0.25">
      <c r="B49" s="193">
        <v>42559</v>
      </c>
      <c r="C49" s="282">
        <v>600</v>
      </c>
      <c r="D49" s="339">
        <v>38.552599999999998</v>
      </c>
      <c r="E49" s="40">
        <v>37.369999999999997</v>
      </c>
      <c r="F49" s="40">
        <f t="shared" ref="F49" si="24">C49*(E49-D49)</f>
        <v>-709.5600000000004</v>
      </c>
      <c r="G49" s="40">
        <f t="shared" ref="G49" si="25">D49*C49</f>
        <v>23131.559999999998</v>
      </c>
      <c r="H49" s="231">
        <f t="shared" ref="H49" si="26">(E49-D49)/D49</f>
        <v>-3.0674973931719283E-2</v>
      </c>
      <c r="I49" s="40"/>
      <c r="O49" s="83">
        <v>1.04</v>
      </c>
      <c r="P49" s="83">
        <f t="shared" si="14"/>
        <v>38.2928</v>
      </c>
      <c r="Q49" s="2"/>
      <c r="T49" s="93" t="s">
        <v>123</v>
      </c>
      <c r="U49" s="88" t="s">
        <v>287</v>
      </c>
      <c r="W49" s="133">
        <v>42550</v>
      </c>
      <c r="X49" s="10">
        <v>35.4</v>
      </c>
      <c r="Y49" s="10">
        <v>36.380000000000003</v>
      </c>
      <c r="Z49" s="10">
        <v>34.909999999999997</v>
      </c>
      <c r="AA49" s="10">
        <v>36.24</v>
      </c>
      <c r="AB49" s="95">
        <v>15059700</v>
      </c>
      <c r="AC49" s="10">
        <v>36.04</v>
      </c>
      <c r="AD49" s="2">
        <f t="shared" si="1"/>
        <v>1.470000000000006</v>
      </c>
      <c r="AE49" s="138">
        <f t="shared" si="2"/>
        <v>4.5243619489559128E-2</v>
      </c>
    </row>
    <row r="50" spans="2:31" x14ac:dyDescent="0.25">
      <c r="B50" s="193">
        <v>42562</v>
      </c>
      <c r="C50" s="282">
        <v>600</v>
      </c>
      <c r="D50" s="339">
        <v>38.552599999999998</v>
      </c>
      <c r="E50" s="40">
        <v>38.119999999999997</v>
      </c>
      <c r="F50" s="40">
        <f t="shared" ref="F50:F52" si="27">C50*(E50-D50)</f>
        <v>-259.56000000000046</v>
      </c>
      <c r="G50" s="40">
        <f t="shared" ref="G50:G52" si="28">D50*C50</f>
        <v>23131.559999999998</v>
      </c>
      <c r="H50" s="231">
        <f t="shared" ref="H50:H52" si="29">(E50-D50)/D50</f>
        <v>-1.1221033082074899E-2</v>
      </c>
      <c r="I50" s="40"/>
      <c r="O50" s="83">
        <v>1.03</v>
      </c>
      <c r="P50" s="83">
        <f t="shared" si="14"/>
        <v>37.924599999999998</v>
      </c>
      <c r="Q50" s="2"/>
      <c r="T50" s="93"/>
      <c r="U50" s="88"/>
      <c r="W50" s="133">
        <v>42549</v>
      </c>
      <c r="X50" s="10">
        <v>34.270000000000003</v>
      </c>
      <c r="Y50" s="10">
        <v>34.67</v>
      </c>
      <c r="Z50" s="10">
        <v>33.6</v>
      </c>
      <c r="AA50" s="10">
        <v>34.67</v>
      </c>
      <c r="AB50" s="95">
        <v>19678200</v>
      </c>
      <c r="AC50" s="10">
        <v>34.479999999999997</v>
      </c>
      <c r="AD50" s="2">
        <f t="shared" si="1"/>
        <v>1.0700000000000003</v>
      </c>
      <c r="AE50" s="138">
        <f t="shared" si="2"/>
        <v>3.9180229053646709E-2</v>
      </c>
    </row>
    <row r="51" spans="2:31" x14ac:dyDescent="0.25">
      <c r="B51" s="193">
        <v>42563</v>
      </c>
      <c r="C51" s="10">
        <v>500</v>
      </c>
      <c r="D51" s="40">
        <v>38.395200000000003</v>
      </c>
      <c r="E51" s="40">
        <v>40.21</v>
      </c>
      <c r="F51" s="40">
        <f t="shared" si="27"/>
        <v>907.39999999999907</v>
      </c>
      <c r="G51" s="40">
        <f t="shared" si="28"/>
        <v>19197.600000000002</v>
      </c>
      <c r="H51" s="231">
        <f t="shared" si="29"/>
        <v>4.7266324957286276E-2</v>
      </c>
      <c r="I51" s="40"/>
      <c r="O51" s="83">
        <v>1.02</v>
      </c>
      <c r="P51" s="83">
        <f>O51*$Q$4</f>
        <v>37.556400000000004</v>
      </c>
      <c r="Q51" s="2"/>
      <c r="T51" s="93" t="s">
        <v>105</v>
      </c>
      <c r="U51" s="88" t="s">
        <v>445</v>
      </c>
      <c r="W51" s="133">
        <v>42548</v>
      </c>
      <c r="X51" s="10">
        <v>34.840000000000003</v>
      </c>
      <c r="Y51" s="10">
        <v>34.94</v>
      </c>
      <c r="Z51" s="10">
        <v>32.6</v>
      </c>
      <c r="AA51" s="10">
        <v>33.36</v>
      </c>
      <c r="AB51" s="95">
        <v>28380600</v>
      </c>
      <c r="AC51" s="10">
        <v>33.18</v>
      </c>
      <c r="AD51" s="2">
        <f t="shared" si="1"/>
        <v>2.3399999999999963</v>
      </c>
      <c r="AE51" s="138">
        <f t="shared" si="2"/>
        <v>-5.1729065447270739E-2</v>
      </c>
    </row>
    <row r="52" spans="2:31" x14ac:dyDescent="0.25">
      <c r="B52" s="193">
        <v>42566</v>
      </c>
      <c r="C52" s="460">
        <v>400</v>
      </c>
      <c r="D52" s="461">
        <v>37.874299999999998</v>
      </c>
      <c r="E52" s="40">
        <v>39.979999999999997</v>
      </c>
      <c r="F52" s="40">
        <f t="shared" si="27"/>
        <v>842.27999999999952</v>
      </c>
      <c r="G52" s="40">
        <f t="shared" si="28"/>
        <v>15149.72</v>
      </c>
      <c r="H52" s="231">
        <f t="shared" si="29"/>
        <v>5.559706714051478E-2</v>
      </c>
      <c r="I52" s="40"/>
      <c r="O52" s="83">
        <v>1.01</v>
      </c>
      <c r="P52" s="83">
        <f t="shared" si="14"/>
        <v>37.188200000000002</v>
      </c>
      <c r="Q52" s="2"/>
      <c r="T52" s="93" t="s">
        <v>106</v>
      </c>
      <c r="U52" s="88" t="s">
        <v>262</v>
      </c>
      <c r="W52" s="133">
        <v>42545</v>
      </c>
      <c r="X52" s="10">
        <v>36.090000000000003</v>
      </c>
      <c r="Y52" s="10">
        <v>37.08</v>
      </c>
      <c r="Z52" s="10">
        <v>35.17</v>
      </c>
      <c r="AA52" s="10">
        <v>35.18</v>
      </c>
      <c r="AB52" s="95">
        <v>26090700</v>
      </c>
      <c r="AC52" s="10">
        <v>34.99</v>
      </c>
      <c r="AD52" s="2">
        <f t="shared" si="1"/>
        <v>1.9099999999999966</v>
      </c>
      <c r="AE52" s="138">
        <f t="shared" si="2"/>
        <v>-8.1627296587926446E-2</v>
      </c>
    </row>
    <row r="53" spans="2:31" x14ac:dyDescent="0.25">
      <c r="B53" s="193">
        <v>42569</v>
      </c>
      <c r="C53" s="10">
        <v>400</v>
      </c>
      <c r="D53" s="40">
        <v>37.874299999999998</v>
      </c>
      <c r="E53" s="40">
        <v>40.1</v>
      </c>
      <c r="F53" s="40">
        <f t="shared" ref="F53" si="30">C53*(E53-D53)</f>
        <v>890.28000000000134</v>
      </c>
      <c r="G53" s="40">
        <f t="shared" ref="G53" si="31">D53*C53</f>
        <v>15149.72</v>
      </c>
      <c r="H53" s="231">
        <f t="shared" ref="H53" si="32">(E53-D53)/D53</f>
        <v>5.8765442529631E-2</v>
      </c>
      <c r="I53" s="40"/>
      <c r="O53" s="83">
        <v>1</v>
      </c>
      <c r="P53" s="83">
        <f t="shared" si="14"/>
        <v>36.82</v>
      </c>
      <c r="Q53" s="2"/>
      <c r="T53" s="93" t="s">
        <v>107</v>
      </c>
      <c r="U53" s="90">
        <v>10201908</v>
      </c>
      <c r="W53" s="133">
        <v>42544</v>
      </c>
      <c r="X53" s="10">
        <v>39</v>
      </c>
      <c r="Y53" s="10">
        <v>39.07</v>
      </c>
      <c r="Z53" s="10">
        <v>37.729999999999997</v>
      </c>
      <c r="AA53" s="10">
        <v>38.31</v>
      </c>
      <c r="AB53" s="95">
        <v>10956200</v>
      </c>
      <c r="AC53" s="10">
        <v>38.1</v>
      </c>
      <c r="AD53" s="2">
        <f t="shared" si="1"/>
        <v>1.3400000000000034</v>
      </c>
      <c r="AE53" s="138">
        <f t="shared" si="2"/>
        <v>-6.259780907668322E-3</v>
      </c>
    </row>
    <row r="54" spans="2:31" x14ac:dyDescent="0.25">
      <c r="B54" s="193">
        <v>42570</v>
      </c>
      <c r="C54" s="10">
        <v>400</v>
      </c>
      <c r="D54" s="40">
        <v>37.874299999999998</v>
      </c>
      <c r="E54" s="40">
        <v>40.53</v>
      </c>
      <c r="F54" s="40">
        <f t="shared" ref="F54:F56" si="33">C54*(E54-D54)</f>
        <v>1062.2800000000011</v>
      </c>
      <c r="G54" s="40">
        <f t="shared" ref="G54:G56" si="34">D54*C54</f>
        <v>15149.72</v>
      </c>
      <c r="H54" s="231">
        <f t="shared" ref="H54:H56" si="35">(E54-D54)/D54</f>
        <v>7.0118787673963692E-2</v>
      </c>
      <c r="I54" s="40"/>
      <c r="O54" s="83">
        <v>0.99</v>
      </c>
      <c r="P54" s="83">
        <f t="shared" si="14"/>
        <v>36.451799999999999</v>
      </c>
      <c r="T54" s="93" t="s">
        <v>110</v>
      </c>
      <c r="U54" s="90">
        <v>11440400</v>
      </c>
      <c r="W54" s="133">
        <v>42543</v>
      </c>
      <c r="X54" s="10">
        <v>38.57</v>
      </c>
      <c r="Y54" s="10">
        <v>39.159999999999997</v>
      </c>
      <c r="Z54" s="10">
        <v>38.5</v>
      </c>
      <c r="AA54" s="10">
        <v>38.549999999999997</v>
      </c>
      <c r="AB54" s="95">
        <v>7029400</v>
      </c>
      <c r="AC54" s="10">
        <v>38.340000000000003</v>
      </c>
      <c r="AD54" s="2">
        <f t="shared" si="1"/>
        <v>0.65999999999999659</v>
      </c>
      <c r="AE54" s="138">
        <f t="shared" si="2"/>
        <v>-3.1201248049921304E-3</v>
      </c>
    </row>
    <row r="55" spans="2:31" x14ac:dyDescent="0.25">
      <c r="B55" s="193">
        <v>42571</v>
      </c>
      <c r="C55" s="429">
        <v>300</v>
      </c>
      <c r="D55" s="46">
        <v>36.805999999999997</v>
      </c>
      <c r="E55" s="339">
        <v>40.21</v>
      </c>
      <c r="F55" s="40">
        <f t="shared" si="33"/>
        <v>1021.2000000000011</v>
      </c>
      <c r="G55" s="40">
        <f t="shared" si="34"/>
        <v>11041.8</v>
      </c>
      <c r="H55" s="231">
        <f t="shared" si="35"/>
        <v>9.2484920936803883E-2</v>
      </c>
      <c r="I55" s="40"/>
      <c r="O55" s="83">
        <v>0.98</v>
      </c>
      <c r="P55" s="83">
        <f t="shared" si="14"/>
        <v>36.083599999999997</v>
      </c>
      <c r="T55" s="93" t="s">
        <v>108</v>
      </c>
      <c r="U55" s="88" t="s">
        <v>446</v>
      </c>
      <c r="W55" s="133">
        <v>42542</v>
      </c>
      <c r="X55" s="10">
        <v>38.67</v>
      </c>
      <c r="Y55" s="10">
        <v>39</v>
      </c>
      <c r="Z55" s="10">
        <v>38.049999999999997</v>
      </c>
      <c r="AA55" s="10">
        <v>38.67</v>
      </c>
      <c r="AB55" s="95">
        <v>11997900</v>
      </c>
      <c r="AC55" s="10">
        <v>38.46</v>
      </c>
      <c r="AD55" s="2">
        <f t="shared" si="1"/>
        <v>0.95000000000000284</v>
      </c>
      <c r="AE55" s="138">
        <f t="shared" si="2"/>
        <v>1.5311510031678965E-2</v>
      </c>
    </row>
    <row r="56" spans="2:31" x14ac:dyDescent="0.25">
      <c r="B56" s="193">
        <v>42572</v>
      </c>
      <c r="C56" s="10">
        <v>350</v>
      </c>
      <c r="D56" s="40">
        <v>37.059399999999997</v>
      </c>
      <c r="E56" s="40">
        <v>38.520000000000003</v>
      </c>
      <c r="F56" s="40">
        <f t="shared" si="33"/>
        <v>511.21000000000231</v>
      </c>
      <c r="G56" s="40">
        <f t="shared" si="34"/>
        <v>12970.789999999999</v>
      </c>
      <c r="H56" s="231">
        <f t="shared" si="35"/>
        <v>3.9412402791194859E-2</v>
      </c>
      <c r="I56" s="40"/>
      <c r="O56" s="83">
        <v>0.97</v>
      </c>
      <c r="P56" s="83">
        <f t="shared" si="14"/>
        <v>35.715400000000002</v>
      </c>
      <c r="T56" s="93" t="s">
        <v>111</v>
      </c>
      <c r="U56" s="88">
        <v>6.05</v>
      </c>
      <c r="W56" s="133">
        <v>42541</v>
      </c>
      <c r="X56" s="10">
        <v>38.43</v>
      </c>
      <c r="Y56" s="10">
        <v>38.729999999999997</v>
      </c>
      <c r="Z56" s="10">
        <v>38</v>
      </c>
      <c r="AA56" s="10">
        <v>38.090000000000003</v>
      </c>
      <c r="AB56" s="95">
        <v>9921200</v>
      </c>
      <c r="AC56" s="10">
        <v>37.880000000000003</v>
      </c>
      <c r="AD56" s="2">
        <f t="shared" si="1"/>
        <v>0.72999999999999687</v>
      </c>
      <c r="AE56" s="138">
        <f t="shared" si="2"/>
        <v>2.1164021164021829E-3</v>
      </c>
    </row>
    <row r="57" spans="2:31" x14ac:dyDescent="0.25">
      <c r="B57" s="193">
        <v>42575</v>
      </c>
      <c r="C57" s="10">
        <v>350</v>
      </c>
      <c r="D57" s="40">
        <v>37.059399999999997</v>
      </c>
      <c r="E57" s="40">
        <v>38.96</v>
      </c>
      <c r="F57" s="40">
        <f t="shared" ref="F57" si="36">C57*(E57-D57)</f>
        <v>665.21000000000151</v>
      </c>
      <c r="G57" s="40">
        <f t="shared" ref="G57" si="37">D57*C57</f>
        <v>12970.789999999999</v>
      </c>
      <c r="H57" s="231">
        <f t="shared" ref="H57" si="38">(E57-D57)/D57</f>
        <v>5.1285233975725576E-2</v>
      </c>
      <c r="I57" s="40"/>
      <c r="O57" s="83">
        <v>0.96</v>
      </c>
      <c r="P57" s="83">
        <f t="shared" si="14"/>
        <v>35.347200000000001</v>
      </c>
      <c r="T57" s="93" t="s">
        <v>112</v>
      </c>
      <c r="U57" s="88">
        <v>6.14</v>
      </c>
      <c r="W57" s="133">
        <v>42538</v>
      </c>
      <c r="X57" s="10">
        <v>37.94</v>
      </c>
      <c r="Y57" s="10">
        <v>38.24</v>
      </c>
      <c r="Z57" s="10">
        <v>37.68</v>
      </c>
      <c r="AA57" s="10">
        <v>38.01</v>
      </c>
      <c r="AB57" s="95">
        <v>11157800</v>
      </c>
      <c r="AC57" s="10">
        <v>37.799999999999997</v>
      </c>
      <c r="AD57" s="2">
        <f t="shared" si="1"/>
        <v>0.56000000000000227</v>
      </c>
      <c r="AE57" s="138">
        <f t="shared" si="2"/>
        <v>-2.6448029621806146E-4</v>
      </c>
    </row>
    <row r="58" spans="2:31" x14ac:dyDescent="0.25">
      <c r="B58" s="193">
        <v>42577</v>
      </c>
      <c r="C58" s="10">
        <v>350</v>
      </c>
      <c r="D58" s="40">
        <v>37.059399999999997</v>
      </c>
      <c r="E58" s="40">
        <v>39.03</v>
      </c>
      <c r="F58" s="40">
        <f t="shared" ref="F58" si="39">C58*(E58-D58)</f>
        <v>689.71000000000163</v>
      </c>
      <c r="G58" s="40">
        <f t="shared" ref="G58" si="40">D58*C58</f>
        <v>12970.789999999999</v>
      </c>
      <c r="H58" s="231">
        <f t="shared" ref="H58" si="41">(E58-D58)/D58</f>
        <v>5.3174093482355481E-2</v>
      </c>
      <c r="I58" s="40"/>
      <c r="O58" s="83">
        <v>0.95</v>
      </c>
      <c r="P58" s="83">
        <f t="shared" si="14"/>
        <v>34.978999999999999</v>
      </c>
      <c r="T58" s="93" t="s">
        <v>109</v>
      </c>
      <c r="U58" s="88" t="s">
        <v>447</v>
      </c>
      <c r="W58" s="133">
        <v>42537</v>
      </c>
      <c r="X58" s="10">
        <v>38.369999999999997</v>
      </c>
      <c r="Y58" s="10">
        <v>38.57</v>
      </c>
      <c r="Z58" s="10">
        <v>37.840000000000003</v>
      </c>
      <c r="AA58" s="10">
        <v>38.020000000000003</v>
      </c>
      <c r="AB58" s="95">
        <v>13086600</v>
      </c>
      <c r="AC58" s="10">
        <v>37.81</v>
      </c>
      <c r="AD58" s="2">
        <f t="shared" si="1"/>
        <v>0.72999999999999687</v>
      </c>
      <c r="AE58" s="138">
        <f t="shared" si="2"/>
        <v>-2.2492244053774479E-2</v>
      </c>
    </row>
    <row r="59" spans="2:31" x14ac:dyDescent="0.25">
      <c r="B59" s="193">
        <v>42580</v>
      </c>
      <c r="C59" s="7">
        <v>300</v>
      </c>
      <c r="D59" s="44">
        <v>36.606099999999998</v>
      </c>
      <c r="E59" s="40">
        <v>39.659999999999997</v>
      </c>
      <c r="F59" s="40">
        <f t="shared" ref="F59:F62" si="42">C59*(E59-D59)</f>
        <v>916.16999999999962</v>
      </c>
      <c r="G59" s="40">
        <f t="shared" ref="G59:G62" si="43">D59*C59</f>
        <v>10981.83</v>
      </c>
      <c r="H59" s="231">
        <f t="shared" ref="H59:H62" si="44">(E59-D59)/D59</f>
        <v>8.3425986379319264E-2</v>
      </c>
      <c r="I59" s="44">
        <v>36</v>
      </c>
      <c r="O59" s="83">
        <v>0.94</v>
      </c>
      <c r="P59" s="83">
        <f t="shared" si="14"/>
        <v>34.610799999999998</v>
      </c>
      <c r="W59" s="133">
        <v>42536</v>
      </c>
      <c r="X59" s="10">
        <v>39.369999999999997</v>
      </c>
      <c r="Y59" s="10">
        <v>39.78</v>
      </c>
      <c r="Z59" s="10">
        <v>38.83</v>
      </c>
      <c r="AA59" s="10">
        <v>38.89</v>
      </c>
      <c r="AB59" s="95">
        <v>11044000</v>
      </c>
      <c r="AC59" s="10">
        <v>38.68</v>
      </c>
      <c r="AD59" s="2">
        <f t="shared" si="1"/>
        <v>0.95000000000000284</v>
      </c>
      <c r="AE59" s="138">
        <f t="shared" si="2"/>
        <v>-5.6555269922878848E-3</v>
      </c>
    </row>
    <row r="60" spans="2:31" x14ac:dyDescent="0.25">
      <c r="B60" s="193">
        <v>42580</v>
      </c>
      <c r="C60" s="10">
        <v>350</v>
      </c>
      <c r="D60" s="40">
        <v>36.945300000000003</v>
      </c>
      <c r="E60" s="40">
        <v>38.75</v>
      </c>
      <c r="F60" s="40">
        <f t="shared" si="42"/>
        <v>631.64499999999884</v>
      </c>
      <c r="G60" s="40">
        <f t="shared" si="43"/>
        <v>12930.855000000001</v>
      </c>
      <c r="H60" s="231">
        <f t="shared" si="44"/>
        <v>4.8847891342065075E-2</v>
      </c>
      <c r="I60" s="40"/>
      <c r="O60" s="83">
        <v>0.93</v>
      </c>
      <c r="P60" s="83">
        <f t="shared" si="14"/>
        <v>34.242600000000003</v>
      </c>
      <c r="W60" s="133">
        <v>42535</v>
      </c>
      <c r="X60" s="10">
        <v>40.409999999999997</v>
      </c>
      <c r="Y60" s="10">
        <v>40.56</v>
      </c>
      <c r="Z60" s="10">
        <v>38.64</v>
      </c>
      <c r="AA60" s="10">
        <v>39.11</v>
      </c>
      <c r="AB60" s="95">
        <v>15065800</v>
      </c>
      <c r="AC60" s="10">
        <v>38.9</v>
      </c>
      <c r="AD60" s="2">
        <f t="shared" si="1"/>
        <v>1.9200000000000017</v>
      </c>
      <c r="AE60" s="138">
        <f t="shared" si="2"/>
        <v>-3.5935563816604787E-2</v>
      </c>
    </row>
    <row r="61" spans="2:31" x14ac:dyDescent="0.25">
      <c r="B61" s="193">
        <v>42584</v>
      </c>
      <c r="C61" s="460">
        <v>400</v>
      </c>
      <c r="D61" s="461">
        <v>37.037100000000002</v>
      </c>
      <c r="E61" s="40">
        <v>36.39</v>
      </c>
      <c r="F61" s="40">
        <f t="shared" si="42"/>
        <v>-258.84000000000071</v>
      </c>
      <c r="G61" s="40">
        <f t="shared" si="43"/>
        <v>14814.84</v>
      </c>
      <c r="H61" s="231">
        <f t="shared" si="44"/>
        <v>-1.747167029816054E-2</v>
      </c>
      <c r="I61" s="461">
        <v>36.5</v>
      </c>
      <c r="O61" s="83">
        <v>0.92</v>
      </c>
      <c r="P61" s="83">
        <f t="shared" si="14"/>
        <v>33.874400000000001</v>
      </c>
      <c r="W61" s="133">
        <v>42534</v>
      </c>
      <c r="X61" s="10">
        <v>41.59</v>
      </c>
      <c r="Y61" s="10">
        <v>41.7</v>
      </c>
      <c r="Z61" s="10">
        <v>40.53</v>
      </c>
      <c r="AA61" s="10">
        <v>40.57</v>
      </c>
      <c r="AB61" s="95">
        <v>9946500</v>
      </c>
      <c r="AC61" s="10">
        <v>40.35</v>
      </c>
      <c r="AD61" s="2">
        <f t="shared" si="1"/>
        <v>1.1700000000000017</v>
      </c>
      <c r="AE61" s="138">
        <f t="shared" si="2"/>
        <v>-3.4919875627840269E-2</v>
      </c>
    </row>
    <row r="62" spans="2:31" x14ac:dyDescent="0.25">
      <c r="B62" s="193">
        <v>42597</v>
      </c>
      <c r="C62" s="10">
        <v>400</v>
      </c>
      <c r="D62" s="40">
        <v>37.037100000000002</v>
      </c>
      <c r="E62" s="40">
        <v>36.92</v>
      </c>
      <c r="F62" s="40">
        <f t="shared" si="42"/>
        <v>-46.840000000000259</v>
      </c>
      <c r="G62" s="40">
        <f t="shared" si="43"/>
        <v>14814.84</v>
      </c>
      <c r="H62" s="231">
        <f t="shared" si="44"/>
        <v>-3.1616946251191544E-3</v>
      </c>
      <c r="I62" s="40"/>
      <c r="O62" s="83">
        <v>0.91</v>
      </c>
      <c r="P62" s="83">
        <f t="shared" si="14"/>
        <v>33.5062</v>
      </c>
      <c r="W62" s="133">
        <v>42531</v>
      </c>
      <c r="X62" s="10">
        <v>42.06</v>
      </c>
      <c r="Y62" s="10">
        <v>42.29</v>
      </c>
      <c r="Z62" s="10">
        <v>41.41</v>
      </c>
      <c r="AA62" s="10">
        <v>42.04</v>
      </c>
      <c r="AB62" s="95">
        <v>6787900</v>
      </c>
      <c r="AC62" s="10">
        <v>41.81</v>
      </c>
      <c r="AD62" s="2">
        <f t="shared" si="1"/>
        <v>0.88000000000000256</v>
      </c>
      <c r="AE62" s="138">
        <f t="shared" si="2"/>
        <v>-8.5368745553711101E-3</v>
      </c>
    </row>
    <row r="63" spans="2:31" x14ac:dyDescent="0.25">
      <c r="B63" s="193">
        <v>42599</v>
      </c>
      <c r="C63" s="10">
        <v>400</v>
      </c>
      <c r="D63" s="40">
        <v>37.037100000000002</v>
      </c>
      <c r="E63" s="40">
        <v>37.51</v>
      </c>
      <c r="F63" s="40">
        <f t="shared" ref="F63" si="45">C63*(E63-D63)</f>
        <v>189.15999999999826</v>
      </c>
      <c r="G63" s="40">
        <f t="shared" ref="G63" si="46">D63*C63</f>
        <v>14814.84</v>
      </c>
      <c r="H63" s="231">
        <f t="shared" ref="H63" si="47">(E63-D63)/D63</f>
        <v>1.2768278293926781E-2</v>
      </c>
      <c r="I63" s="40"/>
      <c r="O63" s="83">
        <v>0.9</v>
      </c>
      <c r="P63" s="83">
        <f t="shared" si="14"/>
        <v>33.137999999999998</v>
      </c>
      <c r="W63" s="133">
        <v>42530</v>
      </c>
      <c r="X63" s="10">
        <v>41.75</v>
      </c>
      <c r="Y63" s="10">
        <v>42.58</v>
      </c>
      <c r="Z63" s="10">
        <v>41.52</v>
      </c>
      <c r="AA63" s="10">
        <v>42.4</v>
      </c>
      <c r="AB63" s="95">
        <v>7618100</v>
      </c>
      <c r="AC63" s="10">
        <v>42.17</v>
      </c>
      <c r="AD63" s="2">
        <f t="shared" si="1"/>
        <v>1.0599999999999952</v>
      </c>
      <c r="AE63" s="138">
        <f t="shared" si="2"/>
        <v>1.3214800576645924E-2</v>
      </c>
    </row>
    <row r="64" spans="2:31" x14ac:dyDescent="0.25">
      <c r="B64" s="193">
        <v>42600</v>
      </c>
      <c r="C64" s="10">
        <v>400</v>
      </c>
      <c r="D64" s="40">
        <v>37.037100000000002</v>
      </c>
      <c r="E64" s="40">
        <v>37.07</v>
      </c>
      <c r="F64" s="40">
        <f t="shared" ref="F64" si="48">C64*(E64-D64)</f>
        <v>13.159999999999172</v>
      </c>
      <c r="G64" s="40">
        <f t="shared" ref="G64" si="49">D64*C64</f>
        <v>14814.84</v>
      </c>
      <c r="H64" s="231">
        <f t="shared" ref="H64" si="50">(E64-D64)/D64</f>
        <v>8.8829848989251125E-4</v>
      </c>
      <c r="I64" s="40"/>
      <c r="W64" s="133">
        <v>42529</v>
      </c>
      <c r="X64" s="10">
        <v>42.2</v>
      </c>
      <c r="Y64" s="10">
        <v>42.45</v>
      </c>
      <c r="Z64" s="10">
        <v>41.1</v>
      </c>
      <c r="AA64" s="10">
        <v>41.85</v>
      </c>
      <c r="AB64" s="95">
        <v>13861700</v>
      </c>
      <c r="AC64" s="10">
        <v>41.62</v>
      </c>
      <c r="AD64" s="2">
        <f t="shared" si="1"/>
        <v>1.3500000000000014</v>
      </c>
      <c r="AE64" s="138">
        <f t="shared" si="2"/>
        <v>-5.9708621925006478E-3</v>
      </c>
    </row>
    <row r="65" spans="2:31" x14ac:dyDescent="0.25">
      <c r="B65" s="193">
        <v>42601</v>
      </c>
      <c r="C65" s="10">
        <v>400</v>
      </c>
      <c r="D65" s="40">
        <v>37.037100000000002</v>
      </c>
      <c r="E65" s="40">
        <v>36.770000000000003</v>
      </c>
      <c r="F65" s="40">
        <f t="shared" ref="F65" si="51">C65*(E65-D65)</f>
        <v>-106.83999999999969</v>
      </c>
      <c r="G65" s="40">
        <f t="shared" ref="G65" si="52">D65*C65</f>
        <v>14814.84</v>
      </c>
      <c r="H65" s="231">
        <f t="shared" ref="H65" si="53">(E65-D65)/D65</f>
        <v>-7.2116877401308208E-3</v>
      </c>
      <c r="I65" s="40"/>
      <c r="W65" s="133">
        <v>42528</v>
      </c>
      <c r="X65" s="10">
        <v>41.35</v>
      </c>
      <c r="Y65" s="10">
        <v>42.81</v>
      </c>
      <c r="Z65" s="10">
        <v>41</v>
      </c>
      <c r="AA65" s="10">
        <v>42.1</v>
      </c>
      <c r="AB65" s="95">
        <v>11445900</v>
      </c>
      <c r="AC65" s="10">
        <v>41.87</v>
      </c>
      <c r="AD65" s="2">
        <f t="shared" si="1"/>
        <v>1.8100000000000023</v>
      </c>
      <c r="AE65" s="138">
        <f t="shared" si="2"/>
        <v>1.9975639464068218E-2</v>
      </c>
    </row>
    <row r="66" spans="2:31" x14ac:dyDescent="0.25">
      <c r="B66" s="193">
        <v>42604</v>
      </c>
      <c r="C66" s="10">
        <v>400</v>
      </c>
      <c r="D66" s="40">
        <v>37.037100000000002</v>
      </c>
      <c r="E66" s="40">
        <v>36.61</v>
      </c>
      <c r="F66" s="40">
        <f t="shared" ref="F66" si="54">C66*(E66-D66)</f>
        <v>-170.84000000000117</v>
      </c>
      <c r="G66" s="40">
        <f t="shared" ref="G66" si="55">D66*C66</f>
        <v>14814.84</v>
      </c>
      <c r="H66" s="231">
        <f t="shared" ref="H66" si="56">(E66-D66)/D66</f>
        <v>-1.1531680396143405E-2</v>
      </c>
      <c r="I66" s="40"/>
      <c r="W66" s="133">
        <v>42527</v>
      </c>
      <c r="X66" s="10">
        <v>41.54</v>
      </c>
      <c r="Y66" s="10">
        <v>41.6</v>
      </c>
      <c r="Z66" s="10">
        <v>41</v>
      </c>
      <c r="AA66" s="10">
        <v>41.28</v>
      </c>
      <c r="AB66" s="95">
        <v>11538400</v>
      </c>
      <c r="AC66" s="10">
        <v>41.05</v>
      </c>
      <c r="AD66" s="2">
        <f t="shared" si="1"/>
        <v>0.60000000000000142</v>
      </c>
      <c r="AE66" s="138">
        <f t="shared" si="2"/>
        <v>-7.0149975810355203E-3</v>
      </c>
    </row>
    <row r="67" spans="2:31" x14ac:dyDescent="0.25">
      <c r="B67" s="193">
        <v>42605</v>
      </c>
      <c r="C67" s="10">
        <v>400</v>
      </c>
      <c r="D67" s="40">
        <v>37.037100000000002</v>
      </c>
      <c r="E67" s="40">
        <v>36.69</v>
      </c>
      <c r="F67" s="40">
        <f t="shared" ref="F67" si="57">C67*(E67-D67)</f>
        <v>-138.84000000000185</v>
      </c>
      <c r="G67" s="40">
        <f t="shared" ref="G67" si="58">D67*C67</f>
        <v>14814.84</v>
      </c>
      <c r="H67" s="231">
        <f t="shared" ref="H67" si="59">(E67-D67)/D67</f>
        <v>-9.3716840681372093E-3</v>
      </c>
      <c r="I67" s="40"/>
      <c r="W67" s="133">
        <v>42524</v>
      </c>
      <c r="X67" s="10">
        <v>42.22</v>
      </c>
      <c r="Y67" s="10">
        <v>42.4</v>
      </c>
      <c r="Z67" s="10">
        <v>41.25</v>
      </c>
      <c r="AA67" s="10">
        <v>41.57</v>
      </c>
      <c r="AB67" s="95">
        <v>15958000</v>
      </c>
      <c r="AC67" s="10">
        <v>41.34</v>
      </c>
      <c r="AD67" s="2">
        <f>Y67-Z67</f>
        <v>1.1499999999999986</v>
      </c>
      <c r="AE67" s="138" t="e">
        <f>AC67/#REF!-1</f>
        <v>#REF!</v>
      </c>
    </row>
    <row r="68" spans="2:31" x14ac:dyDescent="0.25">
      <c r="B68" s="193">
        <v>42606</v>
      </c>
      <c r="C68" s="10">
        <v>400</v>
      </c>
      <c r="D68" s="40">
        <v>37.037100000000002</v>
      </c>
      <c r="E68" s="40">
        <v>36.770000000000003</v>
      </c>
      <c r="F68" s="40">
        <f t="shared" ref="F68" si="60">C68*(E68-D68)</f>
        <v>-106.83999999999969</v>
      </c>
      <c r="G68" s="40">
        <f t="shared" ref="G68" si="61">D68*C68</f>
        <v>14814.84</v>
      </c>
      <c r="H68" s="231">
        <f t="shared" ref="H68" si="62">(E68-D68)/D68</f>
        <v>-7.2116877401308208E-3</v>
      </c>
      <c r="I68" s="40"/>
      <c r="W68" s="133">
        <v>42523</v>
      </c>
      <c r="X68" s="10">
        <v>42.77</v>
      </c>
      <c r="Y68" s="10">
        <v>43.46</v>
      </c>
      <c r="Z68" s="10">
        <v>42.4</v>
      </c>
      <c r="AA68" s="10">
        <v>42.45</v>
      </c>
      <c r="AB68" s="95">
        <v>10103500</v>
      </c>
      <c r="AC68" s="10">
        <v>42.22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42607</v>
      </c>
      <c r="C69" s="10">
        <v>400</v>
      </c>
      <c r="D69" s="40">
        <v>37.037100000000002</v>
      </c>
      <c r="E69" s="40">
        <v>36.47</v>
      </c>
      <c r="F69" s="40">
        <f t="shared" ref="F69" si="63">C69*(E69-D69)</f>
        <v>-226.8400000000014</v>
      </c>
      <c r="G69" s="40">
        <f t="shared" ref="G69" si="64">D69*C69</f>
        <v>14814.84</v>
      </c>
      <c r="H69" s="231">
        <f t="shared" ref="H69" si="65">(E69-D69)/D69</f>
        <v>-1.5311673970154344E-2</v>
      </c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42611</v>
      </c>
      <c r="C70" s="10">
        <v>400</v>
      </c>
      <c r="D70" s="40">
        <v>37.037100000000002</v>
      </c>
      <c r="E70" s="40">
        <v>36.549999999999997</v>
      </c>
      <c r="F70" s="40">
        <f t="shared" ref="F70" si="66">C70*(E70-D70)</f>
        <v>-194.84000000000208</v>
      </c>
      <c r="G70" s="40">
        <f t="shared" ref="G70" si="67">D70*C70</f>
        <v>14814.84</v>
      </c>
      <c r="H70" s="231">
        <f t="shared" ref="H70" si="68">(E70-D70)/D70</f>
        <v>-1.3151677642148148E-2</v>
      </c>
      <c r="I70" s="40"/>
    </row>
    <row r="71" spans="2:31" x14ac:dyDescent="0.25">
      <c r="B71" s="193">
        <v>42612</v>
      </c>
      <c r="C71" s="10">
        <v>400</v>
      </c>
      <c r="D71" s="40">
        <v>37.037100000000002</v>
      </c>
      <c r="E71" s="40">
        <v>37.159999999999997</v>
      </c>
      <c r="F71" s="40">
        <f t="shared" ref="F71" si="69">C71*(E71-D71)</f>
        <v>49.159999999997694</v>
      </c>
      <c r="G71" s="40">
        <f t="shared" ref="G71" si="70">D71*C71</f>
        <v>14814.84</v>
      </c>
      <c r="H71" s="231">
        <f t="shared" ref="H71" si="71">(E71-D71)/D71</f>
        <v>3.3182943588994339E-3</v>
      </c>
      <c r="I71" s="40"/>
    </row>
    <row r="72" spans="2:31" x14ac:dyDescent="0.25">
      <c r="B72" s="193">
        <v>42614</v>
      </c>
      <c r="C72" s="10">
        <v>400</v>
      </c>
      <c r="D72" s="40">
        <v>37.037100000000002</v>
      </c>
      <c r="E72" s="40">
        <v>36.82</v>
      </c>
      <c r="F72" s="40">
        <f t="shared" ref="F72" si="72">C72*(E72-D72)</f>
        <v>-86.840000000000828</v>
      </c>
      <c r="G72" s="40">
        <f t="shared" ref="G72" si="73">D72*C72</f>
        <v>14814.84</v>
      </c>
      <c r="H72" s="231">
        <f t="shared" ref="H72" si="74">(E72-D72)/D72</f>
        <v>-5.8616900351269961E-3</v>
      </c>
      <c r="I72" s="40"/>
    </row>
    <row r="73" spans="2:31" x14ac:dyDescent="0.25">
      <c r="B73" s="193">
        <v>42615</v>
      </c>
      <c r="C73" s="10">
        <v>400</v>
      </c>
      <c r="D73" s="40">
        <v>37.037100000000002</v>
      </c>
      <c r="E73" s="40">
        <v>37.17</v>
      </c>
      <c r="F73" s="40">
        <f t="shared" ref="F73:F74" si="75">C73*(E73-D73)</f>
        <v>53.159999999999741</v>
      </c>
      <c r="G73" s="40">
        <f t="shared" ref="G73:G74" si="76">D73*C73</f>
        <v>14814.84</v>
      </c>
      <c r="H73" s="231">
        <f t="shared" ref="H73:H74" si="77">(E73-D73)/D73</f>
        <v>3.5882938999003524E-3</v>
      </c>
      <c r="I73" s="40"/>
    </row>
    <row r="74" spans="2:31" x14ac:dyDescent="0.25">
      <c r="B74" s="193">
        <v>42615</v>
      </c>
      <c r="C74" s="460">
        <v>400</v>
      </c>
      <c r="D74" s="461">
        <v>36.834600000000002</v>
      </c>
      <c r="E74" s="40">
        <v>37.17</v>
      </c>
      <c r="F74" s="40">
        <f t="shared" si="75"/>
        <v>134.15999999999997</v>
      </c>
      <c r="G74" s="40">
        <f t="shared" si="76"/>
        <v>14733.84</v>
      </c>
      <c r="H74" s="231">
        <f t="shared" si="77"/>
        <v>9.1055692202440079E-3</v>
      </c>
      <c r="I74" s="461" t="s">
        <v>562</v>
      </c>
    </row>
    <row r="75" spans="2:31" x14ac:dyDescent="0.25">
      <c r="B75" s="193">
        <v>42619</v>
      </c>
      <c r="C75" s="10">
        <v>400</v>
      </c>
      <c r="D75" s="40">
        <v>36.834600000000002</v>
      </c>
      <c r="E75" s="40">
        <v>36.82</v>
      </c>
      <c r="F75" s="40">
        <f t="shared" ref="F75" si="78">C75*(E75-D75)</f>
        <v>-5.8400000000006003</v>
      </c>
      <c r="G75" s="40">
        <f t="shared" ref="G75" si="79">D75*C75</f>
        <v>14733.84</v>
      </c>
      <c r="H75" s="231">
        <f t="shared" ref="H75" si="80">(E75-D75)/D75</f>
        <v>-3.9636645979599343E-4</v>
      </c>
      <c r="I75" s="40"/>
    </row>
    <row r="76" spans="2:31" x14ac:dyDescent="0.25">
      <c r="B76" s="193"/>
      <c r="C76" s="10"/>
      <c r="D76" s="40"/>
      <c r="E76" s="40"/>
      <c r="F76" s="40"/>
      <c r="G76" s="40"/>
      <c r="H76" s="231"/>
      <c r="I76" s="40"/>
    </row>
    <row r="77" spans="2:31" x14ac:dyDescent="0.25">
      <c r="B77" s="193"/>
      <c r="C77" s="10"/>
      <c r="D77" s="40"/>
      <c r="E77" s="40"/>
      <c r="F77" s="40"/>
      <c r="G77" s="40"/>
      <c r="H77" s="231"/>
      <c r="I77" s="40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2" spans="1:13" x14ac:dyDescent="0.25">
      <c r="L82" t="s">
        <v>223</v>
      </c>
      <c r="M82" s="468">
        <f>M100+K100-F100</f>
        <v>205.01999999999998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4" t="s">
        <v>7</v>
      </c>
      <c r="J83" s="264" t="s">
        <v>95</v>
      </c>
      <c r="K83" s="264" t="s">
        <v>61</v>
      </c>
      <c r="L83" s="263" t="s">
        <v>37</v>
      </c>
      <c r="M83" s="263" t="s">
        <v>38</v>
      </c>
    </row>
    <row r="84" spans="1:13" x14ac:dyDescent="0.25">
      <c r="A84" s="265" t="s">
        <v>32</v>
      </c>
      <c r="B84" s="266">
        <v>42405</v>
      </c>
      <c r="C84" s="261">
        <v>30</v>
      </c>
      <c r="D84" s="262">
        <v>41.95</v>
      </c>
      <c r="E84" s="262">
        <v>0</v>
      </c>
      <c r="F84" s="262">
        <f t="shared" ref="F84" si="81">D84*C84+E84</f>
        <v>1258.5</v>
      </c>
      <c r="G84" s="266">
        <v>42445</v>
      </c>
      <c r="H84" s="267">
        <v>30</v>
      </c>
      <c r="I84" s="262">
        <v>48.65</v>
      </c>
      <c r="J84" s="262">
        <v>0.03</v>
      </c>
      <c r="K84" s="262">
        <f>H84*I84-J84</f>
        <v>1459.47</v>
      </c>
      <c r="L84" s="266">
        <v>42438</v>
      </c>
      <c r="M84" s="261">
        <v>4.05</v>
      </c>
    </row>
    <row r="85" spans="1:13" x14ac:dyDescent="0.25">
      <c r="A85" s="268" t="s">
        <v>71</v>
      </c>
      <c r="B85" s="266"/>
      <c r="C85" s="261"/>
      <c r="D85" s="262"/>
      <c r="E85" s="262"/>
      <c r="F85" s="262"/>
      <c r="G85" s="266"/>
      <c r="H85" s="267"/>
      <c r="I85" s="262"/>
      <c r="J85" s="262"/>
      <c r="K85" s="262"/>
      <c r="L85" s="266"/>
      <c r="M85" s="262"/>
    </row>
    <row r="86" spans="1:13" x14ac:dyDescent="0.25">
      <c r="A86" s="261"/>
      <c r="B86" s="266"/>
      <c r="C86" s="261"/>
      <c r="D86" s="262"/>
      <c r="E86" s="262"/>
      <c r="F86" s="262"/>
      <c r="G86" s="266"/>
      <c r="H86" s="267"/>
      <c r="I86" s="262"/>
      <c r="J86" s="262"/>
      <c r="K86" s="262"/>
      <c r="L86" s="261"/>
      <c r="M86" s="261"/>
    </row>
    <row r="87" spans="1:13" x14ac:dyDescent="0.25">
      <c r="A87" s="261"/>
      <c r="B87" s="266"/>
      <c r="C87" s="261"/>
      <c r="D87" s="262"/>
      <c r="E87" s="262"/>
      <c r="F87" s="262"/>
      <c r="G87" s="266"/>
      <c r="H87" s="267"/>
      <c r="I87" s="262"/>
      <c r="J87" s="262"/>
      <c r="K87" s="262"/>
      <c r="L87" s="261"/>
      <c r="M87" s="261"/>
    </row>
    <row r="88" spans="1:13" x14ac:dyDescent="0.25">
      <c r="A88" s="261"/>
      <c r="B88" s="266"/>
      <c r="C88" s="261"/>
      <c r="D88" s="262"/>
      <c r="E88" s="262"/>
      <c r="F88" s="262"/>
      <c r="G88" s="261"/>
      <c r="H88" s="267"/>
      <c r="I88" s="262"/>
      <c r="J88" s="262"/>
      <c r="K88" s="262"/>
      <c r="L88" s="261"/>
      <c r="M88" s="261"/>
    </row>
    <row r="89" spans="1:13" x14ac:dyDescent="0.25">
      <c r="A89" s="261"/>
      <c r="B89" s="266"/>
      <c r="C89" s="261"/>
      <c r="D89" s="262"/>
      <c r="E89" s="262"/>
      <c r="F89" s="262"/>
      <c r="G89" s="261"/>
      <c r="H89" s="267"/>
      <c r="I89" s="262"/>
      <c r="J89" s="262"/>
      <c r="K89" s="262"/>
      <c r="L89" s="261"/>
      <c r="M89" s="261"/>
    </row>
    <row r="90" spans="1:13" x14ac:dyDescent="0.25">
      <c r="A90" s="261"/>
      <c r="B90" s="266"/>
      <c r="C90" s="261"/>
      <c r="D90" s="262"/>
      <c r="E90" s="262"/>
      <c r="F90" s="262"/>
      <c r="G90" s="261"/>
      <c r="H90" s="267"/>
      <c r="I90" s="262"/>
      <c r="J90" s="262"/>
      <c r="K90" s="262"/>
      <c r="L90" s="261"/>
      <c r="M90" s="261"/>
    </row>
    <row r="91" spans="1:13" x14ac:dyDescent="0.25">
      <c r="A91" s="261"/>
      <c r="B91" s="266"/>
      <c r="C91" s="261"/>
      <c r="D91" s="262"/>
      <c r="E91" s="262"/>
      <c r="F91" s="262"/>
      <c r="G91" s="261"/>
      <c r="H91" s="267"/>
      <c r="I91" s="262"/>
      <c r="J91" s="262"/>
      <c r="K91" s="262"/>
      <c r="L91" s="261"/>
      <c r="M91" s="261"/>
    </row>
    <row r="92" spans="1:13" x14ac:dyDescent="0.25">
      <c r="A92" s="261"/>
      <c r="B92" s="261"/>
      <c r="C92" s="261"/>
      <c r="D92" s="262"/>
      <c r="E92" s="262"/>
      <c r="F92" s="262"/>
      <c r="G92" s="261"/>
      <c r="H92" s="261"/>
      <c r="I92" s="262"/>
      <c r="J92" s="262"/>
      <c r="K92" s="262"/>
      <c r="L92" s="261"/>
      <c r="M92" s="261"/>
    </row>
    <row r="93" spans="1:13" x14ac:dyDescent="0.25">
      <c r="A93" s="261"/>
      <c r="B93" s="261"/>
      <c r="C93" s="261"/>
      <c r="D93" s="262"/>
      <c r="E93" s="262"/>
      <c r="F93" s="262"/>
      <c r="G93" s="261"/>
      <c r="H93" s="261"/>
      <c r="I93" s="262"/>
      <c r="J93" s="262"/>
      <c r="K93" s="262"/>
      <c r="L93" s="261"/>
      <c r="M93" s="261"/>
    </row>
    <row r="94" spans="1:13" x14ac:dyDescent="0.25">
      <c r="A94" s="261"/>
      <c r="B94" s="261"/>
      <c r="C94" s="261"/>
      <c r="D94" s="262"/>
      <c r="E94" s="262"/>
      <c r="F94" s="262"/>
      <c r="G94" s="261"/>
      <c r="H94" s="261"/>
      <c r="I94" s="262"/>
      <c r="J94" s="262"/>
      <c r="K94" s="262"/>
      <c r="L94" s="261"/>
      <c r="M94" s="261"/>
    </row>
    <row r="95" spans="1:13" x14ac:dyDescent="0.25">
      <c r="A95" s="261"/>
      <c r="B95" s="261"/>
      <c r="C95" s="261"/>
      <c r="D95" s="262"/>
      <c r="E95" s="262"/>
      <c r="F95" s="262"/>
      <c r="G95" s="261"/>
      <c r="H95" s="261"/>
      <c r="I95" s="262"/>
      <c r="J95" s="262"/>
      <c r="K95" s="262"/>
      <c r="L95" s="261"/>
      <c r="M95" s="261"/>
    </row>
    <row r="96" spans="1:13" x14ac:dyDescent="0.25">
      <c r="A96" s="261"/>
      <c r="B96" s="261"/>
      <c r="C96" s="261"/>
      <c r="D96" s="262"/>
      <c r="E96" s="262"/>
      <c r="F96" s="262"/>
      <c r="G96" s="261"/>
      <c r="H96" s="261"/>
      <c r="I96" s="262"/>
      <c r="J96" s="262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1"/>
      <c r="H97" s="261"/>
      <c r="I97" s="262"/>
      <c r="J97" s="262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1"/>
      <c r="H98" s="261"/>
      <c r="I98" s="262"/>
      <c r="J98" s="262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1"/>
      <c r="H99" s="267"/>
      <c r="I99" s="262"/>
      <c r="J99" s="262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SUM(C84:C92)</f>
        <v>30</v>
      </c>
      <c r="D100" s="18"/>
      <c r="E100" s="18"/>
      <c r="F100" s="18">
        <f>SUM(F84:F92)</f>
        <v>1258.5</v>
      </c>
      <c r="G100" s="14"/>
      <c r="H100" s="73">
        <f>SUM(H84:H88)</f>
        <v>30</v>
      </c>
      <c r="I100" s="18"/>
      <c r="J100" s="18"/>
      <c r="K100" s="18">
        <f>SUM(K84:K88)</f>
        <v>1459.47</v>
      </c>
      <c r="L100" s="14"/>
      <c r="M100" s="18">
        <f>SUM(M84:M99)</f>
        <v>4.05</v>
      </c>
    </row>
  </sheetData>
  <mergeCells count="1">
    <mergeCell ref="O42:P42"/>
  </mergeCells>
  <conditionalFormatting sqref="F45:F59 F61:F80">
    <cfRule type="expression" dxfId="176" priority="25">
      <formula>F45&gt;0</formula>
    </cfRule>
    <cfRule type="expression" dxfId="175" priority="26">
      <formula>F45&lt;0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74" priority="27">
      <formula>F40&gt;0</formula>
    </cfRule>
    <cfRule type="expression" dxfId="173" priority="28">
      <formula>F40&lt;0</formula>
    </cfRule>
  </conditionalFormatting>
  <conditionalFormatting sqref="F45:F59 F61:F80">
    <cfRule type="expression" dxfId="172" priority="23">
      <formula>F45&gt;0</formula>
    </cfRule>
    <cfRule type="expression" dxfId="171" priority="24">
      <formula>F45&lt;0</formula>
    </cfRule>
  </conditionalFormatting>
  <conditionalFormatting sqref="H40:H59 H61:H80">
    <cfRule type="expression" dxfId="170" priority="21">
      <formula>H40&gt;0</formula>
    </cfRule>
    <cfRule type="expression" dxfId="169" priority="22">
      <formula>H40&lt;0</formula>
    </cfRule>
  </conditionalFormatting>
  <conditionalFormatting sqref="F36:F39">
    <cfRule type="expression" dxfId="168" priority="19">
      <formula>F36&gt;0</formula>
    </cfRule>
    <cfRule type="expression" dxfId="167" priority="20">
      <formula>F36&lt;0</formula>
    </cfRule>
  </conditionalFormatting>
  <conditionalFormatting sqref="H36:H39">
    <cfRule type="expression" dxfId="166" priority="17">
      <formula>H36&gt;0</formula>
    </cfRule>
    <cfRule type="expression" dxfId="165" priority="18">
      <formula>H36&lt;0</formula>
    </cfRule>
  </conditionalFormatting>
  <conditionalFormatting sqref="Q7">
    <cfRule type="expression" dxfId="164" priority="11">
      <formula>Q7&gt;0</formula>
    </cfRule>
    <cfRule type="expression" dxfId="163" priority="12">
      <formula>Q7&lt;0</formula>
    </cfRule>
  </conditionalFormatting>
  <conditionalFormatting sqref="Q8">
    <cfRule type="expression" dxfId="162" priority="9">
      <formula>Q8&gt;0</formula>
    </cfRule>
    <cfRule type="expression" dxfId="161" priority="10">
      <formula>Q8&lt;0</formula>
    </cfRule>
  </conditionalFormatting>
  <conditionalFormatting sqref="Q10">
    <cfRule type="expression" dxfId="160" priority="7">
      <formula>Q10&gt;0</formula>
    </cfRule>
    <cfRule type="expression" dxfId="159" priority="8">
      <formula>Q10&lt;0</formula>
    </cfRule>
  </conditionalFormatting>
  <conditionalFormatting sqref="F60">
    <cfRule type="expression" dxfId="158" priority="5">
      <formula>F60&gt;0</formula>
    </cfRule>
    <cfRule type="expression" dxfId="157" priority="6">
      <formula>F60&lt;0</formula>
    </cfRule>
  </conditionalFormatting>
  <conditionalFormatting sqref="F60">
    <cfRule type="expression" dxfId="156" priority="3">
      <formula>F60&gt;0</formula>
    </cfRule>
    <cfRule type="expression" dxfId="155" priority="4">
      <formula>F60&lt;0</formula>
    </cfRule>
  </conditionalFormatting>
  <conditionalFormatting sqref="H60">
    <cfRule type="expression" dxfId="154" priority="1">
      <formula>H60&gt;0</formula>
    </cfRule>
    <cfRule type="expression" dxfId="153" priority="2">
      <formula>H60&lt;0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63</v>
      </c>
      <c r="B2" s="475">
        <v>42226</v>
      </c>
      <c r="C2" s="7">
        <v>10</v>
      </c>
      <c r="D2" s="44">
        <v>113.72</v>
      </c>
      <c r="E2" s="44">
        <v>0</v>
      </c>
      <c r="F2" s="44">
        <f t="shared" ref="F2:F10" si="0">C2*D2</f>
        <v>1137.2</v>
      </c>
      <c r="G2" s="475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s="1">
        <v>42580</v>
      </c>
      <c r="M2" s="44">
        <v>10.65</v>
      </c>
      <c r="O2" s="11" t="s">
        <v>57</v>
      </c>
      <c r="Q2">
        <f>C18-H18</f>
        <v>55</v>
      </c>
      <c r="W2" s="133">
        <v>42615</v>
      </c>
      <c r="X2" s="10">
        <v>94.75</v>
      </c>
      <c r="Y2" s="10">
        <v>94.96</v>
      </c>
      <c r="Z2" s="10">
        <v>94.13</v>
      </c>
      <c r="AA2" s="10">
        <v>94.42</v>
      </c>
      <c r="AB2" s="95">
        <v>5374700</v>
      </c>
      <c r="AC2" s="10">
        <v>94.42</v>
      </c>
      <c r="AD2" s="2">
        <f>Y2-Z2</f>
        <v>0.82999999999999829</v>
      </c>
      <c r="AE2" s="138">
        <f>AC2/AC3-1</f>
        <v>1.6974326331422596E-3</v>
      </c>
    </row>
    <row r="3" spans="1:31" x14ac:dyDescent="0.25">
      <c r="A3" s="23" t="s">
        <v>71</v>
      </c>
      <c r="B3" s="475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475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30">
        <f>IF(Q2=0, Q4, (F18-K18-M18)/Q2)</f>
        <v>93.531636363636366</v>
      </c>
      <c r="T3" s="1"/>
      <c r="W3" s="133">
        <v>42614</v>
      </c>
      <c r="X3" s="10">
        <v>94.73</v>
      </c>
      <c r="Y3" s="10">
        <v>94.87</v>
      </c>
      <c r="Z3" s="10">
        <v>93.91</v>
      </c>
      <c r="AA3" s="10">
        <v>94.26</v>
      </c>
      <c r="AB3" s="95">
        <v>6274200</v>
      </c>
      <c r="AC3" s="10">
        <v>94.26</v>
      </c>
      <c r="AD3" s="2">
        <f t="shared" ref="AD3:AD66" si="1">Y3-Z3</f>
        <v>0.96000000000000796</v>
      </c>
      <c r="AE3" s="138">
        <f t="shared" ref="AE3:AE66" si="2">AC3/AC4-1</f>
        <v>-2.117298327334205E-3</v>
      </c>
    </row>
    <row r="4" spans="1:31" x14ac:dyDescent="0.25">
      <c r="B4" s="475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475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93.8</v>
      </c>
      <c r="T4" s="163"/>
      <c r="W4" s="133">
        <v>42613</v>
      </c>
      <c r="X4" s="10">
        <v>94.69</v>
      </c>
      <c r="Y4" s="10">
        <v>94.9</v>
      </c>
      <c r="Z4" s="10">
        <v>94.16</v>
      </c>
      <c r="AA4" s="10">
        <v>94.46</v>
      </c>
      <c r="AB4" s="95">
        <v>7375200</v>
      </c>
      <c r="AC4" s="10">
        <v>94.46</v>
      </c>
      <c r="AD4" s="2">
        <f t="shared" si="1"/>
        <v>0.74000000000000909</v>
      </c>
      <c r="AE4" s="138">
        <f t="shared" si="2"/>
        <v>-4.2167404596247238E-3</v>
      </c>
    </row>
    <row r="5" spans="1:31" x14ac:dyDescent="0.25">
      <c r="B5" s="475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G5" s="475">
        <v>42592</v>
      </c>
      <c r="H5" s="82">
        <v>15</v>
      </c>
      <c r="I5" s="44">
        <v>97.88</v>
      </c>
      <c r="J5" s="44">
        <v>0.03</v>
      </c>
      <c r="K5" s="44">
        <f>I5*H5-J5</f>
        <v>1468.1699999999998</v>
      </c>
      <c r="O5" s="11" t="s">
        <v>67</v>
      </c>
      <c r="Q5" s="3">
        <f>Q4*Q2</f>
        <v>5159</v>
      </c>
      <c r="W5" s="133">
        <v>42612</v>
      </c>
      <c r="X5" s="10">
        <v>94.77</v>
      </c>
      <c r="Y5" s="10">
        <v>95.29</v>
      </c>
      <c r="Z5" s="10">
        <v>94.77</v>
      </c>
      <c r="AA5" s="10">
        <v>94.86</v>
      </c>
      <c r="AB5" s="95">
        <v>6845000</v>
      </c>
      <c r="AC5" s="10">
        <v>94.86</v>
      </c>
      <c r="AD5" s="2">
        <f t="shared" si="1"/>
        <v>0.52000000000001023</v>
      </c>
      <c r="AE5" s="138">
        <f t="shared" si="2"/>
        <v>-1.0540739959952194E-4</v>
      </c>
    </row>
    <row r="6" spans="1:31" x14ac:dyDescent="0.25">
      <c r="B6" s="475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5144.24</v>
      </c>
      <c r="W6" s="133">
        <v>42611</v>
      </c>
      <c r="X6" s="10">
        <v>95.07</v>
      </c>
      <c r="Y6" s="10">
        <v>95.32</v>
      </c>
      <c r="Z6" s="10">
        <v>94.46</v>
      </c>
      <c r="AA6" s="10">
        <v>94.87</v>
      </c>
      <c r="AB6" s="95">
        <v>7903000</v>
      </c>
      <c r="AC6" s="10">
        <v>94.87</v>
      </c>
      <c r="AD6" s="2">
        <f t="shared" si="1"/>
        <v>0.85999999999999943</v>
      </c>
      <c r="AE6" s="138">
        <f t="shared" si="2"/>
        <v>-3.5710534607708011E-3</v>
      </c>
    </row>
    <row r="7" spans="1:31" x14ac:dyDescent="0.25">
      <c r="B7" s="475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187</v>
      </c>
      <c r="Q7" s="2">
        <f>Q10+Q8</f>
        <v>14.760000000000218</v>
      </c>
      <c r="R7">
        <v>15</v>
      </c>
      <c r="W7" s="133">
        <v>42608</v>
      </c>
      <c r="X7" s="10">
        <v>95.66</v>
      </c>
      <c r="Y7" s="10">
        <v>96.13</v>
      </c>
      <c r="Z7" s="10">
        <v>94.75</v>
      </c>
      <c r="AA7" s="10">
        <v>95.21</v>
      </c>
      <c r="AB7" s="95">
        <v>6019600</v>
      </c>
      <c r="AC7" s="10">
        <v>95.21</v>
      </c>
      <c r="AD7" s="2">
        <f t="shared" si="1"/>
        <v>1.3799999999999955</v>
      </c>
      <c r="AE7" s="138">
        <f t="shared" si="2"/>
        <v>-3.5583464154893552E-3</v>
      </c>
    </row>
    <row r="8" spans="1:31" x14ac:dyDescent="0.25">
      <c r="B8" s="74">
        <v>42586</v>
      </c>
      <c r="C8" s="7">
        <v>15</v>
      </c>
      <c r="D8" s="44">
        <v>94.88</v>
      </c>
      <c r="E8" s="44">
        <v>0</v>
      </c>
      <c r="F8" s="44">
        <f t="shared" si="0"/>
        <v>1423.1999999999998</v>
      </c>
      <c r="H8" s="72"/>
      <c r="O8" s="11" t="s">
        <v>190</v>
      </c>
      <c r="P8" s="34"/>
      <c r="Q8" s="2">
        <f>K18+M18-F18+Q2*Q4</f>
        <v>14.760000000000218</v>
      </c>
      <c r="W8" s="133">
        <v>42607</v>
      </c>
      <c r="X8" s="10">
        <v>95.62</v>
      </c>
      <c r="Y8" s="10">
        <v>95.82</v>
      </c>
      <c r="Z8" s="10">
        <v>95.41</v>
      </c>
      <c r="AA8" s="10">
        <v>95.55</v>
      </c>
      <c r="AB8" s="95">
        <v>4518700</v>
      </c>
      <c r="AC8" s="10">
        <v>95.55</v>
      </c>
      <c r="AD8" s="2">
        <f t="shared" si="1"/>
        <v>0.40999999999999659</v>
      </c>
      <c r="AE8" s="138">
        <f t="shared" si="2"/>
        <v>-2.8177833437694755E-3</v>
      </c>
    </row>
    <row r="9" spans="1:31" x14ac:dyDescent="0.25">
      <c r="B9" s="529">
        <v>42594</v>
      </c>
      <c r="C9" s="4">
        <v>15</v>
      </c>
      <c r="D9" s="3">
        <v>96.85</v>
      </c>
      <c r="E9" s="3">
        <v>0</v>
      </c>
      <c r="F9" s="3">
        <f t="shared" si="0"/>
        <v>1452.75</v>
      </c>
      <c r="H9" s="72"/>
      <c r="O9" s="11" t="s">
        <v>224</v>
      </c>
      <c r="Q9" s="138">
        <f>IF(Q2=0, 0, Q8/Q6)</f>
        <v>2.8692284963376942E-3</v>
      </c>
      <c r="W9" s="133">
        <v>42606</v>
      </c>
      <c r="X9" s="10">
        <v>96.01</v>
      </c>
      <c r="Y9" s="10">
        <v>96.22</v>
      </c>
      <c r="Z9" s="10">
        <v>95.51</v>
      </c>
      <c r="AA9" s="10">
        <v>95.82</v>
      </c>
      <c r="AB9" s="95">
        <v>5912500</v>
      </c>
      <c r="AC9" s="10">
        <v>95.82</v>
      </c>
      <c r="AD9" s="2">
        <f t="shared" si="1"/>
        <v>0.70999999999999375</v>
      </c>
      <c r="AE9" s="138">
        <f t="shared" si="2"/>
        <v>-1.5629884338856925E-3</v>
      </c>
    </row>
    <row r="10" spans="1:31" x14ac:dyDescent="0.25">
      <c r="B10" s="529">
        <v>42611</v>
      </c>
      <c r="C10" s="4">
        <v>25</v>
      </c>
      <c r="D10" s="3">
        <v>94.58</v>
      </c>
      <c r="E10" s="3">
        <v>0</v>
      </c>
      <c r="F10" s="3">
        <f t="shared" si="0"/>
        <v>2364.5</v>
      </c>
      <c r="O10" s="11" t="s">
        <v>223</v>
      </c>
      <c r="P10" s="34"/>
      <c r="Q10" s="2">
        <f>M32</f>
        <v>0</v>
      </c>
      <c r="W10" s="133">
        <v>42605</v>
      </c>
      <c r="X10" s="10">
        <v>96.13</v>
      </c>
      <c r="Y10" s="10">
        <v>96.43</v>
      </c>
      <c r="Z10" s="10">
        <v>95.8</v>
      </c>
      <c r="AA10" s="10">
        <v>95.97</v>
      </c>
      <c r="AB10" s="95">
        <v>4996300</v>
      </c>
      <c r="AC10" s="10">
        <v>95.97</v>
      </c>
      <c r="AD10" s="2">
        <f t="shared" si="1"/>
        <v>0.63000000000000966</v>
      </c>
      <c r="AE10" s="138">
        <f t="shared" si="2"/>
        <v>1.0430791697089159E-3</v>
      </c>
    </row>
    <row r="11" spans="1:31" x14ac:dyDescent="0.25">
      <c r="O11" s="11" t="s">
        <v>184</v>
      </c>
      <c r="P11" s="34"/>
      <c r="Q11" s="138">
        <f>VALUE(TRIM(CLEAN(MID(U58, FIND("(", U58)+1, 5))))</f>
        <v>1.4999999999999999E-2</v>
      </c>
      <c r="W11" s="133">
        <v>42604</v>
      </c>
      <c r="X11" s="10">
        <v>96.47</v>
      </c>
      <c r="Y11" s="10">
        <v>96.47</v>
      </c>
      <c r="Z11" s="10">
        <v>95.65</v>
      </c>
      <c r="AA11" s="10">
        <v>95.87</v>
      </c>
      <c r="AB11" s="95">
        <v>5495300</v>
      </c>
      <c r="AC11" s="10">
        <v>95.87</v>
      </c>
      <c r="AD11" s="2">
        <f t="shared" si="1"/>
        <v>0.81999999999999318</v>
      </c>
      <c r="AE11" s="138">
        <f t="shared" si="2"/>
        <v>-5.3947504927897016E-3</v>
      </c>
    </row>
    <row r="12" spans="1:31" x14ac:dyDescent="0.25">
      <c r="W12" s="133">
        <v>42601</v>
      </c>
      <c r="X12" s="10">
        <v>96.4</v>
      </c>
      <c r="Y12" s="10">
        <v>96.79</v>
      </c>
      <c r="Z12" s="10">
        <v>96.05</v>
      </c>
      <c r="AA12" s="10">
        <v>96.39</v>
      </c>
      <c r="AB12" s="95">
        <v>6362400</v>
      </c>
      <c r="AC12" s="10">
        <v>96.39</v>
      </c>
      <c r="AD12" s="2">
        <f t="shared" si="1"/>
        <v>0.74000000000000909</v>
      </c>
      <c r="AE12" s="138">
        <f t="shared" si="2"/>
        <v>-2.6901189860321084E-3</v>
      </c>
    </row>
    <row r="13" spans="1:31" x14ac:dyDescent="0.25">
      <c r="W13" s="133">
        <v>42600</v>
      </c>
      <c r="X13" s="10">
        <v>96.87</v>
      </c>
      <c r="Y13" s="10">
        <v>97.12</v>
      </c>
      <c r="Z13" s="10">
        <v>96.55</v>
      </c>
      <c r="AA13" s="10">
        <v>96.65</v>
      </c>
      <c r="AB13" s="95">
        <v>5250700</v>
      </c>
      <c r="AC13" s="10">
        <v>96.65</v>
      </c>
      <c r="AD13" s="2">
        <f t="shared" si="1"/>
        <v>0.57000000000000739</v>
      </c>
      <c r="AE13" s="138">
        <f t="shared" si="2"/>
        <v>-2.2710849592236793E-3</v>
      </c>
    </row>
    <row r="14" spans="1:31" x14ac:dyDescent="0.25">
      <c r="W14" s="133">
        <v>42599</v>
      </c>
      <c r="X14" s="10">
        <v>96.84</v>
      </c>
      <c r="Y14" s="10">
        <v>96.97</v>
      </c>
      <c r="Z14" s="10">
        <v>96.52</v>
      </c>
      <c r="AA14" s="10">
        <v>96.87</v>
      </c>
      <c r="AB14" s="95">
        <v>5697300</v>
      </c>
      <c r="AC14" s="10">
        <v>96.87</v>
      </c>
      <c r="AD14" s="2">
        <f t="shared" si="1"/>
        <v>0.45000000000000284</v>
      </c>
      <c r="AE14" s="138">
        <f t="shared" si="2"/>
        <v>-1.0322047894295583E-4</v>
      </c>
    </row>
    <row r="15" spans="1:31" x14ac:dyDescent="0.25">
      <c r="W15" s="133">
        <v>42598</v>
      </c>
      <c r="X15" s="10">
        <v>96.86</v>
      </c>
      <c r="Y15" s="10">
        <v>97.25</v>
      </c>
      <c r="Z15" s="10">
        <v>96.27</v>
      </c>
      <c r="AA15" s="10">
        <v>96.88</v>
      </c>
      <c r="AB15" s="95">
        <v>5777800</v>
      </c>
      <c r="AC15" s="10">
        <v>96.88</v>
      </c>
      <c r="AD15" s="2">
        <f t="shared" si="1"/>
        <v>0.98000000000000398</v>
      </c>
      <c r="AE15" s="138">
        <f t="shared" si="2"/>
        <v>-2.2657054582904124E-3</v>
      </c>
    </row>
    <row r="16" spans="1:31" x14ac:dyDescent="0.25">
      <c r="W16" s="133">
        <v>42597</v>
      </c>
      <c r="X16" s="10">
        <v>97.35</v>
      </c>
      <c r="Y16" s="10">
        <v>97.61</v>
      </c>
      <c r="Z16" s="10">
        <v>96.92</v>
      </c>
      <c r="AA16" s="10">
        <v>97.1</v>
      </c>
      <c r="AB16" s="95">
        <v>5299600</v>
      </c>
      <c r="AC16" s="10">
        <v>97.1</v>
      </c>
      <c r="AD16" s="2">
        <f t="shared" si="1"/>
        <v>0.68999999999999773</v>
      </c>
      <c r="AE16" s="138">
        <f t="shared" si="2"/>
        <v>2.6848409748037039E-3</v>
      </c>
    </row>
    <row r="17" spans="1:31" x14ac:dyDescent="0.25">
      <c r="W17" s="133">
        <v>42594</v>
      </c>
      <c r="X17" s="10">
        <v>97.82</v>
      </c>
      <c r="Y17" s="10">
        <v>97.82</v>
      </c>
      <c r="Z17" s="10">
        <v>96.66</v>
      </c>
      <c r="AA17" s="10">
        <v>96.84</v>
      </c>
      <c r="AB17" s="95">
        <v>9360300</v>
      </c>
      <c r="AC17" s="10">
        <v>96.84</v>
      </c>
      <c r="AD17" s="2">
        <f t="shared" si="1"/>
        <v>1.1599999999999966</v>
      </c>
      <c r="AE17" s="138">
        <f t="shared" si="2"/>
        <v>-9.512120282295089E-3</v>
      </c>
    </row>
    <row r="18" spans="1:31" x14ac:dyDescent="0.25">
      <c r="A18" s="32" t="s">
        <v>81</v>
      </c>
      <c r="B18" s="14"/>
      <c r="C18" s="14">
        <f>SUM(C2:C10)</f>
        <v>125</v>
      </c>
      <c r="D18" s="18"/>
      <c r="E18" s="18"/>
      <c r="F18" s="18">
        <f>SUM(F2:F10)</f>
        <v>12393.3</v>
      </c>
      <c r="G18" s="14"/>
      <c r="H18" s="73">
        <f>SUM(H2:H5)</f>
        <v>70</v>
      </c>
      <c r="I18" s="18"/>
      <c r="J18" s="18"/>
      <c r="K18" s="18">
        <f>SUM(K2:K5)</f>
        <v>7238.41</v>
      </c>
      <c r="L18" s="14"/>
      <c r="M18" s="18">
        <f>SUM(M2:M5)</f>
        <v>10.65</v>
      </c>
      <c r="W18" s="133">
        <v>42593</v>
      </c>
      <c r="X18" s="10">
        <v>98.2</v>
      </c>
      <c r="Y18" s="10">
        <v>98.39</v>
      </c>
      <c r="Z18" s="10">
        <v>97.15</v>
      </c>
      <c r="AA18" s="10">
        <v>97.77</v>
      </c>
      <c r="AB18" s="95">
        <v>9233900</v>
      </c>
      <c r="AC18" s="10">
        <v>97.77</v>
      </c>
      <c r="AD18" s="2">
        <f t="shared" si="1"/>
        <v>1.2399999999999949</v>
      </c>
      <c r="AE18" s="138">
        <f t="shared" si="2"/>
        <v>-9.1968117719198883E-4</v>
      </c>
    </row>
    <row r="19" spans="1:31" ht="15.75" thickBot="1" x14ac:dyDescent="0.3">
      <c r="A19" s="359" t="s">
        <v>204</v>
      </c>
      <c r="B19" s="360"/>
      <c r="C19" s="361">
        <f>SumByColor($A$19,C2:C17)</f>
        <v>70</v>
      </c>
      <c r="D19" s="361"/>
      <c r="E19" s="361"/>
      <c r="F19" s="362">
        <f>SumByColor($A$19,F2:F17)</f>
        <v>6971</v>
      </c>
      <c r="G19" s="361"/>
      <c r="H19" s="361">
        <f>SumByColor($A$19,H2:H17)</f>
        <v>70</v>
      </c>
      <c r="I19" s="361"/>
      <c r="J19" s="361"/>
      <c r="K19" s="362">
        <f>SumByColor($A$19,K2:K17)</f>
        <v>7238</v>
      </c>
      <c r="L19" s="361"/>
      <c r="M19" s="362">
        <f t="shared" ref="M19" si="3">SumByColor($A$19,M2:M17)</f>
        <v>11</v>
      </c>
      <c r="W19" s="133">
        <v>42592</v>
      </c>
      <c r="X19" s="10">
        <v>96.7</v>
      </c>
      <c r="Y19" s="10">
        <v>99.27</v>
      </c>
      <c r="Z19" s="10">
        <v>95.85</v>
      </c>
      <c r="AA19" s="10">
        <v>97.86</v>
      </c>
      <c r="AB19" s="95">
        <v>27181300</v>
      </c>
      <c r="AC19" s="10">
        <v>97.86</v>
      </c>
      <c r="AD19" s="2">
        <f t="shared" si="1"/>
        <v>3.4200000000000017</v>
      </c>
      <c r="AE19" s="138">
        <f t="shared" si="2"/>
        <v>1.2309920347574277E-2</v>
      </c>
    </row>
    <row r="20" spans="1:31" x14ac:dyDescent="0.25">
      <c r="W20" s="133">
        <v>42591</v>
      </c>
      <c r="X20" s="10">
        <v>95.61</v>
      </c>
      <c r="Y20" s="10">
        <v>96.85</v>
      </c>
      <c r="Z20" s="10">
        <v>95.3</v>
      </c>
      <c r="AA20" s="10">
        <v>96.67</v>
      </c>
      <c r="AB20" s="95">
        <v>15548700</v>
      </c>
      <c r="AC20" s="10">
        <v>96.67</v>
      </c>
      <c r="AD20" s="2">
        <f t="shared" si="1"/>
        <v>1.5499999999999972</v>
      </c>
      <c r="AE20" s="138">
        <f t="shared" si="2"/>
        <v>9.6083550913839133E-3</v>
      </c>
    </row>
    <row r="21" spans="1:31" x14ac:dyDescent="0.25">
      <c r="W21" s="133">
        <v>42590</v>
      </c>
      <c r="X21" s="10">
        <v>96.11</v>
      </c>
      <c r="Y21" s="10">
        <v>96.29</v>
      </c>
      <c r="Z21" s="10">
        <v>95.58</v>
      </c>
      <c r="AA21" s="10">
        <v>95.75</v>
      </c>
      <c r="AB21" s="95">
        <v>7792000</v>
      </c>
      <c r="AC21" s="10">
        <v>95.75</v>
      </c>
      <c r="AD21" s="2">
        <f t="shared" si="1"/>
        <v>0.71000000000000796</v>
      </c>
      <c r="AE21" s="138">
        <f t="shared" si="2"/>
        <v>-8.3481164562249077E-4</v>
      </c>
    </row>
    <row r="22" spans="1:31" x14ac:dyDescent="0.25">
      <c r="W22" s="133">
        <v>42587</v>
      </c>
      <c r="X22" s="10">
        <v>95.4</v>
      </c>
      <c r="Y22" s="10">
        <v>96</v>
      </c>
      <c r="Z22" s="10">
        <v>95.35</v>
      </c>
      <c r="AA22" s="10">
        <v>95.83</v>
      </c>
      <c r="AB22" s="95">
        <v>6528500</v>
      </c>
      <c r="AC22" s="10">
        <v>95.83</v>
      </c>
      <c r="AD22" s="2">
        <f t="shared" si="1"/>
        <v>0.65000000000000568</v>
      </c>
      <c r="AE22" s="138">
        <f t="shared" si="2"/>
        <v>7.0407734342161632E-3</v>
      </c>
    </row>
    <row r="23" spans="1:31" x14ac:dyDescent="0.25">
      <c r="W23" s="133">
        <v>42586</v>
      </c>
      <c r="X23" s="10">
        <v>95.53</v>
      </c>
      <c r="Y23" s="10">
        <v>95.98</v>
      </c>
      <c r="Z23" s="10">
        <v>94.71</v>
      </c>
      <c r="AA23" s="10">
        <v>95.16</v>
      </c>
      <c r="AB23" s="95">
        <v>10038300</v>
      </c>
      <c r="AC23" s="10">
        <v>95.16</v>
      </c>
      <c r="AD23" s="2">
        <f t="shared" si="1"/>
        <v>1.2700000000000102</v>
      </c>
      <c r="AE23" s="138">
        <f t="shared" si="2"/>
        <v>-9.6784264751795801E-3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42585</v>
      </c>
      <c r="X24" s="10">
        <v>95.06</v>
      </c>
      <c r="Y24" s="10">
        <v>96.43</v>
      </c>
      <c r="Z24" s="10">
        <v>95</v>
      </c>
      <c r="AA24" s="10">
        <v>96.09</v>
      </c>
      <c r="AB24" s="95">
        <v>9068700</v>
      </c>
      <c r="AC24" s="10">
        <v>96.09</v>
      </c>
      <c r="AD24" s="2">
        <f t="shared" si="1"/>
        <v>1.4300000000000068</v>
      </c>
      <c r="AE24" s="138">
        <f t="shared" si="2"/>
        <v>1.1367224502683904E-2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42584</v>
      </c>
      <c r="X25" s="10">
        <v>95.35</v>
      </c>
      <c r="Y25" s="10">
        <v>95.75</v>
      </c>
      <c r="Z25" s="10">
        <v>94.56</v>
      </c>
      <c r="AA25" s="10">
        <v>95.01</v>
      </c>
      <c r="AB25" s="95">
        <v>7644100</v>
      </c>
      <c r="AC25" s="10">
        <v>95.01</v>
      </c>
      <c r="AD25" s="2">
        <f t="shared" si="1"/>
        <v>1.1899999999999977</v>
      </c>
      <c r="AE25" s="138">
        <f t="shared" si="2"/>
        <v>-5.5474146954155312E-3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42583</v>
      </c>
      <c r="X26" s="10">
        <v>96.15</v>
      </c>
      <c r="Y26" s="10">
        <v>96.2</v>
      </c>
      <c r="Z26" s="10">
        <v>95.08</v>
      </c>
      <c r="AA26" s="10">
        <v>95.54</v>
      </c>
      <c r="AB26" s="95">
        <v>7131600</v>
      </c>
      <c r="AC26" s="10">
        <v>95.54</v>
      </c>
      <c r="AD26" s="2">
        <f t="shared" si="1"/>
        <v>1.1200000000000045</v>
      </c>
      <c r="AE26" s="138">
        <f t="shared" si="2"/>
        <v>-4.2730588848358675E-3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4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42580</v>
      </c>
      <c r="X27" s="10">
        <v>95.85</v>
      </c>
      <c r="Y27" s="10">
        <v>96.38</v>
      </c>
      <c r="Z27" s="10">
        <v>95.85</v>
      </c>
      <c r="AA27" s="10">
        <v>95.95</v>
      </c>
      <c r="AB27" s="95">
        <v>8264000</v>
      </c>
      <c r="AC27" s="10">
        <v>95.95</v>
      </c>
      <c r="AD27" s="2">
        <f t="shared" si="1"/>
        <v>0.53000000000000114</v>
      </c>
      <c r="AE27" s="138">
        <f t="shared" si="2"/>
        <v>4.1705765822142027E-4</v>
      </c>
    </row>
    <row r="28" spans="1:31" x14ac:dyDescent="0.25">
      <c r="B28" s="193">
        <v>42409</v>
      </c>
      <c r="C28" s="7">
        <v>40</v>
      </c>
      <c r="D28" s="44">
        <v>95.31</v>
      </c>
      <c r="E28" s="40">
        <v>92.12</v>
      </c>
      <c r="F28" s="40">
        <f t="shared" si="4"/>
        <v>-127.59999999999991</v>
      </c>
      <c r="G28" s="40">
        <f>D28*C28</f>
        <v>3812.4</v>
      </c>
      <c r="H28" s="231">
        <f t="shared" ref="H28:H36" si="5">(E28-D28)/D28</f>
        <v>-3.346973035358302E-2</v>
      </c>
      <c r="I28" s="40"/>
      <c r="W28" s="133">
        <v>42579</v>
      </c>
      <c r="X28" s="10">
        <v>96.4</v>
      </c>
      <c r="Y28" s="10">
        <v>96.49</v>
      </c>
      <c r="Z28" s="10">
        <v>95.82</v>
      </c>
      <c r="AA28" s="10">
        <v>95.91</v>
      </c>
      <c r="AB28" s="95">
        <v>7713500</v>
      </c>
      <c r="AC28" s="10">
        <v>95.91</v>
      </c>
      <c r="AD28" s="2">
        <f t="shared" si="1"/>
        <v>0.67000000000000171</v>
      </c>
      <c r="AE28" s="138">
        <f t="shared" si="2"/>
        <v>-4.3600124571784304E-3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4"/>
        <v>-111.19999999999983</v>
      </c>
      <c r="G29" s="40">
        <f t="shared" ref="G29:G36" si="6">D29*C29</f>
        <v>2419.6999999999998</v>
      </c>
      <c r="H29" s="231">
        <f t="shared" si="5"/>
        <v>-4.5956110261602609E-2</v>
      </c>
      <c r="I29" s="40"/>
      <c r="W29" s="133">
        <v>42578</v>
      </c>
      <c r="X29" s="10">
        <v>96.7</v>
      </c>
      <c r="Y29" s="10">
        <v>96.93</v>
      </c>
      <c r="Z29" s="10">
        <v>95.86</v>
      </c>
      <c r="AA29" s="10">
        <v>96.33</v>
      </c>
      <c r="AB29" s="95">
        <v>6911400</v>
      </c>
      <c r="AC29" s="10">
        <v>96.33</v>
      </c>
      <c r="AD29" s="2">
        <f t="shared" si="1"/>
        <v>1.0700000000000074</v>
      </c>
      <c r="AE29" s="138">
        <f t="shared" si="2"/>
        <v>-3.7232392181197893E-3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4"/>
        <v>-44.44999999999979</v>
      </c>
      <c r="G30" s="40">
        <f t="shared" si="6"/>
        <v>2419.6999999999998</v>
      </c>
      <c r="H30" s="231">
        <f t="shared" si="5"/>
        <v>-1.8370045873455299E-2</v>
      </c>
      <c r="I30" s="40"/>
      <c r="W30" s="133">
        <v>42577</v>
      </c>
      <c r="X30" s="10">
        <v>97.02</v>
      </c>
      <c r="Y30" s="10">
        <v>97.16</v>
      </c>
      <c r="Z30" s="10">
        <v>96.34</v>
      </c>
      <c r="AA30" s="10">
        <v>96.69</v>
      </c>
      <c r="AB30" s="95">
        <v>6274800</v>
      </c>
      <c r="AC30" s="10">
        <v>96.69</v>
      </c>
      <c r="AD30" s="2">
        <f t="shared" si="1"/>
        <v>0.81999999999999318</v>
      </c>
      <c r="AE30" s="138">
        <f t="shared" si="2"/>
        <v>-7.1875962624500245E-3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4"/>
        <v>21.550000000000225</v>
      </c>
      <c r="G31" s="40">
        <f t="shared" si="6"/>
        <v>2419.6999999999998</v>
      </c>
      <c r="H31" s="231">
        <f t="shared" si="5"/>
        <v>8.9060627350498918E-3</v>
      </c>
      <c r="I31" s="40"/>
      <c r="W31" s="133">
        <v>42576</v>
      </c>
      <c r="X31" s="10">
        <v>97.9</v>
      </c>
      <c r="Y31" s="10">
        <v>98.06</v>
      </c>
      <c r="Z31" s="10">
        <v>97.25</v>
      </c>
      <c r="AA31" s="10">
        <v>97.39</v>
      </c>
      <c r="AB31" s="95">
        <v>4825500</v>
      </c>
      <c r="AC31" s="10">
        <v>97.39</v>
      </c>
      <c r="AD31" s="2">
        <f t="shared" si="1"/>
        <v>0.81000000000000227</v>
      </c>
      <c r="AE31" s="138">
        <f t="shared" si="2"/>
        <v>-3.274997441408134E-3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4"/>
        <v>60.31000000000013</v>
      </c>
      <c r="G32" s="40">
        <f t="shared" si="6"/>
        <v>2419.69</v>
      </c>
      <c r="H32" s="231">
        <f t="shared" si="5"/>
        <v>2.4924680434270562E-2</v>
      </c>
      <c r="I32" s="40"/>
      <c r="W32" s="133">
        <v>42573</v>
      </c>
      <c r="X32" s="10">
        <v>98.39</v>
      </c>
      <c r="Y32" s="10">
        <v>98.42</v>
      </c>
      <c r="Z32" s="10">
        <v>97.47</v>
      </c>
      <c r="AA32" s="10">
        <v>97.71</v>
      </c>
      <c r="AB32" s="95">
        <v>5381700</v>
      </c>
      <c r="AC32" s="10">
        <v>97.71</v>
      </c>
      <c r="AD32" s="2">
        <f t="shared" si="1"/>
        <v>0.95000000000000284</v>
      </c>
      <c r="AE32" s="138">
        <f t="shared" si="2"/>
        <v>-3.06091215182136E-3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4"/>
        <v>-12.94000000000004</v>
      </c>
      <c r="G33" s="40">
        <f t="shared" si="6"/>
        <v>2419.69</v>
      </c>
      <c r="H33" s="231">
        <f t="shared" si="5"/>
        <v>-5.3477924858143155E-3</v>
      </c>
      <c r="I33" s="40"/>
      <c r="W33" s="133">
        <v>42572</v>
      </c>
      <c r="X33" s="10">
        <v>98.17</v>
      </c>
      <c r="Y33" s="10">
        <v>99.13</v>
      </c>
      <c r="Z33" s="10">
        <v>97.62</v>
      </c>
      <c r="AA33" s="10">
        <v>98.01</v>
      </c>
      <c r="AB33" s="95">
        <v>6726600</v>
      </c>
      <c r="AC33" s="10">
        <v>98.01</v>
      </c>
      <c r="AD33" s="2">
        <f t="shared" si="1"/>
        <v>1.5099999999999909</v>
      </c>
      <c r="AE33" s="138">
        <f t="shared" si="2"/>
        <v>-2.1380574221135928E-3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4"/>
        <v>173.03999999999979</v>
      </c>
      <c r="G34" s="40">
        <f t="shared" si="6"/>
        <v>1382.6100000000001</v>
      </c>
      <c r="H34" s="231">
        <f t="shared" si="5"/>
        <v>0.12515459891075559</v>
      </c>
      <c r="I34" s="40"/>
      <c r="W34" s="133">
        <v>42571</v>
      </c>
      <c r="X34" s="10">
        <v>98.65</v>
      </c>
      <c r="Y34" s="10">
        <v>98.69</v>
      </c>
      <c r="Z34" s="10">
        <v>97.14</v>
      </c>
      <c r="AA34" s="10">
        <v>98.22</v>
      </c>
      <c r="AB34" s="95">
        <v>10664900</v>
      </c>
      <c r="AC34" s="10">
        <v>98.22</v>
      </c>
      <c r="AD34" s="2">
        <f t="shared" si="1"/>
        <v>1.5499999999999972</v>
      </c>
      <c r="AE34" s="138">
        <f t="shared" si="2"/>
        <v>-1.2566602995878196E-2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4"/>
        <v>200.49</v>
      </c>
      <c r="G35" s="40">
        <f t="shared" si="6"/>
        <v>1382.6100000000001</v>
      </c>
      <c r="H35" s="231">
        <f t="shared" si="5"/>
        <v>0.14500835376570398</v>
      </c>
      <c r="I35" s="40"/>
      <c r="W35" s="133">
        <v>42570</v>
      </c>
      <c r="X35" s="10">
        <v>99.81</v>
      </c>
      <c r="Y35" s="10">
        <v>99.99</v>
      </c>
      <c r="Z35" s="10">
        <v>99.36</v>
      </c>
      <c r="AA35" s="10">
        <v>99.47</v>
      </c>
      <c r="AB35" s="95">
        <v>5742700</v>
      </c>
      <c r="AC35" s="10">
        <v>99.47</v>
      </c>
      <c r="AD35" s="2">
        <f t="shared" si="1"/>
        <v>0.62999999999999545</v>
      </c>
      <c r="AE35" s="138">
        <f t="shared" si="2"/>
        <v>-6.7898152770844433E-3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4"/>
        <v>143.03999999999979</v>
      </c>
      <c r="G36" s="40">
        <f t="shared" si="6"/>
        <v>1382.6100000000001</v>
      </c>
      <c r="H36" s="231">
        <f t="shared" si="5"/>
        <v>0.10345650617310724</v>
      </c>
      <c r="I36" s="40"/>
      <c r="W36" s="133">
        <v>42569</v>
      </c>
      <c r="X36" s="10">
        <v>99.9</v>
      </c>
      <c r="Y36" s="10">
        <v>100.71</v>
      </c>
      <c r="Z36" s="10">
        <v>99.87</v>
      </c>
      <c r="AA36" s="10">
        <v>100.15</v>
      </c>
      <c r="AB36" s="95">
        <v>5051300</v>
      </c>
      <c r="AC36" s="10">
        <v>100.15</v>
      </c>
      <c r="AD36" s="2">
        <f t="shared" si="1"/>
        <v>0.8399999999999892</v>
      </c>
      <c r="AE36" s="138">
        <f t="shared" si="2"/>
        <v>3.507014028056199E-3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7">C37*(E37-D37)</f>
        <v>53.189999999999884</v>
      </c>
      <c r="G37" s="40">
        <f t="shared" ref="G37:G42" si="8">D37*C37</f>
        <v>1382.6100000000001</v>
      </c>
      <c r="H37" s="231">
        <f t="shared" ref="H37:H42" si="9">(E37-D37)/D37</f>
        <v>3.8470718423850456E-2</v>
      </c>
      <c r="I37" s="40"/>
      <c r="W37" s="133">
        <v>42566</v>
      </c>
      <c r="X37" s="10">
        <v>100.42</v>
      </c>
      <c r="Y37" s="10">
        <v>100.54</v>
      </c>
      <c r="Z37" s="10">
        <v>99.54</v>
      </c>
      <c r="AA37" s="10">
        <v>99.8</v>
      </c>
      <c r="AB37" s="95">
        <v>5764400</v>
      </c>
      <c r="AC37" s="10">
        <v>99.8</v>
      </c>
      <c r="AD37" s="2">
        <f t="shared" si="1"/>
        <v>1</v>
      </c>
      <c r="AE37" s="138">
        <f t="shared" si="2"/>
        <v>-1.7005101530459532E-3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7"/>
        <v>117.08999999999996</v>
      </c>
      <c r="G38" s="40">
        <f t="shared" si="8"/>
        <v>1382.6100000000001</v>
      </c>
      <c r="H38" s="231">
        <f t="shared" si="9"/>
        <v>8.4687655955041519E-2</v>
      </c>
      <c r="I38" s="40"/>
      <c r="W38" s="133">
        <v>42565</v>
      </c>
      <c r="X38" s="10">
        <v>100.42</v>
      </c>
      <c r="Y38" s="10">
        <v>100.8</v>
      </c>
      <c r="Z38" s="10">
        <v>99.68</v>
      </c>
      <c r="AA38" s="10">
        <v>99.97</v>
      </c>
      <c r="AB38" s="95">
        <v>7461500</v>
      </c>
      <c r="AC38" s="10">
        <v>99.97</v>
      </c>
      <c r="AD38" s="2">
        <f t="shared" si="1"/>
        <v>1.1199999999999903</v>
      </c>
      <c r="AE38" s="138">
        <f t="shared" si="2"/>
        <v>9.0108129755717137E-4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7"/>
        <v>109.43999999999988</v>
      </c>
      <c r="G39" s="40">
        <f t="shared" si="8"/>
        <v>1382.6100000000001</v>
      </c>
      <c r="H39" s="231">
        <f t="shared" si="9"/>
        <v>7.9154642306941136E-2</v>
      </c>
      <c r="I39" s="40"/>
      <c r="W39" s="133">
        <v>42564</v>
      </c>
      <c r="X39" s="10">
        <v>100.46</v>
      </c>
      <c r="Y39" s="10">
        <v>100.8</v>
      </c>
      <c r="Z39" s="10">
        <v>99.85</v>
      </c>
      <c r="AA39" s="10">
        <v>99.88</v>
      </c>
      <c r="AB39" s="95">
        <v>5494700</v>
      </c>
      <c r="AC39" s="10">
        <v>99.88</v>
      </c>
      <c r="AD39" s="2">
        <f t="shared" si="1"/>
        <v>0.95000000000000284</v>
      </c>
      <c r="AE39" s="138">
        <f t="shared" si="2"/>
        <v>-3.1936127744511822E-3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7"/>
        <v>90.689999999999884</v>
      </c>
      <c r="G40" s="40">
        <f t="shared" si="8"/>
        <v>1382.6100000000001</v>
      </c>
      <c r="H40" s="231">
        <f t="shared" si="9"/>
        <v>6.55933343459109E-2</v>
      </c>
      <c r="I40" s="40"/>
      <c r="O40" s="545" t="s">
        <v>78</v>
      </c>
      <c r="P40" s="545"/>
      <c r="W40" s="133">
        <v>42563</v>
      </c>
      <c r="X40" s="10">
        <v>100.18</v>
      </c>
      <c r="Y40" s="10">
        <v>100.79</v>
      </c>
      <c r="Z40" s="10">
        <v>100</v>
      </c>
      <c r="AA40" s="10">
        <v>100.2</v>
      </c>
      <c r="AB40" s="95">
        <v>8508500</v>
      </c>
      <c r="AC40" s="10">
        <v>100.2</v>
      </c>
      <c r="AD40" s="2">
        <f t="shared" si="1"/>
        <v>0.79000000000000625</v>
      </c>
      <c r="AE40" s="138">
        <f t="shared" si="2"/>
        <v>2.2004400880175634E-3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7"/>
        <v>83.039999999999807</v>
      </c>
      <c r="G41" s="40">
        <f t="shared" si="8"/>
        <v>1382.6100000000001</v>
      </c>
      <c r="H41" s="231">
        <f t="shared" si="9"/>
        <v>6.0060320697810518E-2</v>
      </c>
      <c r="I41" s="40"/>
      <c r="O41" s="83">
        <v>1.1000000000000001</v>
      </c>
      <c r="P41" s="83">
        <f>O41*$Q$4</f>
        <v>103.18</v>
      </c>
      <c r="Q41" s="2"/>
      <c r="W41" s="133">
        <v>42562</v>
      </c>
      <c r="X41" s="10">
        <v>99.8</v>
      </c>
      <c r="Y41" s="10">
        <v>100.35</v>
      </c>
      <c r="Z41" s="10">
        <v>99.4</v>
      </c>
      <c r="AA41" s="10">
        <v>99.98</v>
      </c>
      <c r="AB41" s="95">
        <v>5428000</v>
      </c>
      <c r="AC41" s="10">
        <v>99.98</v>
      </c>
      <c r="AD41" s="2">
        <f t="shared" si="1"/>
        <v>0.94999999999998863</v>
      </c>
      <c r="AE41" s="138">
        <f t="shared" si="2"/>
        <v>3.6137321822926616E-3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7"/>
        <v>78.23999999999991</v>
      </c>
      <c r="G42" s="40">
        <f t="shared" si="8"/>
        <v>1382.6100000000001</v>
      </c>
      <c r="H42" s="231">
        <f t="shared" si="9"/>
        <v>5.6588625859786856E-2</v>
      </c>
      <c r="I42" s="40"/>
      <c r="O42" s="83">
        <v>1.0900000000000001</v>
      </c>
      <c r="P42" s="83">
        <f t="shared" ref="P42:P61" si="10">O42*$Q$4</f>
        <v>102.242</v>
      </c>
      <c r="Q42" s="2"/>
      <c r="T42" s="91" t="s">
        <v>113</v>
      </c>
      <c r="W42" s="133">
        <v>42559</v>
      </c>
      <c r="X42" s="10">
        <v>99.25</v>
      </c>
      <c r="Y42" s="10">
        <v>99.85</v>
      </c>
      <c r="Z42" s="10">
        <v>98.77</v>
      </c>
      <c r="AA42" s="10">
        <v>99.62</v>
      </c>
      <c r="AB42" s="95">
        <v>6045800</v>
      </c>
      <c r="AC42" s="10">
        <v>99.62</v>
      </c>
      <c r="AD42" s="2">
        <f t="shared" si="1"/>
        <v>1.0799999999999983</v>
      </c>
      <c r="AE42" s="138">
        <f t="shared" si="2"/>
        <v>1.2295498424956808E-2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1">C43*(E43-D43)</f>
        <v>67.739999999999867</v>
      </c>
      <c r="G43" s="40">
        <f t="shared" ref="G43" si="12">D43*C43</f>
        <v>1382.6100000000001</v>
      </c>
      <c r="H43" s="231">
        <f t="shared" ref="H43" si="13">(E43-D43)/D43</f>
        <v>4.8994293401609899E-2</v>
      </c>
      <c r="I43" s="40"/>
      <c r="O43" s="83">
        <v>1.08</v>
      </c>
      <c r="P43" s="83">
        <f t="shared" si="10"/>
        <v>101.304</v>
      </c>
      <c r="Q43" s="2"/>
      <c r="T43" s="128" t="s">
        <v>98</v>
      </c>
      <c r="U43" s="98">
        <v>94.26</v>
      </c>
      <c r="W43" s="133">
        <v>42558</v>
      </c>
      <c r="X43" s="10">
        <v>97.63</v>
      </c>
      <c r="Y43" s="10">
        <v>98.48</v>
      </c>
      <c r="Z43" s="10">
        <v>97.58</v>
      </c>
      <c r="AA43" s="10">
        <v>98.41</v>
      </c>
      <c r="AB43" s="95">
        <v>5146000</v>
      </c>
      <c r="AC43" s="10">
        <v>98.41</v>
      </c>
      <c r="AD43" s="2">
        <f t="shared" si="1"/>
        <v>0.90000000000000568</v>
      </c>
      <c r="AE43" s="138" t="e">
        <f t="shared" si="2"/>
        <v>#DIV/0!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4">C44*(E44-D44)</f>
        <v>66.689999999999969</v>
      </c>
      <c r="G44" s="40">
        <f t="shared" ref="G44:G47" si="15">D44*C44</f>
        <v>1371.96</v>
      </c>
      <c r="H44" s="231">
        <f t="shared" ref="H44:H47" si="16">(E44-D44)/D44</f>
        <v>4.8609288900551016E-2</v>
      </c>
      <c r="I44" s="40" t="s">
        <v>195</v>
      </c>
      <c r="O44" s="83">
        <v>1.07</v>
      </c>
      <c r="P44" s="83">
        <f t="shared" si="10"/>
        <v>100.366</v>
      </c>
      <c r="Q44" s="2"/>
      <c r="T44" s="93" t="s">
        <v>99</v>
      </c>
      <c r="U44" s="88">
        <v>94.82</v>
      </c>
      <c r="W44" s="133">
        <v>42558</v>
      </c>
      <c r="X44" s="10" t="s">
        <v>273</v>
      </c>
      <c r="Y44" s="10"/>
      <c r="Z44" s="10"/>
      <c r="AA44" s="10"/>
      <c r="AB44" s="95"/>
      <c r="AC44" s="10"/>
      <c r="AD44" s="2">
        <f t="shared" si="1"/>
        <v>0</v>
      </c>
      <c r="AE44" s="138">
        <f t="shared" si="2"/>
        <v>-1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4"/>
        <v>59.639999999999986</v>
      </c>
      <c r="G45" s="40">
        <f t="shared" si="15"/>
        <v>2795.16</v>
      </c>
      <c r="H45" s="231">
        <f t="shared" si="16"/>
        <v>2.1336882325162062E-2</v>
      </c>
      <c r="I45" s="40"/>
      <c r="O45" s="83">
        <v>1.06</v>
      </c>
      <c r="P45" s="83">
        <f t="shared" si="10"/>
        <v>99.427999999999997</v>
      </c>
      <c r="Q45" s="2"/>
      <c r="T45" s="93" t="s">
        <v>100</v>
      </c>
      <c r="U45" s="88" t="s">
        <v>448</v>
      </c>
      <c r="W45" s="133">
        <v>42557</v>
      </c>
      <c r="X45" s="10">
        <v>97</v>
      </c>
      <c r="Y45" s="10">
        <v>98.52</v>
      </c>
      <c r="Z45" s="10">
        <v>96.76</v>
      </c>
      <c r="AA45" s="10">
        <v>98.45</v>
      </c>
      <c r="AB45" s="95">
        <v>6223300</v>
      </c>
      <c r="AC45" s="10">
        <v>97.74</v>
      </c>
      <c r="AD45" s="2">
        <f t="shared" si="1"/>
        <v>1.7599999999999909</v>
      </c>
      <c r="AE45" s="138">
        <f t="shared" si="2"/>
        <v>8.0445544554454962E-3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4"/>
        <v>140.91000000000008</v>
      </c>
      <c r="G46" s="40">
        <f t="shared" si="15"/>
        <v>1326.99</v>
      </c>
      <c r="H46" s="231">
        <f t="shared" si="16"/>
        <v>0.10618768792530471</v>
      </c>
      <c r="I46" s="40"/>
      <c r="O46" s="83">
        <v>1.05</v>
      </c>
      <c r="P46" s="83">
        <f t="shared" si="10"/>
        <v>98.49</v>
      </c>
      <c r="Q46" s="2"/>
      <c r="T46" s="93" t="s">
        <v>101</v>
      </c>
      <c r="U46" s="88" t="s">
        <v>449</v>
      </c>
      <c r="W46" s="133">
        <v>42556</v>
      </c>
      <c r="X46" s="10">
        <v>97.77</v>
      </c>
      <c r="Y46" s="10">
        <v>98</v>
      </c>
      <c r="Z46" s="10">
        <v>97.17</v>
      </c>
      <c r="AA46" s="10">
        <v>97.66</v>
      </c>
      <c r="AB46" s="95">
        <v>5846400</v>
      </c>
      <c r="AC46" s="10">
        <v>96.96</v>
      </c>
      <c r="AD46" s="2">
        <f t="shared" si="1"/>
        <v>0.82999999999999829</v>
      </c>
      <c r="AE46" s="138">
        <f t="shared" si="2"/>
        <v>-3.6991368680641123E-3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4"/>
        <v>133.25999999999979</v>
      </c>
      <c r="G47" s="40">
        <f t="shared" si="15"/>
        <v>2779.7400000000002</v>
      </c>
      <c r="H47" s="231">
        <f t="shared" si="16"/>
        <v>4.7939735370933899E-2</v>
      </c>
      <c r="I47" s="40"/>
      <c r="O47" s="83">
        <v>1.04</v>
      </c>
      <c r="P47" s="83">
        <f t="shared" si="10"/>
        <v>97.552000000000007</v>
      </c>
      <c r="Q47" s="2"/>
      <c r="T47" s="93" t="s">
        <v>102</v>
      </c>
      <c r="U47" s="88">
        <v>109.52</v>
      </c>
      <c r="W47" s="133">
        <v>42552</v>
      </c>
      <c r="X47" s="10">
        <v>97.75</v>
      </c>
      <c r="Y47" s="10">
        <v>98.64</v>
      </c>
      <c r="Z47" s="10">
        <v>97.71</v>
      </c>
      <c r="AA47" s="10">
        <v>98.03</v>
      </c>
      <c r="AB47" s="95">
        <v>5681600</v>
      </c>
      <c r="AC47" s="10">
        <v>97.32</v>
      </c>
      <c r="AD47" s="2">
        <f t="shared" si="1"/>
        <v>0.93000000000000682</v>
      </c>
      <c r="AE47" s="138">
        <f t="shared" si="2"/>
        <v>2.1624961383996943E-3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7">C48*(E48-D48)</f>
        <v>119.76000000000013</v>
      </c>
      <c r="G48" s="40">
        <f t="shared" ref="G48" si="18">D48*C48</f>
        <v>2779.7400000000002</v>
      </c>
      <c r="H48" s="231">
        <f t="shared" ref="H48" si="19">(E48-D48)/D48</f>
        <v>4.3083166051501268E-2</v>
      </c>
      <c r="I48" s="40"/>
      <c r="O48" s="83">
        <v>1.03</v>
      </c>
      <c r="P48" s="83">
        <f t="shared" si="10"/>
        <v>96.614000000000004</v>
      </c>
      <c r="Q48" s="2"/>
      <c r="T48" s="93" t="s">
        <v>103</v>
      </c>
      <c r="U48" s="88">
        <v>1.45075</v>
      </c>
      <c r="W48" s="133">
        <v>42551</v>
      </c>
      <c r="X48" s="10">
        <v>97.1</v>
      </c>
      <c r="Y48" s="10">
        <v>98.07</v>
      </c>
      <c r="Z48" s="10">
        <v>96.88</v>
      </c>
      <c r="AA48" s="10">
        <v>97.82</v>
      </c>
      <c r="AB48" s="95">
        <v>7189500</v>
      </c>
      <c r="AC48" s="10">
        <v>97.11</v>
      </c>
      <c r="AD48" s="2">
        <f t="shared" si="1"/>
        <v>1.1899999999999977</v>
      </c>
      <c r="AE48" s="138">
        <f t="shared" si="2"/>
        <v>8.6206896551723755E-3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20">C49*(E49-D49)</f>
        <v>96.360000000000099</v>
      </c>
      <c r="G49" s="40">
        <f t="shared" ref="G49" si="21">D49*C49</f>
        <v>2779.7400000000002</v>
      </c>
      <c r="H49" s="231">
        <f t="shared" ref="H49" si="22">(E49-D49)/D49</f>
        <v>3.4665112564484485E-2</v>
      </c>
      <c r="I49" s="40"/>
      <c r="O49" s="83">
        <v>1.02</v>
      </c>
      <c r="P49" s="83">
        <f t="shared" si="10"/>
        <v>95.676000000000002</v>
      </c>
      <c r="Q49" s="2"/>
      <c r="T49" s="93" t="s">
        <v>123</v>
      </c>
      <c r="U49" s="88" t="s">
        <v>331</v>
      </c>
      <c r="W49" s="133">
        <v>42550</v>
      </c>
      <c r="X49" s="10">
        <v>96.91</v>
      </c>
      <c r="Y49" s="10">
        <v>97.29</v>
      </c>
      <c r="Z49" s="10">
        <v>96.28</v>
      </c>
      <c r="AA49" s="10">
        <v>96.98</v>
      </c>
      <c r="AB49" s="95">
        <v>6563600</v>
      </c>
      <c r="AC49" s="10">
        <v>96.28</v>
      </c>
      <c r="AD49" s="2">
        <f t="shared" si="1"/>
        <v>1.0100000000000051</v>
      </c>
      <c r="AE49" s="138">
        <f t="shared" si="2"/>
        <v>9.6476510067113885E-3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3">C50*(E50-D50)</f>
        <v>86.759999999999877</v>
      </c>
      <c r="G50" s="40">
        <f t="shared" ref="G50:G51" si="24">D50*C50</f>
        <v>2779.7400000000002</v>
      </c>
      <c r="H50" s="231">
        <f t="shared" ref="H50:H51" si="25">(E50-D50)/D50</f>
        <v>3.1211552159554446E-2</v>
      </c>
      <c r="I50" s="40"/>
      <c r="O50" s="83">
        <v>1.01</v>
      </c>
      <c r="P50" s="83">
        <f t="shared" si="10"/>
        <v>94.738</v>
      </c>
      <c r="Q50" s="2"/>
      <c r="T50" s="93"/>
      <c r="U50" s="88"/>
      <c r="W50" s="133">
        <v>42549</v>
      </c>
      <c r="X50" s="10">
        <v>95.46</v>
      </c>
      <c r="Y50" s="10">
        <v>96.28</v>
      </c>
      <c r="Z50" s="10">
        <v>95.14</v>
      </c>
      <c r="AA50" s="10">
        <v>96.05</v>
      </c>
      <c r="AB50" s="95">
        <v>7143100</v>
      </c>
      <c r="AC50" s="10">
        <v>95.36</v>
      </c>
      <c r="AD50" s="2">
        <f t="shared" si="1"/>
        <v>1.1400000000000006</v>
      </c>
      <c r="AE50" s="138">
        <f t="shared" si="2"/>
        <v>1.7716115261472654E-2</v>
      </c>
    </row>
    <row r="51" spans="2:31" x14ac:dyDescent="0.25">
      <c r="B51" s="193">
        <v>42611</v>
      </c>
      <c r="C51" s="10">
        <v>55</v>
      </c>
      <c r="D51" s="40">
        <v>93.531599999999997</v>
      </c>
      <c r="E51" s="40">
        <v>94.87</v>
      </c>
      <c r="F51" s="40">
        <f t="shared" si="23"/>
        <v>73.612000000000393</v>
      </c>
      <c r="G51" s="40">
        <f t="shared" si="24"/>
        <v>5144.2380000000003</v>
      </c>
      <c r="H51" s="231">
        <f t="shared" si="25"/>
        <v>1.4309602316222615E-2</v>
      </c>
      <c r="I51" s="40"/>
      <c r="O51" s="83">
        <v>1</v>
      </c>
      <c r="P51" s="83">
        <f t="shared" si="10"/>
        <v>93.8</v>
      </c>
      <c r="Q51" s="2"/>
      <c r="T51" s="93" t="s">
        <v>105</v>
      </c>
      <c r="U51" s="88" t="s">
        <v>450</v>
      </c>
      <c r="W51" s="133">
        <v>42548</v>
      </c>
      <c r="X51" s="10">
        <v>94.91</v>
      </c>
      <c r="Y51" s="10">
        <v>95.23</v>
      </c>
      <c r="Z51" s="10">
        <v>94</v>
      </c>
      <c r="AA51" s="10">
        <v>94.38</v>
      </c>
      <c r="AB51" s="95">
        <v>9438400</v>
      </c>
      <c r="AC51" s="10">
        <v>93.7</v>
      </c>
      <c r="AD51" s="2">
        <f t="shared" si="1"/>
        <v>1.230000000000004</v>
      </c>
      <c r="AE51" s="138">
        <f t="shared" si="2"/>
        <v>-1.3995580343049596E-2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6">C52*(E52-D52)</f>
        <v>48.862000000000236</v>
      </c>
      <c r="G52" s="40">
        <f t="shared" ref="G52" si="27">D52*C52</f>
        <v>5144.2380000000003</v>
      </c>
      <c r="H52" s="231">
        <f t="shared" ref="H52" si="28">(E52-D52)/D52</f>
        <v>9.4983941256217615E-3</v>
      </c>
      <c r="I52" s="40"/>
      <c r="O52" s="83">
        <v>0.99</v>
      </c>
      <c r="P52" s="83">
        <f t="shared" si="10"/>
        <v>92.861999999999995</v>
      </c>
      <c r="Q52" s="2"/>
      <c r="T52" s="93" t="s">
        <v>106</v>
      </c>
      <c r="U52" s="88" t="s">
        <v>328</v>
      </c>
      <c r="W52" s="133">
        <v>42545</v>
      </c>
      <c r="X52" s="10">
        <v>96.01</v>
      </c>
      <c r="Y52" s="10">
        <v>97.28</v>
      </c>
      <c r="Z52" s="10">
        <v>95.14</v>
      </c>
      <c r="AA52" s="10">
        <v>95.72</v>
      </c>
      <c r="AB52" s="95">
        <v>15079900</v>
      </c>
      <c r="AC52" s="10">
        <v>95.03</v>
      </c>
      <c r="AD52" s="2">
        <f t="shared" si="1"/>
        <v>2.1400000000000006</v>
      </c>
      <c r="AE52" s="138">
        <f t="shared" si="2"/>
        <v>-3.3363849048926864E-2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9">C53*(E53-D53)</f>
        <v>14.761999999999986</v>
      </c>
      <c r="G53" s="40">
        <f t="shared" ref="G53" si="30">D53*C53</f>
        <v>5144.2380000000003</v>
      </c>
      <c r="H53" s="231">
        <f t="shared" ref="H53" si="31">(E53-D53)/D53</f>
        <v>2.8696183963494663E-3</v>
      </c>
      <c r="I53" s="40"/>
      <c r="O53" s="83">
        <v>0.98</v>
      </c>
      <c r="P53" s="83">
        <f t="shared" si="10"/>
        <v>91.923999999999992</v>
      </c>
      <c r="Q53" s="2"/>
      <c r="T53" s="93" t="s">
        <v>107</v>
      </c>
      <c r="U53" s="90">
        <v>5382016</v>
      </c>
      <c r="W53" s="133">
        <v>42544</v>
      </c>
      <c r="X53" s="10">
        <v>99.44</v>
      </c>
      <c r="Y53" s="10">
        <v>99.62</v>
      </c>
      <c r="Z53" s="10">
        <v>98.61</v>
      </c>
      <c r="AA53" s="10">
        <v>99.02</v>
      </c>
      <c r="AB53" s="95">
        <v>5826100</v>
      </c>
      <c r="AC53" s="10">
        <v>98.31</v>
      </c>
      <c r="AD53" s="2">
        <f t="shared" si="1"/>
        <v>1.0100000000000051</v>
      </c>
      <c r="AE53" s="138">
        <f t="shared" si="2"/>
        <v>2.3450244698206557E-3</v>
      </c>
    </row>
    <row r="54" spans="2:31" x14ac:dyDescent="0.25">
      <c r="B54" s="193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0"/>
        <v>90.98599999999999</v>
      </c>
      <c r="T54" s="93" t="s">
        <v>110</v>
      </c>
      <c r="U54" s="90">
        <v>7239900</v>
      </c>
      <c r="W54" s="133">
        <v>42543</v>
      </c>
      <c r="X54" s="10">
        <v>99.08</v>
      </c>
      <c r="Y54" s="10">
        <v>99.62</v>
      </c>
      <c r="Z54" s="10">
        <v>98.7</v>
      </c>
      <c r="AA54" s="10">
        <v>98.79</v>
      </c>
      <c r="AB54" s="95">
        <v>4948900</v>
      </c>
      <c r="AC54" s="10">
        <v>98.08</v>
      </c>
      <c r="AD54" s="2">
        <f t="shared" si="1"/>
        <v>0.92000000000000171</v>
      </c>
      <c r="AE54" s="138">
        <f t="shared" si="2"/>
        <v>-3.0577922739782881E-4</v>
      </c>
    </row>
    <row r="55" spans="2:31" x14ac:dyDescent="0.25">
      <c r="B55" s="193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0"/>
        <v>90.047999999999988</v>
      </c>
      <c r="T55" s="93" t="s">
        <v>108</v>
      </c>
      <c r="U55" s="88" t="s">
        <v>451</v>
      </c>
      <c r="W55" s="133">
        <v>42542</v>
      </c>
      <c r="X55" s="10">
        <v>99.73</v>
      </c>
      <c r="Y55" s="10">
        <v>99.79</v>
      </c>
      <c r="Z55" s="10">
        <v>98.77</v>
      </c>
      <c r="AA55" s="10">
        <v>98.82</v>
      </c>
      <c r="AB55" s="95">
        <v>5202500</v>
      </c>
      <c r="AC55" s="10">
        <v>98.11</v>
      </c>
      <c r="AD55" s="2">
        <f t="shared" si="1"/>
        <v>1.0200000000000102</v>
      </c>
      <c r="AE55" s="138">
        <f t="shared" si="2"/>
        <v>-7.4860900354071225E-3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0"/>
        <v>89.11</v>
      </c>
      <c r="T56" s="93" t="s">
        <v>111</v>
      </c>
      <c r="U56" s="88">
        <v>16.97</v>
      </c>
      <c r="W56" s="133">
        <v>42541</v>
      </c>
      <c r="X56" s="10">
        <v>100.08</v>
      </c>
      <c r="Y56" s="10">
        <v>100.96</v>
      </c>
      <c r="Z56" s="10">
        <v>99.5</v>
      </c>
      <c r="AA56" s="10">
        <v>99.57</v>
      </c>
      <c r="AB56" s="95">
        <v>8268600</v>
      </c>
      <c r="AC56" s="10">
        <v>98.85</v>
      </c>
      <c r="AD56" s="2">
        <f t="shared" si="1"/>
        <v>1.4599999999999937</v>
      </c>
      <c r="AE56" s="138">
        <f t="shared" si="2"/>
        <v>5.697425984331872E-3</v>
      </c>
    </row>
    <row r="57" spans="2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10"/>
        <v>88.171999999999997</v>
      </c>
      <c r="T57" s="93" t="s">
        <v>112</v>
      </c>
      <c r="U57" s="88">
        <v>5.56</v>
      </c>
      <c r="W57" s="133">
        <v>42538</v>
      </c>
      <c r="X57" s="10">
        <v>98.41</v>
      </c>
      <c r="Y57" s="10">
        <v>99.14</v>
      </c>
      <c r="Z57" s="10">
        <v>98.27</v>
      </c>
      <c r="AA57" s="10">
        <v>99</v>
      </c>
      <c r="AB57" s="95">
        <v>8959400</v>
      </c>
      <c r="AC57" s="10">
        <v>98.29</v>
      </c>
      <c r="AD57" s="2">
        <f t="shared" si="1"/>
        <v>0.87000000000000455</v>
      </c>
      <c r="AE57" s="138">
        <f t="shared" si="2"/>
        <v>6.3479062148050769E-3</v>
      </c>
    </row>
    <row r="58" spans="2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0"/>
        <v>87.234000000000009</v>
      </c>
      <c r="T58" s="93" t="s">
        <v>109</v>
      </c>
      <c r="U58" s="88" t="s">
        <v>452</v>
      </c>
      <c r="W58" s="133">
        <v>42537</v>
      </c>
      <c r="X58" s="10">
        <v>97.8</v>
      </c>
      <c r="Y58" s="10">
        <v>98.63</v>
      </c>
      <c r="Z58" s="10">
        <v>96.86</v>
      </c>
      <c r="AA58" s="10">
        <v>98.38</v>
      </c>
      <c r="AB58" s="95">
        <v>7129700</v>
      </c>
      <c r="AC58" s="10">
        <v>97.67</v>
      </c>
      <c r="AD58" s="2">
        <f t="shared" si="1"/>
        <v>1.769999999999996</v>
      </c>
      <c r="AE58" s="138">
        <f t="shared" si="2"/>
        <v>1.1275112751127914E-3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0"/>
        <v>86.296000000000006</v>
      </c>
      <c r="W59" s="133">
        <v>42536</v>
      </c>
      <c r="X59" s="10">
        <v>98.19</v>
      </c>
      <c r="Y59" s="10">
        <v>99</v>
      </c>
      <c r="Z59" s="10">
        <v>98.19</v>
      </c>
      <c r="AA59" s="10">
        <v>98.27</v>
      </c>
      <c r="AB59" s="95">
        <v>6663200</v>
      </c>
      <c r="AC59" s="10">
        <v>97.56</v>
      </c>
      <c r="AD59" s="2">
        <f t="shared" si="1"/>
        <v>0.81000000000000227</v>
      </c>
      <c r="AE59" s="138">
        <f t="shared" si="2"/>
        <v>-1.3307400962226934E-3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0"/>
        <v>85.358000000000004</v>
      </c>
      <c r="W60" s="133">
        <v>42535</v>
      </c>
      <c r="X60" s="10">
        <v>97.2</v>
      </c>
      <c r="Y60" s="10">
        <v>98.55</v>
      </c>
      <c r="Z60" s="10">
        <v>97.18</v>
      </c>
      <c r="AA60" s="10">
        <v>98.4</v>
      </c>
      <c r="AB60" s="95">
        <v>6125700</v>
      </c>
      <c r="AC60" s="10">
        <v>97.69</v>
      </c>
      <c r="AD60" s="2">
        <f t="shared" si="1"/>
        <v>1.3699999999999903</v>
      </c>
      <c r="AE60" s="138">
        <f t="shared" si="2"/>
        <v>8.4649530298337439E-3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0"/>
        <v>84.42</v>
      </c>
      <c r="W61" s="133">
        <v>42534</v>
      </c>
      <c r="X61" s="10">
        <v>96.75</v>
      </c>
      <c r="Y61" s="10">
        <v>98.98</v>
      </c>
      <c r="Z61" s="10">
        <v>96.7</v>
      </c>
      <c r="AA61" s="10">
        <v>97.57</v>
      </c>
      <c r="AB61" s="95">
        <v>8766300</v>
      </c>
      <c r="AC61" s="10">
        <v>96.87</v>
      </c>
      <c r="AD61" s="2">
        <f t="shared" si="1"/>
        <v>2.2800000000000011</v>
      </c>
      <c r="AE61" s="138">
        <f t="shared" si="2"/>
        <v>2.3799668874171509E-3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42531</v>
      </c>
      <c r="X62" s="10">
        <v>97.15</v>
      </c>
      <c r="Y62" s="10">
        <v>97.71</v>
      </c>
      <c r="Z62" s="10">
        <v>96.78</v>
      </c>
      <c r="AA62" s="10">
        <v>97.34</v>
      </c>
      <c r="AB62" s="95">
        <v>7204400</v>
      </c>
      <c r="AC62" s="10">
        <v>96.64</v>
      </c>
      <c r="AD62" s="2">
        <f t="shared" si="1"/>
        <v>0.92999999999999261</v>
      </c>
      <c r="AE62" s="138">
        <f t="shared" si="2"/>
        <v>-5.0447853392360242E-3</v>
      </c>
    </row>
    <row r="63" spans="2:31" x14ac:dyDescent="0.25">
      <c r="W63" s="133">
        <v>42530</v>
      </c>
      <c r="X63" s="10">
        <v>97.82</v>
      </c>
      <c r="Y63" s="10">
        <v>97.93</v>
      </c>
      <c r="Z63" s="10">
        <v>97.1</v>
      </c>
      <c r="AA63" s="10">
        <v>97.84</v>
      </c>
      <c r="AB63" s="95">
        <v>5379400</v>
      </c>
      <c r="AC63" s="10">
        <v>97.13</v>
      </c>
      <c r="AD63" s="2">
        <f t="shared" si="1"/>
        <v>0.83000000000001251</v>
      </c>
      <c r="AE63" s="138">
        <f t="shared" si="2"/>
        <v>-2.0548648926332902E-3</v>
      </c>
    </row>
    <row r="64" spans="2:31" x14ac:dyDescent="0.25">
      <c r="W64" s="133">
        <v>42529</v>
      </c>
      <c r="X64" s="10">
        <v>98.49</v>
      </c>
      <c r="Y64" s="10">
        <v>98.82</v>
      </c>
      <c r="Z64" s="10">
        <v>97.7</v>
      </c>
      <c r="AA64" s="10">
        <v>98.04</v>
      </c>
      <c r="AB64" s="95">
        <v>5466200</v>
      </c>
      <c r="AC64" s="10">
        <v>97.33</v>
      </c>
      <c r="AD64" s="2">
        <f t="shared" si="1"/>
        <v>1.1199999999999903</v>
      </c>
      <c r="AE64" s="138">
        <f t="shared" si="2"/>
        <v>-3.1749283080705348E-3</v>
      </c>
    </row>
    <row r="65" spans="23:31" x14ac:dyDescent="0.25">
      <c r="W65" s="133">
        <v>42528</v>
      </c>
      <c r="X65" s="10">
        <v>99</v>
      </c>
      <c r="Y65" s="10">
        <v>99.04</v>
      </c>
      <c r="Z65" s="10">
        <v>98.32</v>
      </c>
      <c r="AA65" s="10">
        <v>98.35</v>
      </c>
      <c r="AB65" s="95">
        <v>5608400</v>
      </c>
      <c r="AC65" s="10">
        <v>97.64</v>
      </c>
      <c r="AD65" s="2">
        <f t="shared" si="1"/>
        <v>0.72000000000001307</v>
      </c>
      <c r="AE65" s="138">
        <f t="shared" si="2"/>
        <v>-4.3846232283062392E-3</v>
      </c>
    </row>
    <row r="66" spans="23:31" x14ac:dyDescent="0.25">
      <c r="W66" s="133">
        <v>42527</v>
      </c>
      <c r="X66" s="10">
        <v>98.96</v>
      </c>
      <c r="Y66" s="10">
        <v>99.12</v>
      </c>
      <c r="Z66" s="10">
        <v>98.47</v>
      </c>
      <c r="AA66" s="10">
        <v>98.78</v>
      </c>
      <c r="AB66" s="95">
        <v>4986600</v>
      </c>
      <c r="AC66" s="10">
        <v>98.07</v>
      </c>
      <c r="AD66" s="2">
        <f t="shared" si="1"/>
        <v>0.65000000000000568</v>
      </c>
      <c r="AE66" s="138">
        <f t="shared" si="2"/>
        <v>3.0599755201943246E-4</v>
      </c>
    </row>
    <row r="67" spans="23:31" x14ac:dyDescent="0.25">
      <c r="W67" s="133">
        <v>42524</v>
      </c>
      <c r="X67" s="10">
        <v>98.66</v>
      </c>
      <c r="Y67" s="10">
        <v>98.92</v>
      </c>
      <c r="Z67" s="10">
        <v>97.73</v>
      </c>
      <c r="AA67" s="10">
        <v>98.75</v>
      </c>
      <c r="AB67" s="95">
        <v>6857500</v>
      </c>
      <c r="AC67" s="10">
        <v>98.04</v>
      </c>
      <c r="AD67" s="2">
        <f>Y67-Z67</f>
        <v>1.1899999999999977</v>
      </c>
      <c r="AE67" s="138" t="e">
        <f>AC67/#REF!-1</f>
        <v>#REF!</v>
      </c>
    </row>
    <row r="68" spans="23:31" x14ac:dyDescent="0.25">
      <c r="W68" s="133">
        <v>42523</v>
      </c>
      <c r="X68" s="10">
        <v>98.07</v>
      </c>
      <c r="Y68" s="10">
        <v>98.72</v>
      </c>
      <c r="Z68" s="10">
        <v>97.87</v>
      </c>
      <c r="AA68" s="10">
        <v>98.72</v>
      </c>
      <c r="AB68" s="95">
        <v>4830100</v>
      </c>
      <c r="AC68" s="10">
        <v>98.01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52" priority="15">
      <formula>F25&gt;0</formula>
    </cfRule>
    <cfRule type="expression" dxfId="151" priority="16">
      <formula>F25&lt;0</formula>
    </cfRule>
  </conditionalFormatting>
  <conditionalFormatting sqref="F32:F62">
    <cfRule type="expression" dxfId="150" priority="11">
      <formula>F32&gt;0</formula>
    </cfRule>
    <cfRule type="expression" dxfId="149" priority="12">
      <formula>F32&lt;0</formula>
    </cfRule>
  </conditionalFormatting>
  <conditionalFormatting sqref="F32:F62">
    <cfRule type="expression" dxfId="148" priority="13">
      <formula>F32&gt;0</formula>
    </cfRule>
    <cfRule type="expression" dxfId="147" priority="14">
      <formula>F32&lt;0</formula>
    </cfRule>
  </conditionalFormatting>
  <conditionalFormatting sqref="H25 H30:H62">
    <cfRule type="expression" dxfId="146" priority="9">
      <formula>H25&gt;0</formula>
    </cfRule>
    <cfRule type="expression" dxfId="145" priority="10">
      <formula>H25&lt;0</formula>
    </cfRule>
  </conditionalFormatting>
  <conditionalFormatting sqref="F26:F29">
    <cfRule type="expression" dxfId="144" priority="7">
      <formula>F26&gt;0</formula>
    </cfRule>
    <cfRule type="expression" dxfId="143" priority="8">
      <formula>F26&lt;0</formula>
    </cfRule>
  </conditionalFormatting>
  <conditionalFormatting sqref="H26:H29">
    <cfRule type="expression" dxfId="142" priority="5">
      <formula>H26&gt;0</formula>
    </cfRule>
    <cfRule type="expression" dxfId="141" priority="6">
      <formula>H26&lt;0</formula>
    </cfRule>
  </conditionalFormatting>
  <conditionalFormatting sqref="Q7">
    <cfRule type="expression" dxfId="140" priority="3">
      <formula>Q7&gt;0</formula>
    </cfRule>
    <cfRule type="expression" dxfId="139" priority="4">
      <formula>Q7&lt;0</formula>
    </cfRule>
  </conditionalFormatting>
  <conditionalFormatting sqref="Q8">
    <cfRule type="expression" dxfId="138" priority="1">
      <formula>Q8&gt;0</formula>
    </cfRule>
    <cfRule type="expression" dxfId="137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127</v>
      </c>
      <c r="AE1" s="93" t="s">
        <v>129</v>
      </c>
    </row>
    <row r="2" spans="1:31" x14ac:dyDescent="0.25">
      <c r="A2" s="6" t="s">
        <v>9</v>
      </c>
      <c r="B2" s="74"/>
      <c r="C2" s="4"/>
      <c r="D2" s="3"/>
      <c r="E2" s="3"/>
      <c r="F2" s="3"/>
      <c r="G2" s="74"/>
      <c r="H2" s="185"/>
      <c r="I2" s="3"/>
      <c r="J2" s="3"/>
      <c r="K2" s="3"/>
      <c r="O2" s="11" t="s">
        <v>57</v>
      </c>
      <c r="Q2">
        <f>C18-H18</f>
        <v>0</v>
      </c>
      <c r="T2" s="1"/>
      <c r="W2" s="110">
        <v>42615</v>
      </c>
      <c r="X2" s="9">
        <v>4.57</v>
      </c>
      <c r="Y2" s="9">
        <v>4.63</v>
      </c>
      <c r="Z2" s="9">
        <v>4.5</v>
      </c>
      <c r="AA2" s="9">
        <v>4.5599999999999996</v>
      </c>
      <c r="AB2" s="104">
        <v>15806200</v>
      </c>
      <c r="AC2" s="9">
        <v>4.5599999999999996</v>
      </c>
      <c r="AD2" s="40">
        <f>Y2-Z2</f>
        <v>0.12999999999999989</v>
      </c>
      <c r="AE2" s="162">
        <f>AC2/AC3-1</f>
        <v>4.405286343612147E-3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(F18-K18)/Q2)</f>
        <v>4.68</v>
      </c>
      <c r="T3" s="1"/>
      <c r="W3" s="110">
        <v>42614</v>
      </c>
      <c r="X3" s="9">
        <v>4.62</v>
      </c>
      <c r="Y3" s="9">
        <v>4.6399999999999997</v>
      </c>
      <c r="Z3" s="9">
        <v>4.5199999999999996</v>
      </c>
      <c r="AA3" s="9">
        <v>4.54</v>
      </c>
      <c r="AB3" s="104">
        <v>19159500</v>
      </c>
      <c r="AC3" s="9">
        <v>4.54</v>
      </c>
      <c r="AD3" s="40">
        <f t="shared" ref="AD3:AD66" si="0">Y3-Z3</f>
        <v>0.12000000000000011</v>
      </c>
      <c r="AE3" s="162">
        <f t="shared" ref="AE3:AE66" si="1">AC3/AC4-1</f>
        <v>-1.304347826086949E-2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4.68</v>
      </c>
      <c r="T4" s="163"/>
      <c r="W4" s="110">
        <v>42613</v>
      </c>
      <c r="X4" s="9">
        <v>4.58</v>
      </c>
      <c r="Y4" s="9">
        <v>4.66</v>
      </c>
      <c r="Z4" s="9">
        <v>4.58</v>
      </c>
      <c r="AA4" s="9">
        <v>4.5999999999999996</v>
      </c>
      <c r="AB4" s="104">
        <v>11228100</v>
      </c>
      <c r="AC4" s="9">
        <v>4.5999999999999996</v>
      </c>
      <c r="AD4" s="40">
        <f t="shared" si="0"/>
        <v>8.0000000000000071E-2</v>
      </c>
      <c r="AE4" s="162">
        <f t="shared" si="1"/>
        <v>-6.4794816414687206E-3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O5" s="11" t="s">
        <v>67</v>
      </c>
      <c r="Q5" s="3">
        <f>Q4*Q2</f>
        <v>0</v>
      </c>
      <c r="W5" s="110">
        <v>42612</v>
      </c>
      <c r="X5" s="9">
        <v>4.6500000000000004</v>
      </c>
      <c r="Y5" s="9">
        <v>4.71</v>
      </c>
      <c r="Z5" s="9">
        <v>4.62</v>
      </c>
      <c r="AA5" s="9">
        <v>4.63</v>
      </c>
      <c r="AB5" s="104">
        <v>12559700</v>
      </c>
      <c r="AC5" s="9">
        <v>4.63</v>
      </c>
      <c r="AD5" s="40">
        <f t="shared" si="0"/>
        <v>8.9999999999999858E-2</v>
      </c>
      <c r="AE5" s="162">
        <f t="shared" si="1"/>
        <v>-6.4377682403433667E-3</v>
      </c>
    </row>
    <row r="6" spans="1:31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110">
        <v>42611</v>
      </c>
      <c r="X6" s="9">
        <v>4.6399999999999997</v>
      </c>
      <c r="Y6" s="9">
        <v>4.71</v>
      </c>
      <c r="Z6" s="9">
        <v>4.62</v>
      </c>
      <c r="AA6" s="9">
        <v>4.66</v>
      </c>
      <c r="AB6" s="104">
        <v>13947700</v>
      </c>
      <c r="AC6" s="9">
        <v>4.66</v>
      </c>
      <c r="AD6" s="40">
        <f t="shared" si="0"/>
        <v>8.9999999999999858E-2</v>
      </c>
      <c r="AE6" s="162">
        <f t="shared" si="1"/>
        <v>1.0845986984815648E-2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187</v>
      </c>
      <c r="Q7" s="2">
        <f>Q10+Q8</f>
        <v>434.93000000000029</v>
      </c>
      <c r="R7">
        <v>0</v>
      </c>
      <c r="W7" s="110">
        <v>42608</v>
      </c>
      <c r="X7" s="9">
        <v>4.6500000000000004</v>
      </c>
      <c r="Y7" s="9">
        <v>4.67</v>
      </c>
      <c r="Z7" s="9">
        <v>4.5999999999999996</v>
      </c>
      <c r="AA7" s="9">
        <v>4.6100000000000003</v>
      </c>
      <c r="AB7" s="104">
        <v>14266700</v>
      </c>
      <c r="AC7" s="9">
        <v>4.6100000000000003</v>
      </c>
      <c r="AD7" s="40">
        <f t="shared" si="0"/>
        <v>7.0000000000000284E-2</v>
      </c>
      <c r="AE7" s="162">
        <f t="shared" si="1"/>
        <v>-2.1645021645021467E-3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O8" s="11" t="s">
        <v>190</v>
      </c>
      <c r="P8" s="34"/>
      <c r="Q8" s="2">
        <f>K18+M18-F18+Q2*Q4</f>
        <v>0</v>
      </c>
      <c r="W8" s="110">
        <v>42607</v>
      </c>
      <c r="X8" s="9">
        <v>4.67</v>
      </c>
      <c r="Y8" s="9">
        <v>4.6900000000000004</v>
      </c>
      <c r="Z8" s="9">
        <v>4.6100000000000003</v>
      </c>
      <c r="AA8" s="9">
        <v>4.62</v>
      </c>
      <c r="AB8" s="104">
        <v>9960900</v>
      </c>
      <c r="AC8" s="9">
        <v>4.62</v>
      </c>
      <c r="AD8" s="40">
        <f t="shared" si="0"/>
        <v>8.0000000000000071E-2</v>
      </c>
      <c r="AE8" s="162">
        <f t="shared" si="1"/>
        <v>-8.5836909871245259E-3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224</v>
      </c>
      <c r="Q9" s="138">
        <f>IF(Q2=0, 0, Q8/Q6)</f>
        <v>0</v>
      </c>
      <c r="W9" s="110">
        <v>42606</v>
      </c>
      <c r="X9" s="9">
        <v>4.6500000000000004</v>
      </c>
      <c r="Y9" s="9">
        <v>4.7</v>
      </c>
      <c r="Z9" s="9">
        <v>4.6399999999999997</v>
      </c>
      <c r="AA9" s="9">
        <v>4.66</v>
      </c>
      <c r="AB9" s="104">
        <v>11191600</v>
      </c>
      <c r="AC9" s="9">
        <v>4.66</v>
      </c>
      <c r="AD9" s="40">
        <f t="shared" si="0"/>
        <v>6.0000000000000497E-2</v>
      </c>
      <c r="AE9" s="162">
        <f t="shared" si="1"/>
        <v>2.1505376344086446E-3</v>
      </c>
    </row>
    <row r="10" spans="1:31" x14ac:dyDescent="0.25">
      <c r="O10" s="11" t="s">
        <v>223</v>
      </c>
      <c r="P10" s="34"/>
      <c r="Q10" s="2">
        <f>M43</f>
        <v>434.93000000000029</v>
      </c>
      <c r="W10" s="110">
        <v>42605</v>
      </c>
      <c r="X10" s="9">
        <v>4.6900000000000004</v>
      </c>
      <c r="Y10" s="9">
        <v>4.7</v>
      </c>
      <c r="Z10" s="9">
        <v>4.62</v>
      </c>
      <c r="AA10" s="9">
        <v>4.6500000000000004</v>
      </c>
      <c r="AB10" s="104">
        <v>12520900</v>
      </c>
      <c r="AC10" s="9">
        <v>4.6500000000000004</v>
      </c>
      <c r="AD10" s="40">
        <f t="shared" si="0"/>
        <v>8.0000000000000071E-2</v>
      </c>
      <c r="AE10" s="162">
        <f t="shared" si="1"/>
        <v>2.1551724137931494E-3</v>
      </c>
    </row>
    <row r="11" spans="1:31" x14ac:dyDescent="0.25">
      <c r="O11" s="11" t="s">
        <v>184</v>
      </c>
      <c r="P11" s="34"/>
      <c r="Q11" s="138">
        <f>VALUE(TRIM(CLEAN(MID(U58, FIND("(", U58)+1, 5))))</f>
        <v>9.2100000000000001E-2</v>
      </c>
      <c r="W11" s="110">
        <v>42604</v>
      </c>
      <c r="X11" s="9">
        <v>4.72</v>
      </c>
      <c r="Y11" s="9">
        <v>4.72</v>
      </c>
      <c r="Z11" s="9">
        <v>4.6100000000000003</v>
      </c>
      <c r="AA11" s="9">
        <v>4.6399999999999997</v>
      </c>
      <c r="AB11" s="104">
        <v>17513400</v>
      </c>
      <c r="AC11" s="9">
        <v>4.6399999999999997</v>
      </c>
      <c r="AD11" s="40">
        <f t="shared" si="0"/>
        <v>0.10999999999999943</v>
      </c>
      <c r="AE11" s="162">
        <f t="shared" si="1"/>
        <v>-1.0660980810234699E-2</v>
      </c>
    </row>
    <row r="12" spans="1:31" x14ac:dyDescent="0.25">
      <c r="W12" s="110">
        <v>42601</v>
      </c>
      <c r="X12" s="9">
        <v>4.8</v>
      </c>
      <c r="Y12" s="9">
        <v>4.8099999999999996</v>
      </c>
      <c r="Z12" s="9">
        <v>4.66</v>
      </c>
      <c r="AA12" s="9">
        <v>4.6900000000000004</v>
      </c>
      <c r="AB12" s="104">
        <v>16956700</v>
      </c>
      <c r="AC12" s="9">
        <v>4.6900000000000004</v>
      </c>
      <c r="AD12" s="40">
        <f t="shared" si="0"/>
        <v>0.14999999999999947</v>
      </c>
      <c r="AE12" s="162">
        <f t="shared" si="1"/>
        <v>-1.882845188284521E-2</v>
      </c>
    </row>
    <row r="13" spans="1:31" x14ac:dyDescent="0.25">
      <c r="W13" s="110">
        <v>42600</v>
      </c>
      <c r="X13" s="9">
        <v>4.7699999999999996</v>
      </c>
      <c r="Y13" s="9">
        <v>4.8</v>
      </c>
      <c r="Z13" s="9">
        <v>4.71</v>
      </c>
      <c r="AA13" s="9">
        <v>4.78</v>
      </c>
      <c r="AB13" s="104">
        <v>17829600</v>
      </c>
      <c r="AC13" s="9">
        <v>4.78</v>
      </c>
      <c r="AD13" s="40">
        <f t="shared" si="0"/>
        <v>8.9999999999999858E-2</v>
      </c>
      <c r="AE13" s="162">
        <f t="shared" si="1"/>
        <v>1.2711864406779849E-2</v>
      </c>
    </row>
    <row r="14" spans="1:31" x14ac:dyDescent="0.25">
      <c r="W14" s="110">
        <v>42599</v>
      </c>
      <c r="X14" s="9">
        <v>4.8499999999999996</v>
      </c>
      <c r="Y14" s="9">
        <v>4.87</v>
      </c>
      <c r="Z14" s="9">
        <v>4.71</v>
      </c>
      <c r="AA14" s="9">
        <v>4.72</v>
      </c>
      <c r="AB14" s="104">
        <v>28260500</v>
      </c>
      <c r="AC14" s="9">
        <v>4.72</v>
      </c>
      <c r="AD14" s="40">
        <f t="shared" si="0"/>
        <v>0.16000000000000014</v>
      </c>
      <c r="AE14" s="162">
        <f t="shared" si="1"/>
        <v>-2.6804123711340222E-2</v>
      </c>
    </row>
    <row r="15" spans="1:31" x14ac:dyDescent="0.25">
      <c r="W15" s="110">
        <v>42598</v>
      </c>
      <c r="X15" s="9">
        <v>4.91</v>
      </c>
      <c r="Y15" s="9">
        <v>4.91</v>
      </c>
      <c r="Z15" s="9">
        <v>4.84</v>
      </c>
      <c r="AA15" s="9">
        <v>4.8499999999999996</v>
      </c>
      <c r="AB15" s="104">
        <v>13670600</v>
      </c>
      <c r="AC15" s="9">
        <v>4.8499999999999996</v>
      </c>
      <c r="AD15" s="40">
        <f t="shared" si="0"/>
        <v>7.0000000000000284E-2</v>
      </c>
      <c r="AE15" s="162">
        <f t="shared" si="1"/>
        <v>-1.0204081632653184E-2</v>
      </c>
    </row>
    <row r="16" spans="1:31" x14ac:dyDescent="0.25">
      <c r="W16" s="110">
        <v>42597</v>
      </c>
      <c r="X16" s="9">
        <v>4.8499999999999996</v>
      </c>
      <c r="Y16" s="9">
        <v>4.9000000000000004</v>
      </c>
      <c r="Z16" s="9">
        <v>4.83</v>
      </c>
      <c r="AA16" s="9">
        <v>4.9000000000000004</v>
      </c>
      <c r="AB16" s="104">
        <v>15472800</v>
      </c>
      <c r="AC16" s="9">
        <v>4.9000000000000004</v>
      </c>
      <c r="AD16" s="40">
        <f t="shared" si="0"/>
        <v>7.0000000000000284E-2</v>
      </c>
      <c r="AE16" s="162">
        <f t="shared" si="1"/>
        <v>1.0309278350515649E-2</v>
      </c>
    </row>
    <row r="17" spans="1:31" x14ac:dyDescent="0.25">
      <c r="H17" s="72"/>
      <c r="W17" s="110">
        <v>42594</v>
      </c>
      <c r="X17" s="9">
        <v>4.8499999999999996</v>
      </c>
      <c r="Y17" s="9">
        <v>4.87</v>
      </c>
      <c r="Z17" s="9">
        <v>4.82</v>
      </c>
      <c r="AA17" s="9">
        <v>4.8499999999999996</v>
      </c>
      <c r="AB17" s="104">
        <v>14199400</v>
      </c>
      <c r="AC17" s="9">
        <v>4.8499999999999996</v>
      </c>
      <c r="AD17" s="40">
        <f t="shared" si="0"/>
        <v>4.9999999999999822E-2</v>
      </c>
      <c r="AE17" s="162">
        <f t="shared" si="1"/>
        <v>0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42593</v>
      </c>
      <c r="X18" s="9">
        <v>4.91</v>
      </c>
      <c r="Y18" s="9">
        <v>4.9400000000000004</v>
      </c>
      <c r="Z18" s="9">
        <v>4.8099999999999996</v>
      </c>
      <c r="AA18" s="9">
        <v>4.8499999999999996</v>
      </c>
      <c r="AB18" s="104">
        <v>15006800</v>
      </c>
      <c r="AC18" s="9">
        <v>4.8499999999999996</v>
      </c>
      <c r="AD18" s="40">
        <f t="shared" si="0"/>
        <v>0.13000000000000078</v>
      </c>
      <c r="AE18" s="162">
        <f t="shared" si="1"/>
        <v>-6.147540983606592E-3</v>
      </c>
    </row>
    <row r="19" spans="1:31" x14ac:dyDescent="0.25">
      <c r="W19" s="110">
        <v>42592</v>
      </c>
      <c r="X19" s="9">
        <v>4.96</v>
      </c>
      <c r="Y19" s="9">
        <v>4.97</v>
      </c>
      <c r="Z19" s="9">
        <v>4.8600000000000003</v>
      </c>
      <c r="AA19" s="9">
        <v>4.88</v>
      </c>
      <c r="AB19" s="104">
        <v>17018900</v>
      </c>
      <c r="AC19" s="9">
        <v>4.88</v>
      </c>
      <c r="AD19" s="40">
        <f t="shared" si="0"/>
        <v>0.10999999999999943</v>
      </c>
      <c r="AE19" s="162">
        <f t="shared" si="1"/>
        <v>-1.4141414141414232E-2</v>
      </c>
    </row>
    <row r="20" spans="1:31" x14ac:dyDescent="0.25">
      <c r="W20" s="110">
        <v>42591</v>
      </c>
      <c r="X20" s="9">
        <v>4.95</v>
      </c>
      <c r="Y20" s="9">
        <v>4.9800000000000004</v>
      </c>
      <c r="Z20" s="9">
        <v>4.88</v>
      </c>
      <c r="AA20" s="9">
        <v>4.95</v>
      </c>
      <c r="AB20" s="104">
        <v>16059800</v>
      </c>
      <c r="AC20" s="9">
        <v>4.95</v>
      </c>
      <c r="AD20" s="40">
        <f t="shared" si="0"/>
        <v>0.10000000000000053</v>
      </c>
      <c r="AE20" s="162">
        <f t="shared" si="1"/>
        <v>4.0567951318459805E-3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5" t="s">
        <v>65</v>
      </c>
      <c r="G21" s="229" t="s">
        <v>155</v>
      </c>
      <c r="H21" s="195" t="s">
        <v>88</v>
      </c>
      <c r="I21" s="229" t="s">
        <v>161</v>
      </c>
      <c r="W21" s="110">
        <v>42590</v>
      </c>
      <c r="X21" s="9">
        <v>4.88</v>
      </c>
      <c r="Y21" s="9">
        <v>4.95</v>
      </c>
      <c r="Z21" s="9">
        <v>4.87</v>
      </c>
      <c r="AA21" s="9">
        <v>4.93</v>
      </c>
      <c r="AB21" s="104">
        <v>14709700</v>
      </c>
      <c r="AC21" s="9">
        <v>4.93</v>
      </c>
      <c r="AD21" s="40">
        <f t="shared" si="0"/>
        <v>8.0000000000000071E-2</v>
      </c>
      <c r="AE21" s="162">
        <f t="shared" si="1"/>
        <v>1.4403292181069727E-2</v>
      </c>
    </row>
    <row r="22" spans="1:31" x14ac:dyDescent="0.25">
      <c r="B22" s="193">
        <v>42353</v>
      </c>
      <c r="C22" s="10">
        <v>250</v>
      </c>
      <c r="D22" s="202">
        <v>4.45</v>
      </c>
      <c r="E22" s="40">
        <v>4.45</v>
      </c>
      <c r="F22" s="40">
        <f>C22*(E22-D22)</f>
        <v>0</v>
      </c>
      <c r="G22" s="40">
        <f>D22*C22</f>
        <v>1112.5</v>
      </c>
      <c r="H22" s="232">
        <f>(E22-D22)/D22</f>
        <v>0</v>
      </c>
      <c r="I22" s="40"/>
      <c r="W22" s="110">
        <v>42587</v>
      </c>
      <c r="X22" s="9">
        <v>4.96</v>
      </c>
      <c r="Y22" s="9">
        <v>4.9800000000000004</v>
      </c>
      <c r="Z22" s="9">
        <v>4.8499999999999996</v>
      </c>
      <c r="AA22" s="9">
        <v>4.8600000000000003</v>
      </c>
      <c r="AB22" s="104">
        <v>22395000</v>
      </c>
      <c r="AC22" s="9">
        <v>4.8600000000000003</v>
      </c>
      <c r="AD22" s="40">
        <f t="shared" si="0"/>
        <v>0.13000000000000078</v>
      </c>
      <c r="AE22" s="162">
        <f t="shared" si="1"/>
        <v>-1.4198782961460377E-2</v>
      </c>
    </row>
    <row r="23" spans="1:31" x14ac:dyDescent="0.25">
      <c r="B23" s="193">
        <v>42356</v>
      </c>
      <c r="C23" s="10">
        <v>250</v>
      </c>
      <c r="D23" s="202">
        <v>4.45</v>
      </c>
      <c r="E23" s="40">
        <v>4.79</v>
      </c>
      <c r="F23" s="40">
        <f>C23*(E23-D23)</f>
        <v>84.999999999999972</v>
      </c>
      <c r="G23" s="40">
        <f>D23*C23</f>
        <v>1112.5</v>
      </c>
      <c r="H23" s="232">
        <f>(E23-D23)/D23</f>
        <v>7.6404494382022431E-2</v>
      </c>
      <c r="I23" s="40"/>
      <c r="W23" s="110">
        <v>42586</v>
      </c>
      <c r="X23" s="9">
        <v>4.88</v>
      </c>
      <c r="Y23" s="9">
        <v>4.96</v>
      </c>
      <c r="Z23" s="9">
        <v>4.7699999999999996</v>
      </c>
      <c r="AA23" s="9">
        <v>4.93</v>
      </c>
      <c r="AB23" s="104">
        <v>27512400</v>
      </c>
      <c r="AC23" s="9">
        <v>4.93</v>
      </c>
      <c r="AD23" s="40">
        <f t="shared" si="0"/>
        <v>0.19000000000000039</v>
      </c>
      <c r="AE23" s="162">
        <f t="shared" si="1"/>
        <v>2.2821576763485396E-2</v>
      </c>
    </row>
    <row r="24" spans="1:31" x14ac:dyDescent="0.25">
      <c r="B24" s="193">
        <v>42382</v>
      </c>
      <c r="C24" s="10">
        <v>500</v>
      </c>
      <c r="D24" s="202">
        <v>4.3499999999999996</v>
      </c>
      <c r="E24" s="40">
        <v>4.17</v>
      </c>
      <c r="F24" s="40">
        <f t="shared" ref="F24:F32" si="2">C24*(E24-D24)</f>
        <v>-89.999999999999858</v>
      </c>
      <c r="G24" s="40">
        <f t="shared" ref="G24:G32" si="3">D24*C24</f>
        <v>2175</v>
      </c>
      <c r="H24" s="232">
        <f t="shared" ref="H24:H32" si="4">(E24-D24)/D24</f>
        <v>-4.1379310344827523E-2</v>
      </c>
      <c r="I24" s="40"/>
      <c r="W24" s="110">
        <v>42585</v>
      </c>
      <c r="X24" s="9">
        <v>4.8499999999999996</v>
      </c>
      <c r="Y24" s="9">
        <v>4.87</v>
      </c>
      <c r="Z24" s="9">
        <v>4.76</v>
      </c>
      <c r="AA24" s="9">
        <v>4.82</v>
      </c>
      <c r="AB24" s="104">
        <v>27920700</v>
      </c>
      <c r="AC24" s="9">
        <v>4.82</v>
      </c>
      <c r="AD24" s="40">
        <f t="shared" si="0"/>
        <v>0.11000000000000032</v>
      </c>
      <c r="AE24" s="162">
        <f t="shared" si="1"/>
        <v>-6.1855670103091454E-3</v>
      </c>
    </row>
    <row r="25" spans="1:31" x14ac:dyDescent="0.25">
      <c r="B25" s="193">
        <v>42398</v>
      </c>
      <c r="C25" s="10">
        <v>250</v>
      </c>
      <c r="D25" s="202">
        <v>4.18</v>
      </c>
      <c r="E25" s="40">
        <v>4.5199999999999996</v>
      </c>
      <c r="F25" s="40">
        <f t="shared" si="2"/>
        <v>84.999999999999972</v>
      </c>
      <c r="G25" s="40">
        <f t="shared" si="3"/>
        <v>1045</v>
      </c>
      <c r="H25" s="232">
        <f t="shared" si="4"/>
        <v>8.1339712918660254E-2</v>
      </c>
      <c r="I25" s="40"/>
      <c r="W25" s="110">
        <v>42584</v>
      </c>
      <c r="X25" s="9">
        <v>4.93</v>
      </c>
      <c r="Y25" s="9">
        <v>4.9400000000000004</v>
      </c>
      <c r="Z25" s="9">
        <v>4.66</v>
      </c>
      <c r="AA25" s="9">
        <v>4.8499999999999996</v>
      </c>
      <c r="AB25" s="104">
        <v>70072300</v>
      </c>
      <c r="AC25" s="9">
        <v>4.8499999999999996</v>
      </c>
      <c r="AD25" s="40">
        <f t="shared" si="0"/>
        <v>0.28000000000000025</v>
      </c>
      <c r="AE25" s="162">
        <f t="shared" si="1"/>
        <v>-4.5275590551181133E-2</v>
      </c>
    </row>
    <row r="26" spans="1:31" x14ac:dyDescent="0.25">
      <c r="B26" s="193">
        <v>42402</v>
      </c>
      <c r="C26" s="10">
        <v>500</v>
      </c>
      <c r="D26" s="202">
        <v>4.2699999999999996</v>
      </c>
      <c r="E26" s="40">
        <v>4.3499999999999996</v>
      </c>
      <c r="F26" s="40">
        <f t="shared" si="2"/>
        <v>40.000000000000036</v>
      </c>
      <c r="G26" s="40">
        <f t="shared" si="3"/>
        <v>2135</v>
      </c>
      <c r="H26" s="232">
        <f t="shared" si="4"/>
        <v>1.8735362997658097E-2</v>
      </c>
      <c r="I26" s="40"/>
      <c r="W26" s="110">
        <v>42583</v>
      </c>
      <c r="X26" s="9">
        <v>5.2</v>
      </c>
      <c r="Y26" s="9">
        <v>5.22</v>
      </c>
      <c r="Z26" s="9">
        <v>5.0599999999999996</v>
      </c>
      <c r="AA26" s="9">
        <v>5.08</v>
      </c>
      <c r="AB26" s="104">
        <v>22528900</v>
      </c>
      <c r="AC26" s="9">
        <v>5.08</v>
      </c>
      <c r="AD26" s="40">
        <f t="shared" si="0"/>
        <v>0.16000000000000014</v>
      </c>
      <c r="AE26" s="162">
        <f t="shared" si="1"/>
        <v>-2.3076923076923106E-2</v>
      </c>
    </row>
    <row r="27" spans="1:31" x14ac:dyDescent="0.25">
      <c r="B27" s="193">
        <v>42403</v>
      </c>
      <c r="C27" s="10">
        <v>500</v>
      </c>
      <c r="D27" s="202">
        <v>4.2699999999999996</v>
      </c>
      <c r="E27" s="40">
        <v>4.5999999999999996</v>
      </c>
      <c r="F27" s="40">
        <f t="shared" si="2"/>
        <v>165.00000000000003</v>
      </c>
      <c r="G27" s="40">
        <f t="shared" si="3"/>
        <v>2135</v>
      </c>
      <c r="H27" s="232">
        <f t="shared" si="4"/>
        <v>7.7283372365339609E-2</v>
      </c>
      <c r="I27" s="40"/>
      <c r="W27" s="110">
        <v>42580</v>
      </c>
      <c r="X27" s="9">
        <v>5.0999999999999996</v>
      </c>
      <c r="Y27" s="9">
        <v>5.2</v>
      </c>
      <c r="Z27" s="9">
        <v>5.0999999999999996</v>
      </c>
      <c r="AA27" s="9">
        <v>5.2</v>
      </c>
      <c r="AB27" s="104">
        <v>14295600</v>
      </c>
      <c r="AC27" s="9">
        <v>5.2</v>
      </c>
      <c r="AD27" s="40">
        <f t="shared" si="0"/>
        <v>0.10000000000000053</v>
      </c>
      <c r="AE27" s="162">
        <f t="shared" si="1"/>
        <v>2.16110019646365E-2</v>
      </c>
    </row>
    <row r="28" spans="1:31" x14ac:dyDescent="0.25">
      <c r="B28" s="193">
        <v>42418</v>
      </c>
      <c r="C28" s="10">
        <v>250</v>
      </c>
      <c r="D28" s="202">
        <v>4.09</v>
      </c>
      <c r="E28" s="40">
        <v>4.25</v>
      </c>
      <c r="F28" s="40">
        <f t="shared" si="2"/>
        <v>40.000000000000036</v>
      </c>
      <c r="G28" s="40">
        <f t="shared" si="3"/>
        <v>1022.5</v>
      </c>
      <c r="H28" s="232">
        <f t="shared" si="4"/>
        <v>3.911980440097803E-2</v>
      </c>
      <c r="I28" s="40"/>
      <c r="W28" s="110">
        <v>42579</v>
      </c>
      <c r="X28" s="9">
        <v>5.09</v>
      </c>
      <c r="Y28" s="9">
        <v>5.14</v>
      </c>
      <c r="Z28" s="9">
        <v>5.08</v>
      </c>
      <c r="AA28" s="9">
        <v>5.09</v>
      </c>
      <c r="AB28" s="104">
        <v>9470900</v>
      </c>
      <c r="AC28" s="9">
        <v>5.09</v>
      </c>
      <c r="AD28" s="40">
        <f t="shared" si="0"/>
        <v>5.9999999999999609E-2</v>
      </c>
      <c r="AE28" s="162">
        <f t="shared" si="1"/>
        <v>0</v>
      </c>
    </row>
    <row r="29" spans="1:31" x14ac:dyDescent="0.25">
      <c r="B29" s="193">
        <v>42421</v>
      </c>
      <c r="C29" s="10">
        <v>250</v>
      </c>
      <c r="D29" s="202">
        <v>4.09</v>
      </c>
      <c r="E29" s="40">
        <v>4.4400000000000004</v>
      </c>
      <c r="F29" s="40">
        <f t="shared" si="2"/>
        <v>87.500000000000128</v>
      </c>
      <c r="G29" s="40">
        <f t="shared" si="3"/>
        <v>1022.5</v>
      </c>
      <c r="H29" s="232">
        <f t="shared" si="4"/>
        <v>8.5574572127139495E-2</v>
      </c>
      <c r="I29" s="40"/>
      <c r="W29" s="110">
        <v>42578</v>
      </c>
      <c r="X29" s="9">
        <v>5.15</v>
      </c>
      <c r="Y29" s="9">
        <v>5.17</v>
      </c>
      <c r="Z29" s="9">
        <v>5.07</v>
      </c>
      <c r="AA29" s="9">
        <v>5.09</v>
      </c>
      <c r="AB29" s="104">
        <v>13254600</v>
      </c>
      <c r="AC29" s="9">
        <v>5.09</v>
      </c>
      <c r="AD29" s="40">
        <f t="shared" si="0"/>
        <v>9.9999999999999645E-2</v>
      </c>
      <c r="AE29" s="162">
        <f t="shared" si="1"/>
        <v>-1.1650485436893288E-2</v>
      </c>
    </row>
    <row r="30" spans="1:31" x14ac:dyDescent="0.25">
      <c r="B30" s="193">
        <v>42424</v>
      </c>
      <c r="C30" s="10">
        <v>250</v>
      </c>
      <c r="D30" s="202">
        <v>4.09</v>
      </c>
      <c r="E30" s="40">
        <v>5.3</v>
      </c>
      <c r="F30" s="40">
        <f t="shared" si="2"/>
        <v>302.5</v>
      </c>
      <c r="G30" s="40">
        <f t="shared" si="3"/>
        <v>1022.5</v>
      </c>
      <c r="H30" s="232">
        <f t="shared" si="4"/>
        <v>0.29584352078239606</v>
      </c>
      <c r="I30" s="40"/>
      <c r="W30" s="110">
        <v>42577</v>
      </c>
      <c r="X30" s="9">
        <v>5.15</v>
      </c>
      <c r="Y30" s="9">
        <v>5.19</v>
      </c>
      <c r="Z30" s="9">
        <v>5.1100000000000003</v>
      </c>
      <c r="AA30" s="9">
        <v>5.15</v>
      </c>
      <c r="AB30" s="104">
        <v>7036000</v>
      </c>
      <c r="AC30" s="9">
        <v>5.15</v>
      </c>
      <c r="AD30" s="40">
        <f t="shared" si="0"/>
        <v>8.0000000000000071E-2</v>
      </c>
      <c r="AE30" s="162">
        <f t="shared" si="1"/>
        <v>3.8986354775829568E-3</v>
      </c>
    </row>
    <row r="31" spans="1:31" x14ac:dyDescent="0.25">
      <c r="B31" s="193">
        <v>42430</v>
      </c>
      <c r="C31" s="10">
        <v>250</v>
      </c>
      <c r="D31" s="202">
        <v>4.09</v>
      </c>
      <c r="E31" s="40">
        <v>5.47</v>
      </c>
      <c r="F31" s="236">
        <f t="shared" si="2"/>
        <v>345</v>
      </c>
      <c r="G31" s="40">
        <f t="shared" si="3"/>
        <v>1022.5</v>
      </c>
      <c r="H31" s="232">
        <f t="shared" si="4"/>
        <v>0.33740831295843521</v>
      </c>
      <c r="I31" s="40"/>
      <c r="W31" s="110">
        <v>42576</v>
      </c>
      <c r="X31" s="9">
        <v>5.17</v>
      </c>
      <c r="Y31" s="9">
        <v>5.2</v>
      </c>
      <c r="Z31" s="9">
        <v>5.13</v>
      </c>
      <c r="AA31" s="9">
        <v>5.13</v>
      </c>
      <c r="AB31" s="104">
        <v>10026600</v>
      </c>
      <c r="AC31" s="9">
        <v>5.13</v>
      </c>
      <c r="AD31" s="40">
        <f t="shared" si="0"/>
        <v>7.0000000000000284E-2</v>
      </c>
      <c r="AE31" s="162">
        <f t="shared" si="1"/>
        <v>-7.7369439071567347E-3</v>
      </c>
    </row>
    <row r="32" spans="1:31" x14ac:dyDescent="0.25">
      <c r="B32" s="193">
        <v>42431</v>
      </c>
      <c r="C32" s="10">
        <v>250</v>
      </c>
      <c r="D32" s="202">
        <v>4.09</v>
      </c>
      <c r="E32" s="40">
        <v>5.63</v>
      </c>
      <c r="F32" s="236">
        <f t="shared" si="2"/>
        <v>385</v>
      </c>
      <c r="G32" s="40">
        <f t="shared" si="3"/>
        <v>1022.5</v>
      </c>
      <c r="H32" s="232">
        <f t="shared" si="4"/>
        <v>0.37652811735941322</v>
      </c>
      <c r="I32" s="40"/>
      <c r="W32" s="110">
        <v>42573</v>
      </c>
      <c r="X32" s="9">
        <v>5.1100000000000003</v>
      </c>
      <c r="Y32" s="9">
        <v>5.2</v>
      </c>
      <c r="Z32" s="9">
        <v>5.08</v>
      </c>
      <c r="AA32" s="9">
        <v>5.17</v>
      </c>
      <c r="AB32" s="104">
        <v>12124200</v>
      </c>
      <c r="AC32" s="9">
        <v>5.17</v>
      </c>
      <c r="AD32" s="40">
        <f t="shared" si="0"/>
        <v>0.12000000000000011</v>
      </c>
      <c r="AE32" s="162">
        <f t="shared" si="1"/>
        <v>1.3725490196078383E-2</v>
      </c>
    </row>
    <row r="33" spans="1:31" x14ac:dyDescent="0.25">
      <c r="B33" s="193">
        <v>42436</v>
      </c>
      <c r="C33" s="10">
        <v>0</v>
      </c>
      <c r="D33" s="202"/>
      <c r="E33" s="40">
        <v>5.79</v>
      </c>
      <c r="F33" s="236">
        <v>434.93</v>
      </c>
      <c r="G33" s="40"/>
      <c r="H33" s="232"/>
      <c r="I33" s="40"/>
      <c r="W33" s="110">
        <v>42572</v>
      </c>
      <c r="X33" s="9">
        <v>5.05</v>
      </c>
      <c r="Y33" s="9">
        <v>5.15</v>
      </c>
      <c r="Z33" s="9">
        <v>5.04</v>
      </c>
      <c r="AA33" s="9">
        <v>5.0999999999999996</v>
      </c>
      <c r="AB33" s="104">
        <v>15305500</v>
      </c>
      <c r="AC33" s="9">
        <v>5.0999999999999996</v>
      </c>
      <c r="AD33" s="40">
        <f t="shared" si="0"/>
        <v>0.11000000000000032</v>
      </c>
      <c r="AE33" s="162">
        <f t="shared" si="1"/>
        <v>1.1904761904761862E-2</v>
      </c>
    </row>
    <row r="34" spans="1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42571</v>
      </c>
      <c r="X34" s="9">
        <v>5.05</v>
      </c>
      <c r="Y34" s="9">
        <v>5.0599999999999996</v>
      </c>
      <c r="Z34" s="9">
        <v>4.9800000000000004</v>
      </c>
      <c r="AA34" s="9">
        <v>5.04</v>
      </c>
      <c r="AB34" s="104">
        <v>10299200</v>
      </c>
      <c r="AC34" s="9">
        <v>5.04</v>
      </c>
      <c r="AD34" s="40">
        <f t="shared" si="0"/>
        <v>7.9999999999999183E-2</v>
      </c>
      <c r="AE34" s="162">
        <f t="shared" si="1"/>
        <v>3.9840637450199168E-3</v>
      </c>
    </row>
    <row r="35" spans="1:31" x14ac:dyDescent="0.25">
      <c r="B35" s="193"/>
      <c r="C35" s="10"/>
      <c r="D35" s="202"/>
      <c r="E35" s="40"/>
      <c r="F35" s="236"/>
      <c r="G35" s="40"/>
      <c r="H35" s="232"/>
      <c r="I35" s="40"/>
      <c r="W35" s="110">
        <v>42570</v>
      </c>
      <c r="X35" s="9">
        <v>5.17</v>
      </c>
      <c r="Y35" s="9">
        <v>5.18</v>
      </c>
      <c r="Z35" s="9">
        <v>5.0199999999999996</v>
      </c>
      <c r="AA35" s="9">
        <v>5.0199999999999996</v>
      </c>
      <c r="AB35" s="104">
        <v>16074400</v>
      </c>
      <c r="AC35" s="9">
        <v>5.0199999999999996</v>
      </c>
      <c r="AD35" s="40">
        <f t="shared" si="0"/>
        <v>0.16000000000000014</v>
      </c>
      <c r="AE35" s="162">
        <f t="shared" si="1"/>
        <v>-3.4615384615384714E-2</v>
      </c>
    </row>
    <row r="36" spans="1:31" x14ac:dyDescent="0.25">
      <c r="B36" s="193"/>
      <c r="C36" s="10"/>
      <c r="D36" s="202"/>
      <c r="E36" s="40"/>
      <c r="F36" s="236"/>
      <c r="G36" s="40"/>
      <c r="H36" s="232"/>
      <c r="I36" s="40"/>
      <c r="W36" s="110">
        <v>42569</v>
      </c>
      <c r="X36" s="9">
        <v>5.0999999999999996</v>
      </c>
      <c r="Y36" s="9">
        <v>5.21</v>
      </c>
      <c r="Z36" s="9">
        <v>5.01</v>
      </c>
      <c r="AA36" s="9">
        <v>5.2</v>
      </c>
      <c r="AB36" s="104">
        <v>18997000</v>
      </c>
      <c r="AC36" s="9">
        <v>5.2</v>
      </c>
      <c r="AD36" s="40">
        <f t="shared" si="0"/>
        <v>0.20000000000000018</v>
      </c>
      <c r="AE36" s="162">
        <f t="shared" si="1"/>
        <v>5.8027079303675233E-3</v>
      </c>
    </row>
    <row r="37" spans="1:31" x14ac:dyDescent="0.25">
      <c r="B37" s="193"/>
      <c r="C37" s="10"/>
      <c r="D37" s="202"/>
      <c r="E37" s="40"/>
      <c r="F37" s="236"/>
      <c r="G37" s="40"/>
      <c r="H37" s="232"/>
      <c r="I37" s="40"/>
      <c r="W37" s="110">
        <v>42566</v>
      </c>
      <c r="X37" s="9">
        <v>5.13</v>
      </c>
      <c r="Y37" s="9">
        <v>5.17</v>
      </c>
      <c r="Z37" s="9">
        <v>5.1100000000000003</v>
      </c>
      <c r="AA37" s="9">
        <v>5.17</v>
      </c>
      <c r="AB37" s="104">
        <v>11643500</v>
      </c>
      <c r="AC37" s="9">
        <v>5.17</v>
      </c>
      <c r="AD37" s="40">
        <f t="shared" si="0"/>
        <v>5.9999999999999609E-2</v>
      </c>
      <c r="AE37" s="162">
        <f t="shared" si="1"/>
        <v>1.1741682974559575E-2</v>
      </c>
    </row>
    <row r="38" spans="1:31" x14ac:dyDescent="0.25">
      <c r="B38" s="193"/>
      <c r="C38" s="10"/>
      <c r="D38" s="202"/>
      <c r="E38" s="40"/>
      <c r="F38" s="236"/>
      <c r="G38" s="40"/>
      <c r="H38" s="232"/>
      <c r="I38" s="40"/>
      <c r="W38" s="110">
        <v>42565</v>
      </c>
      <c r="X38" s="9">
        <v>5.09</v>
      </c>
      <c r="Y38" s="9">
        <v>5.13</v>
      </c>
      <c r="Z38" s="9">
        <v>5.0599999999999996</v>
      </c>
      <c r="AA38" s="9">
        <v>5.1100000000000003</v>
      </c>
      <c r="AB38" s="104">
        <v>12098800</v>
      </c>
      <c r="AC38" s="9">
        <v>5.1100000000000003</v>
      </c>
      <c r="AD38" s="40">
        <f t="shared" si="0"/>
        <v>7.0000000000000284E-2</v>
      </c>
      <c r="AE38" s="162">
        <f t="shared" si="1"/>
        <v>9.8814229249013508E-3</v>
      </c>
    </row>
    <row r="39" spans="1:31" x14ac:dyDescent="0.25">
      <c r="B39" s="193"/>
      <c r="C39" s="10"/>
      <c r="D39" s="202"/>
      <c r="E39" s="40"/>
      <c r="F39" s="236"/>
      <c r="G39" s="40"/>
      <c r="H39" s="232"/>
      <c r="I39" s="40"/>
      <c r="W39" s="110">
        <v>42564</v>
      </c>
      <c r="X39" s="9">
        <v>5.07</v>
      </c>
      <c r="Y39" s="9">
        <v>5.13</v>
      </c>
      <c r="Z39" s="9">
        <v>5</v>
      </c>
      <c r="AA39" s="9">
        <v>5.0599999999999996</v>
      </c>
      <c r="AB39" s="104">
        <v>11936000</v>
      </c>
      <c r="AC39" s="9">
        <v>5.0599999999999996</v>
      </c>
      <c r="AD39" s="40">
        <f t="shared" si="0"/>
        <v>0.12999999999999989</v>
      </c>
      <c r="AE39" s="162">
        <f t="shared" si="1"/>
        <v>3.9682539682539542E-3</v>
      </c>
    </row>
    <row r="40" spans="1:31" ht="20.25" thickBot="1" x14ac:dyDescent="0.35">
      <c r="B40" s="193"/>
      <c r="C40" s="10"/>
      <c r="D40" s="202"/>
      <c r="E40" s="40"/>
      <c r="F40" s="236"/>
      <c r="G40" s="40"/>
      <c r="H40" s="232"/>
      <c r="I40" s="40"/>
      <c r="O40" s="545" t="s">
        <v>78</v>
      </c>
      <c r="P40" s="545"/>
      <c r="W40" s="110">
        <v>42563</v>
      </c>
      <c r="X40" s="9">
        <v>4.96</v>
      </c>
      <c r="Y40" s="9">
        <v>5.14</v>
      </c>
      <c r="Z40" s="9">
        <v>4.9400000000000004</v>
      </c>
      <c r="AA40" s="9">
        <v>5.04</v>
      </c>
      <c r="AB40" s="104">
        <v>17159800</v>
      </c>
      <c r="AC40" s="9">
        <v>5.04</v>
      </c>
      <c r="AD40" s="40">
        <f t="shared" si="0"/>
        <v>0.19999999999999929</v>
      </c>
      <c r="AE40" s="162">
        <f t="shared" si="1"/>
        <v>2.4390243902439046E-2</v>
      </c>
    </row>
    <row r="41" spans="1:31" ht="15.75" thickTop="1" x14ac:dyDescent="0.25">
      <c r="B41" s="193"/>
      <c r="C41" s="10"/>
      <c r="D41" s="202"/>
      <c r="E41" s="40"/>
      <c r="F41" s="236"/>
      <c r="G41" s="40"/>
      <c r="H41" s="232"/>
      <c r="I41" s="40"/>
      <c r="O41" s="83">
        <v>1.1000000000000001</v>
      </c>
      <c r="P41" s="83">
        <f>O41*$Q$4</f>
        <v>5.1479999999999997</v>
      </c>
      <c r="Q41" s="2"/>
      <c r="W41" s="110">
        <v>42562</v>
      </c>
      <c r="X41" s="9">
        <v>4.97</v>
      </c>
      <c r="Y41" s="9">
        <v>5.0199999999999996</v>
      </c>
      <c r="Z41" s="9">
        <v>4.9000000000000004</v>
      </c>
      <c r="AA41" s="9">
        <v>4.92</v>
      </c>
      <c r="AB41" s="104">
        <v>14997900</v>
      </c>
      <c r="AC41" s="9">
        <v>4.92</v>
      </c>
      <c r="AD41" s="40">
        <f t="shared" si="0"/>
        <v>0.11999999999999922</v>
      </c>
      <c r="AE41" s="162">
        <f t="shared" si="1"/>
        <v>-1.0060362173038184E-2</v>
      </c>
    </row>
    <row r="42" spans="1:31" ht="20.25" thickBot="1" x14ac:dyDescent="0.35">
      <c r="O42" s="83">
        <v>1.0900000000000001</v>
      </c>
      <c r="P42" s="83">
        <f t="shared" ref="P42:P61" si="5">O42*$Q$4</f>
        <v>5.1012000000000004</v>
      </c>
      <c r="Q42" s="2"/>
      <c r="T42" s="91" t="s">
        <v>113</v>
      </c>
      <c r="W42" s="110">
        <v>42559</v>
      </c>
      <c r="X42" s="9">
        <v>4.95</v>
      </c>
      <c r="Y42" s="9">
        <v>5.04</v>
      </c>
      <c r="Z42" s="9">
        <v>4.91</v>
      </c>
      <c r="AA42" s="9">
        <v>4.97</v>
      </c>
      <c r="AB42" s="104">
        <v>13103600</v>
      </c>
      <c r="AC42" s="9">
        <v>4.97</v>
      </c>
      <c r="AD42" s="40">
        <f t="shared" si="0"/>
        <v>0.12999999999999989</v>
      </c>
      <c r="AE42" s="162">
        <f t="shared" si="1"/>
        <v>1.2219959266802416E-2</v>
      </c>
    </row>
    <row r="43" spans="1:31" ht="15.75" thickTop="1" x14ac:dyDescent="0.25">
      <c r="L43" t="s">
        <v>223</v>
      </c>
      <c r="M43" s="2">
        <f>K61+M61-F61</f>
        <v>434.93000000000029</v>
      </c>
      <c r="O43" s="83">
        <v>1.08</v>
      </c>
      <c r="P43" s="83">
        <f t="shared" si="5"/>
        <v>5.0544000000000002</v>
      </c>
      <c r="Q43" s="2"/>
      <c r="T43" s="128" t="s">
        <v>98</v>
      </c>
      <c r="U43" s="98">
        <v>4.54</v>
      </c>
      <c r="W43" s="110">
        <v>42558</v>
      </c>
      <c r="X43" s="9">
        <v>4.8899999999999997</v>
      </c>
      <c r="Y43" s="9">
        <v>4.9400000000000004</v>
      </c>
      <c r="Z43" s="9">
        <v>4.8499999999999996</v>
      </c>
      <c r="AA43" s="9">
        <v>4.91</v>
      </c>
      <c r="AB43" s="104">
        <v>9954000</v>
      </c>
      <c r="AC43" s="9">
        <v>4.91</v>
      </c>
      <c r="AD43" s="40">
        <f t="shared" si="0"/>
        <v>9.0000000000000746E-2</v>
      </c>
      <c r="AE43" s="162">
        <f t="shared" si="1"/>
        <v>6.147540983606703E-3</v>
      </c>
    </row>
    <row r="44" spans="1:31" x14ac:dyDescent="0.25">
      <c r="A44" s="390" t="s">
        <v>1</v>
      </c>
      <c r="B44" s="390" t="s">
        <v>2</v>
      </c>
      <c r="C44" s="390" t="s">
        <v>4</v>
      </c>
      <c r="D44" s="392" t="s">
        <v>5</v>
      </c>
      <c r="E44" s="392" t="s">
        <v>94</v>
      </c>
      <c r="F44" s="392" t="s">
        <v>60</v>
      </c>
      <c r="G44" s="390" t="s">
        <v>3</v>
      </c>
      <c r="H44" s="390" t="s">
        <v>6</v>
      </c>
      <c r="I44" s="392" t="s">
        <v>7</v>
      </c>
      <c r="J44" s="392" t="s">
        <v>95</v>
      </c>
      <c r="K44" s="392" t="s">
        <v>61</v>
      </c>
      <c r="L44" s="390" t="s">
        <v>37</v>
      </c>
      <c r="M44" s="390" t="s">
        <v>38</v>
      </c>
      <c r="O44" s="83">
        <v>1.07</v>
      </c>
      <c r="P44" s="83">
        <f t="shared" si="5"/>
        <v>5.0076000000000001</v>
      </c>
      <c r="Q44" s="2"/>
      <c r="T44" s="93" t="s">
        <v>99</v>
      </c>
      <c r="U44" s="88">
        <v>4.57</v>
      </c>
      <c r="W44" s="110">
        <v>42557</v>
      </c>
      <c r="X44" s="9">
        <v>4.9400000000000004</v>
      </c>
      <c r="Y44" s="9">
        <v>4.96</v>
      </c>
      <c r="Z44" s="9">
        <v>4.78</v>
      </c>
      <c r="AA44" s="9">
        <v>4.88</v>
      </c>
      <c r="AB44" s="104">
        <v>23933100</v>
      </c>
      <c r="AC44" s="9">
        <v>4.88</v>
      </c>
      <c r="AD44" s="40">
        <f t="shared" si="0"/>
        <v>0.17999999999999972</v>
      </c>
      <c r="AE44" s="162">
        <f t="shared" si="1"/>
        <v>-2.0080321285140701E-2</v>
      </c>
    </row>
    <row r="45" spans="1:31" x14ac:dyDescent="0.25">
      <c r="A45" s="393" t="s">
        <v>9</v>
      </c>
      <c r="B45" s="383">
        <v>42356</v>
      </c>
      <c r="C45" s="384">
        <v>250</v>
      </c>
      <c r="D45" s="385">
        <v>4.45</v>
      </c>
      <c r="E45" s="385">
        <v>0</v>
      </c>
      <c r="F45" s="385">
        <f>C45*D45+E45</f>
        <v>1112.5</v>
      </c>
      <c r="G45" s="383">
        <v>42398</v>
      </c>
      <c r="H45" s="388">
        <v>250</v>
      </c>
      <c r="I45" s="385">
        <v>4.5199999999999996</v>
      </c>
      <c r="J45" s="385">
        <v>0.02</v>
      </c>
      <c r="K45" s="385">
        <f>H45*I45-J45</f>
        <v>1129.98</v>
      </c>
      <c r="L45" s="384"/>
      <c r="M45" s="384"/>
      <c r="O45" s="83">
        <v>1.06</v>
      </c>
      <c r="P45" s="83">
        <f t="shared" si="5"/>
        <v>4.9607999999999999</v>
      </c>
      <c r="Q45" s="2"/>
      <c r="T45" s="93" t="s">
        <v>100</v>
      </c>
      <c r="U45" s="88" t="s">
        <v>453</v>
      </c>
      <c r="W45" s="110">
        <v>42556</v>
      </c>
      <c r="X45" s="9">
        <v>4.9400000000000004</v>
      </c>
      <c r="Y45" s="9">
        <v>5</v>
      </c>
      <c r="Z45" s="9">
        <v>4.8600000000000003</v>
      </c>
      <c r="AA45" s="9">
        <v>4.9800000000000004</v>
      </c>
      <c r="AB45" s="104">
        <v>12801900</v>
      </c>
      <c r="AC45" s="9">
        <v>4.9800000000000004</v>
      </c>
      <c r="AD45" s="40">
        <f t="shared" si="0"/>
        <v>0.13999999999999968</v>
      </c>
      <c r="AE45" s="162">
        <f t="shared" si="1"/>
        <v>4.0322580645162365E-3</v>
      </c>
    </row>
    <row r="46" spans="1:31" x14ac:dyDescent="0.25">
      <c r="A46" s="394"/>
      <c r="B46" s="383">
        <v>42382</v>
      </c>
      <c r="C46" s="384">
        <v>250</v>
      </c>
      <c r="D46" s="385">
        <v>4.25</v>
      </c>
      <c r="E46" s="385">
        <v>0</v>
      </c>
      <c r="F46" s="385">
        <f>C46*D46+E46</f>
        <v>1062.5</v>
      </c>
      <c r="G46" s="383">
        <v>42418</v>
      </c>
      <c r="H46" s="388">
        <v>250</v>
      </c>
      <c r="I46" s="385">
        <v>4.45</v>
      </c>
      <c r="J46" s="385">
        <v>0.02</v>
      </c>
      <c r="K46" s="385">
        <f>H46*I46-J46</f>
        <v>1112.48</v>
      </c>
      <c r="L46" s="384"/>
      <c r="M46" s="384"/>
      <c r="O46" s="83">
        <v>1.05</v>
      </c>
      <c r="P46" s="83">
        <f t="shared" si="5"/>
        <v>4.9139999999999997</v>
      </c>
      <c r="Q46" s="2"/>
      <c r="T46" s="93" t="s">
        <v>101</v>
      </c>
      <c r="U46" s="88" t="s">
        <v>454</v>
      </c>
      <c r="W46" s="110">
        <v>42552</v>
      </c>
      <c r="X46" s="9">
        <v>4.9400000000000004</v>
      </c>
      <c r="Y46" s="9">
        <v>4.96</v>
      </c>
      <c r="Z46" s="9">
        <v>4.8899999999999997</v>
      </c>
      <c r="AA46" s="9">
        <v>4.96</v>
      </c>
      <c r="AB46" s="104">
        <v>8855100</v>
      </c>
      <c r="AC46" s="9">
        <v>4.96</v>
      </c>
      <c r="AD46" s="40">
        <f t="shared" si="0"/>
        <v>7.0000000000000284E-2</v>
      </c>
      <c r="AE46" s="162">
        <f t="shared" si="1"/>
        <v>4.0485829959513442E-3</v>
      </c>
    </row>
    <row r="47" spans="1:31" x14ac:dyDescent="0.25">
      <c r="A47" s="384"/>
      <c r="B47" s="383">
        <v>42402</v>
      </c>
      <c r="C47" s="384">
        <v>250</v>
      </c>
      <c r="D47" s="385">
        <v>4.3600000000000003</v>
      </c>
      <c r="E47" s="385">
        <v>0</v>
      </c>
      <c r="F47" s="385">
        <f>C47*D47+E47</f>
        <v>1090</v>
      </c>
      <c r="G47" s="383">
        <v>42436</v>
      </c>
      <c r="H47" s="388">
        <v>250</v>
      </c>
      <c r="I47" s="385">
        <v>5.83</v>
      </c>
      <c r="J47" s="385">
        <v>0.03</v>
      </c>
      <c r="K47" s="385">
        <f>H47*I47-J47</f>
        <v>1457.47</v>
      </c>
      <c r="L47" s="384"/>
      <c r="M47" s="384"/>
      <c r="O47" s="83">
        <v>1.04</v>
      </c>
      <c r="P47" s="83">
        <f t="shared" si="5"/>
        <v>4.8671999999999995</v>
      </c>
      <c r="Q47" s="2"/>
      <c r="T47" s="93" t="s">
        <v>102</v>
      </c>
      <c r="U47" s="88">
        <v>5.85</v>
      </c>
      <c r="W47" s="110">
        <v>42551</v>
      </c>
      <c r="X47" s="9">
        <v>4.9400000000000004</v>
      </c>
      <c r="Y47" s="9">
        <v>4.9400000000000004</v>
      </c>
      <c r="Z47" s="9">
        <v>4.8</v>
      </c>
      <c r="AA47" s="9">
        <v>4.9400000000000004</v>
      </c>
      <c r="AB47" s="104">
        <v>14303400</v>
      </c>
      <c r="AC47" s="9">
        <v>4.9400000000000004</v>
      </c>
      <c r="AD47" s="40">
        <f t="shared" si="0"/>
        <v>0.14000000000000057</v>
      </c>
      <c r="AE47" s="162">
        <f t="shared" si="1"/>
        <v>1.8556701030927991E-2</v>
      </c>
    </row>
    <row r="48" spans="1:31" x14ac:dyDescent="0.25">
      <c r="A48" s="384"/>
      <c r="B48" s="383"/>
      <c r="C48" s="384"/>
      <c r="D48" s="385"/>
      <c r="E48" s="385"/>
      <c r="F48" s="385"/>
      <c r="G48" s="384"/>
      <c r="H48" s="388"/>
      <c r="I48" s="385"/>
      <c r="J48" s="385"/>
      <c r="K48" s="385"/>
      <c r="L48" s="384"/>
      <c r="M48" s="384"/>
      <c r="O48" s="83">
        <v>1.03</v>
      </c>
      <c r="P48" s="83">
        <f t="shared" si="5"/>
        <v>4.8204000000000002</v>
      </c>
      <c r="Q48" s="2"/>
      <c r="T48" s="93" t="s">
        <v>103</v>
      </c>
      <c r="U48" s="88">
        <v>0.69908700000000001</v>
      </c>
      <c r="W48" s="110">
        <v>42550</v>
      </c>
      <c r="X48" s="9">
        <v>4.8899999999999997</v>
      </c>
      <c r="Y48" s="9">
        <v>4.8899999999999997</v>
      </c>
      <c r="Z48" s="9">
        <v>4.78</v>
      </c>
      <c r="AA48" s="9">
        <v>4.8499999999999996</v>
      </c>
      <c r="AB48" s="104">
        <v>17053000</v>
      </c>
      <c r="AC48" s="9">
        <v>4.8499999999999996</v>
      </c>
      <c r="AD48" s="40">
        <f t="shared" si="0"/>
        <v>0.10999999999999943</v>
      </c>
      <c r="AE48" s="162">
        <f t="shared" si="1"/>
        <v>2.3206751054852148E-2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8"/>
      <c r="I49" s="385"/>
      <c r="J49" s="385"/>
      <c r="K49" s="385"/>
      <c r="L49" s="384"/>
      <c r="M49" s="384"/>
      <c r="O49" s="83">
        <v>1.02</v>
      </c>
      <c r="P49" s="83">
        <f t="shared" si="5"/>
        <v>4.7736000000000001</v>
      </c>
      <c r="Q49" s="2"/>
      <c r="T49" s="93" t="s">
        <v>123</v>
      </c>
      <c r="U49" s="88" t="s">
        <v>324</v>
      </c>
      <c r="W49" s="110">
        <v>42549</v>
      </c>
      <c r="X49" s="9">
        <v>4.7</v>
      </c>
      <c r="Y49" s="9">
        <v>4.76</v>
      </c>
      <c r="Z49" s="9">
        <v>4.67</v>
      </c>
      <c r="AA49" s="9">
        <v>4.74</v>
      </c>
      <c r="AB49" s="104">
        <v>16223000</v>
      </c>
      <c r="AC49" s="9">
        <v>4.74</v>
      </c>
      <c r="AD49" s="40">
        <f t="shared" si="0"/>
        <v>8.9999999999999858E-2</v>
      </c>
      <c r="AE49" s="162">
        <f t="shared" si="1"/>
        <v>3.0434782608695699E-2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8"/>
      <c r="I50" s="385"/>
      <c r="J50" s="385"/>
      <c r="K50" s="385"/>
      <c r="L50" s="384"/>
      <c r="M50" s="384"/>
      <c r="O50" s="83">
        <v>1.01</v>
      </c>
      <c r="P50" s="83">
        <f t="shared" si="5"/>
        <v>4.7267999999999999</v>
      </c>
      <c r="Q50" s="2"/>
      <c r="T50" s="93"/>
      <c r="U50" s="88"/>
      <c r="W50" s="110">
        <v>42548</v>
      </c>
      <c r="X50" s="9">
        <v>4.88</v>
      </c>
      <c r="Y50" s="9">
        <v>4.91</v>
      </c>
      <c r="Z50" s="9">
        <v>4.57</v>
      </c>
      <c r="AA50" s="9">
        <v>4.5999999999999996</v>
      </c>
      <c r="AB50" s="104">
        <v>24747500</v>
      </c>
      <c r="AC50" s="9">
        <v>4.5999999999999996</v>
      </c>
      <c r="AD50" s="40">
        <f t="shared" si="0"/>
        <v>0.33999999999999986</v>
      </c>
      <c r="AE50" s="162">
        <f t="shared" si="1"/>
        <v>-5.5441478439425151E-2</v>
      </c>
    </row>
    <row r="51" spans="1:31" x14ac:dyDescent="0.25">
      <c r="A51" s="384"/>
      <c r="B51" s="384"/>
      <c r="C51" s="384"/>
      <c r="D51" s="385"/>
      <c r="E51" s="385"/>
      <c r="F51" s="385"/>
      <c r="G51" s="384"/>
      <c r="H51" s="388"/>
      <c r="I51" s="385"/>
      <c r="J51" s="385"/>
      <c r="K51" s="385"/>
      <c r="L51" s="384"/>
      <c r="M51" s="384"/>
      <c r="O51" s="83">
        <v>1</v>
      </c>
      <c r="P51" s="83">
        <f t="shared" si="5"/>
        <v>4.68</v>
      </c>
      <c r="Q51" s="2"/>
      <c r="T51" s="93" t="s">
        <v>105</v>
      </c>
      <c r="U51" s="88" t="s">
        <v>455</v>
      </c>
      <c r="W51" s="110">
        <v>42545</v>
      </c>
      <c r="X51" s="9">
        <v>4.92</v>
      </c>
      <c r="Y51" s="9">
        <v>5.05</v>
      </c>
      <c r="Z51" s="9">
        <v>4.83</v>
      </c>
      <c r="AA51" s="9">
        <v>4.87</v>
      </c>
      <c r="AB51" s="104">
        <v>26870900</v>
      </c>
      <c r="AC51" s="9">
        <v>4.87</v>
      </c>
      <c r="AD51" s="40">
        <f t="shared" si="0"/>
        <v>0.21999999999999975</v>
      </c>
      <c r="AE51" s="162">
        <f t="shared" si="1"/>
        <v>-4.5098039215686225E-2</v>
      </c>
    </row>
    <row r="52" spans="1:31" x14ac:dyDescent="0.25">
      <c r="A52" s="384"/>
      <c r="B52" s="384"/>
      <c r="C52" s="384"/>
      <c r="D52" s="385"/>
      <c r="E52" s="385"/>
      <c r="F52" s="385"/>
      <c r="G52" s="384"/>
      <c r="H52" s="388"/>
      <c r="I52" s="385"/>
      <c r="J52" s="385"/>
      <c r="K52" s="385"/>
      <c r="L52" s="384"/>
      <c r="M52" s="384"/>
      <c r="O52" s="83">
        <v>0.99</v>
      </c>
      <c r="P52" s="83">
        <f t="shared" si="5"/>
        <v>4.6331999999999995</v>
      </c>
      <c r="Q52" s="2"/>
      <c r="T52" s="93" t="s">
        <v>106</v>
      </c>
      <c r="U52" s="88" t="s">
        <v>216</v>
      </c>
      <c r="W52" s="110">
        <v>42544</v>
      </c>
      <c r="X52" s="9">
        <v>5.17</v>
      </c>
      <c r="Y52" s="9">
        <v>5.18</v>
      </c>
      <c r="Z52" s="9">
        <v>5.04</v>
      </c>
      <c r="AA52" s="9">
        <v>5.0999999999999996</v>
      </c>
      <c r="AB52" s="104">
        <v>13295600</v>
      </c>
      <c r="AC52" s="9">
        <v>5.0999999999999996</v>
      </c>
      <c r="AD52" s="40">
        <f t="shared" si="0"/>
        <v>0.13999999999999968</v>
      </c>
      <c r="AE52" s="162">
        <f t="shared" si="1"/>
        <v>1.9646365422396617E-3</v>
      </c>
    </row>
    <row r="53" spans="1:31" x14ac:dyDescent="0.25">
      <c r="A53" s="384"/>
      <c r="B53" s="384"/>
      <c r="C53" s="384"/>
      <c r="D53" s="385"/>
      <c r="E53" s="385"/>
      <c r="F53" s="385"/>
      <c r="G53" s="384"/>
      <c r="H53" s="384"/>
      <c r="I53" s="385"/>
      <c r="J53" s="385"/>
      <c r="K53" s="385"/>
      <c r="L53" s="384"/>
      <c r="M53" s="384"/>
      <c r="O53" s="83">
        <v>0.98</v>
      </c>
      <c r="P53" s="83">
        <f t="shared" si="5"/>
        <v>4.5863999999999994</v>
      </c>
      <c r="Q53" s="2"/>
      <c r="T53" s="93" t="s">
        <v>107</v>
      </c>
      <c r="U53" s="90">
        <v>15957365</v>
      </c>
      <c r="W53" s="110">
        <v>42543</v>
      </c>
      <c r="X53" s="9">
        <v>5.19</v>
      </c>
      <c r="Y53" s="9">
        <v>5.22</v>
      </c>
      <c r="Z53" s="9">
        <v>5.07</v>
      </c>
      <c r="AA53" s="9">
        <v>5.09</v>
      </c>
      <c r="AB53" s="104">
        <v>22433700</v>
      </c>
      <c r="AC53" s="9">
        <v>5.09</v>
      </c>
      <c r="AD53" s="40">
        <f t="shared" si="0"/>
        <v>0.14999999999999947</v>
      </c>
      <c r="AE53" s="162">
        <f t="shared" si="1"/>
        <v>-2.303262955854124E-2</v>
      </c>
    </row>
    <row r="54" spans="1:31" x14ac:dyDescent="0.25">
      <c r="A54" s="384"/>
      <c r="B54" s="384"/>
      <c r="C54" s="384"/>
      <c r="D54" s="385"/>
      <c r="E54" s="385"/>
      <c r="F54" s="385"/>
      <c r="G54" s="384"/>
      <c r="H54" s="384"/>
      <c r="I54" s="385"/>
      <c r="J54" s="385"/>
      <c r="K54" s="385"/>
      <c r="L54" s="384"/>
      <c r="M54" s="384"/>
      <c r="O54" s="83">
        <v>0.97</v>
      </c>
      <c r="P54" s="83">
        <f t="shared" si="5"/>
        <v>4.5395999999999992</v>
      </c>
      <c r="T54" s="93" t="s">
        <v>110</v>
      </c>
      <c r="U54" s="90">
        <v>16416000</v>
      </c>
      <c r="W54" s="110">
        <v>42542</v>
      </c>
      <c r="X54" s="9">
        <v>5.17</v>
      </c>
      <c r="Y54" s="9">
        <v>5.21</v>
      </c>
      <c r="Z54" s="9">
        <v>5.09</v>
      </c>
      <c r="AA54" s="9">
        <v>5.21</v>
      </c>
      <c r="AB54" s="104">
        <v>10720000</v>
      </c>
      <c r="AC54" s="9">
        <v>5.21</v>
      </c>
      <c r="AD54" s="40">
        <f t="shared" si="0"/>
        <v>0.12000000000000011</v>
      </c>
      <c r="AE54" s="162">
        <f t="shared" si="1"/>
        <v>7.7369439071566237E-3</v>
      </c>
    </row>
    <row r="55" spans="1:31" x14ac:dyDescent="0.25">
      <c r="A55" s="384"/>
      <c r="B55" s="384"/>
      <c r="C55" s="384"/>
      <c r="D55" s="385"/>
      <c r="E55" s="385"/>
      <c r="F55" s="385"/>
      <c r="G55" s="384"/>
      <c r="H55" s="384"/>
      <c r="I55" s="385"/>
      <c r="J55" s="385"/>
      <c r="K55" s="385"/>
      <c r="L55" s="384"/>
      <c r="M55" s="384"/>
      <c r="O55" s="83">
        <v>0.96</v>
      </c>
      <c r="P55" s="83">
        <f t="shared" si="5"/>
        <v>4.4927999999999999</v>
      </c>
      <c r="T55" s="93" t="s">
        <v>108</v>
      </c>
      <c r="U55" s="88" t="s">
        <v>456</v>
      </c>
      <c r="W55" s="110">
        <v>42541</v>
      </c>
      <c r="X55" s="9">
        <v>5.16</v>
      </c>
      <c r="Y55" s="9">
        <v>5.2</v>
      </c>
      <c r="Z55" s="9">
        <v>5.14</v>
      </c>
      <c r="AA55" s="9">
        <v>5.17</v>
      </c>
      <c r="AB55" s="104">
        <v>14614300</v>
      </c>
      <c r="AC55" s="9">
        <v>5.17</v>
      </c>
      <c r="AD55" s="40">
        <f t="shared" si="0"/>
        <v>6.0000000000000497E-2</v>
      </c>
      <c r="AE55" s="162">
        <f t="shared" si="1"/>
        <v>1.1741682974559575E-2</v>
      </c>
    </row>
    <row r="56" spans="1:31" x14ac:dyDescent="0.25">
      <c r="A56" s="384"/>
      <c r="B56" s="384"/>
      <c r="C56" s="384"/>
      <c r="D56" s="385"/>
      <c r="E56" s="385"/>
      <c r="F56" s="385"/>
      <c r="G56" s="384"/>
      <c r="H56" s="384"/>
      <c r="I56" s="385"/>
      <c r="J56" s="385"/>
      <c r="K56" s="385"/>
      <c r="L56" s="384"/>
      <c r="M56" s="384"/>
      <c r="O56" s="83">
        <v>0.95</v>
      </c>
      <c r="P56" s="83">
        <f t="shared" si="5"/>
        <v>4.4459999999999997</v>
      </c>
      <c r="T56" s="93" t="s">
        <v>111</v>
      </c>
      <c r="U56" s="88" t="s">
        <v>130</v>
      </c>
      <c r="W56" s="110">
        <v>42538</v>
      </c>
      <c r="X56" s="9">
        <v>5.04</v>
      </c>
      <c r="Y56" s="9">
        <v>5.15</v>
      </c>
      <c r="Z56" s="9">
        <v>5.0199999999999996</v>
      </c>
      <c r="AA56" s="9">
        <v>5.1100000000000003</v>
      </c>
      <c r="AB56" s="104">
        <v>18634800</v>
      </c>
      <c r="AC56" s="9">
        <v>5.1100000000000003</v>
      </c>
      <c r="AD56" s="40">
        <f t="shared" si="0"/>
        <v>0.13000000000000078</v>
      </c>
      <c r="AE56" s="162">
        <f t="shared" si="1"/>
        <v>1.388888888888884E-2</v>
      </c>
    </row>
    <row r="57" spans="1:31" x14ac:dyDescent="0.25">
      <c r="A57" s="384"/>
      <c r="B57" s="384"/>
      <c r="C57" s="384"/>
      <c r="D57" s="385"/>
      <c r="E57" s="385"/>
      <c r="F57" s="385"/>
      <c r="G57" s="384"/>
      <c r="H57" s="384"/>
      <c r="I57" s="385"/>
      <c r="J57" s="385"/>
      <c r="K57" s="385"/>
      <c r="L57" s="384"/>
      <c r="M57" s="384"/>
      <c r="O57" s="83">
        <v>0.94</v>
      </c>
      <c r="P57" s="83">
        <f t="shared" si="5"/>
        <v>4.3991999999999996</v>
      </c>
      <c r="T57" s="93" t="s">
        <v>112</v>
      </c>
      <c r="U57" s="88">
        <v>-0.49</v>
      </c>
      <c r="W57" s="110">
        <v>42537</v>
      </c>
      <c r="X57" s="9">
        <v>4.84</v>
      </c>
      <c r="Y57" s="9">
        <v>5.07</v>
      </c>
      <c r="Z57" s="9">
        <v>4.84</v>
      </c>
      <c r="AA57" s="9">
        <v>5.04</v>
      </c>
      <c r="AB57" s="104">
        <v>17525000</v>
      </c>
      <c r="AC57" s="9">
        <v>5.04</v>
      </c>
      <c r="AD57" s="40">
        <f t="shared" si="0"/>
        <v>0.23000000000000043</v>
      </c>
      <c r="AE57" s="162">
        <f t="shared" si="1"/>
        <v>3.7037037037036979E-2</v>
      </c>
    </row>
    <row r="58" spans="1:31" x14ac:dyDescent="0.25">
      <c r="A58" s="384"/>
      <c r="B58" s="384"/>
      <c r="C58" s="384"/>
      <c r="D58" s="385"/>
      <c r="E58" s="385"/>
      <c r="F58" s="385"/>
      <c r="G58" s="384"/>
      <c r="H58" s="384"/>
      <c r="I58" s="385"/>
      <c r="J58" s="385"/>
      <c r="K58" s="385"/>
      <c r="L58" s="384"/>
      <c r="M58" s="384"/>
      <c r="O58" s="83">
        <v>0.93</v>
      </c>
      <c r="P58" s="83">
        <f t="shared" si="5"/>
        <v>4.3524000000000003</v>
      </c>
      <c r="T58" s="93" t="s">
        <v>109</v>
      </c>
      <c r="U58" s="88" t="s">
        <v>577</v>
      </c>
      <c r="W58" s="110">
        <v>42536</v>
      </c>
      <c r="X58" s="9">
        <v>4.91</v>
      </c>
      <c r="Y58" s="9">
        <v>4.9800000000000004</v>
      </c>
      <c r="Z58" s="9">
        <v>4.82</v>
      </c>
      <c r="AA58" s="9">
        <v>4.8600000000000003</v>
      </c>
      <c r="AB58" s="104">
        <v>19216100</v>
      </c>
      <c r="AC58" s="9">
        <v>4.8600000000000003</v>
      </c>
      <c r="AD58" s="40">
        <f t="shared" si="0"/>
        <v>0.16000000000000014</v>
      </c>
      <c r="AE58" s="162">
        <f t="shared" si="1"/>
        <v>6.2111801242237252E-3</v>
      </c>
    </row>
    <row r="59" spans="1:31" x14ac:dyDescent="0.25">
      <c r="A59" s="384"/>
      <c r="B59" s="384"/>
      <c r="C59" s="384"/>
      <c r="D59" s="385"/>
      <c r="E59" s="385"/>
      <c r="F59" s="385"/>
      <c r="G59" s="384"/>
      <c r="H59" s="384"/>
      <c r="I59" s="385"/>
      <c r="J59" s="385"/>
      <c r="K59" s="385"/>
      <c r="L59" s="384"/>
      <c r="M59" s="384"/>
      <c r="O59" s="83">
        <v>0.92</v>
      </c>
      <c r="P59" s="83">
        <f t="shared" si="5"/>
        <v>4.3056000000000001</v>
      </c>
      <c r="W59" s="110">
        <v>42535</v>
      </c>
      <c r="X59" s="9">
        <v>4.87</v>
      </c>
      <c r="Y59" s="9">
        <v>4.9000000000000004</v>
      </c>
      <c r="Z59" s="9">
        <v>4.75</v>
      </c>
      <c r="AA59" s="9">
        <v>4.83</v>
      </c>
      <c r="AB59" s="104">
        <v>17161100</v>
      </c>
      <c r="AC59" s="9">
        <v>4.83</v>
      </c>
      <c r="AD59" s="40">
        <f t="shared" si="0"/>
        <v>0.15000000000000036</v>
      </c>
      <c r="AE59" s="162">
        <f t="shared" si="1"/>
        <v>-8.2135523613963146E-3</v>
      </c>
    </row>
    <row r="60" spans="1:31" x14ac:dyDescent="0.25">
      <c r="A60" s="384"/>
      <c r="B60" s="384"/>
      <c r="C60" s="384"/>
      <c r="D60" s="385"/>
      <c r="E60" s="385"/>
      <c r="F60" s="385"/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5"/>
        <v>4.2587999999999999</v>
      </c>
      <c r="W60" s="110">
        <v>42534</v>
      </c>
      <c r="X60" s="9">
        <v>4.97</v>
      </c>
      <c r="Y60" s="9">
        <v>5.05</v>
      </c>
      <c r="Z60" s="9">
        <v>4.87</v>
      </c>
      <c r="AA60" s="9">
        <v>4.87</v>
      </c>
      <c r="AB60" s="104">
        <v>18954900</v>
      </c>
      <c r="AC60" s="9">
        <v>4.87</v>
      </c>
      <c r="AD60" s="40">
        <f t="shared" si="0"/>
        <v>0.17999999999999972</v>
      </c>
      <c r="AE60" s="162" t="e">
        <f t="shared" si="1"/>
        <v>#DIV/0!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4.2119999999999997</v>
      </c>
      <c r="W61" s="110">
        <v>42534</v>
      </c>
      <c r="X61" s="9" t="s">
        <v>177</v>
      </c>
      <c r="Y61" s="9"/>
      <c r="Z61" s="9"/>
      <c r="AA61" s="9"/>
      <c r="AB61" s="104"/>
      <c r="AC61" s="9"/>
      <c r="AD61" s="40">
        <f t="shared" si="0"/>
        <v>0</v>
      </c>
      <c r="AE61" s="162">
        <f t="shared" si="1"/>
        <v>-1</v>
      </c>
    </row>
    <row r="62" spans="1:31" x14ac:dyDescent="0.25">
      <c r="W62" s="110">
        <v>42531</v>
      </c>
      <c r="X62" s="9">
        <v>5.1100000000000003</v>
      </c>
      <c r="Y62" s="9">
        <v>5.13</v>
      </c>
      <c r="Z62" s="9">
        <v>5.04</v>
      </c>
      <c r="AA62" s="9">
        <v>5.1100000000000003</v>
      </c>
      <c r="AB62" s="104">
        <v>13416900</v>
      </c>
      <c r="AC62" s="9">
        <v>5.01</v>
      </c>
      <c r="AD62" s="40">
        <f t="shared" si="0"/>
        <v>8.9999999999999858E-2</v>
      </c>
      <c r="AE62" s="162">
        <f t="shared" si="1"/>
        <v>0</v>
      </c>
    </row>
    <row r="63" spans="1:31" x14ac:dyDescent="0.25">
      <c r="W63" s="110">
        <v>42530</v>
      </c>
      <c r="X63" s="9">
        <v>5.21</v>
      </c>
      <c r="Y63" s="9">
        <v>5.24</v>
      </c>
      <c r="Z63" s="9">
        <v>5.1100000000000003</v>
      </c>
      <c r="AA63" s="9">
        <v>5.12</v>
      </c>
      <c r="AB63" s="104">
        <v>10560900</v>
      </c>
      <c r="AC63" s="9">
        <v>5.01</v>
      </c>
      <c r="AD63" s="40">
        <f t="shared" si="0"/>
        <v>0.12999999999999989</v>
      </c>
      <c r="AE63" s="162">
        <f t="shared" si="1"/>
        <v>-1.5717092337917515E-2</v>
      </c>
    </row>
    <row r="64" spans="1:31" x14ac:dyDescent="0.25">
      <c r="W64" s="110">
        <v>42529</v>
      </c>
      <c r="X64" s="9">
        <v>5.23</v>
      </c>
      <c r="Y64" s="9">
        <v>5.27</v>
      </c>
      <c r="Z64" s="9">
        <v>5.19</v>
      </c>
      <c r="AA64" s="9">
        <v>5.2</v>
      </c>
      <c r="AB64" s="104">
        <v>8946700</v>
      </c>
      <c r="AC64" s="9">
        <v>5.09</v>
      </c>
      <c r="AD64" s="40">
        <f t="shared" si="0"/>
        <v>7.9999999999999183E-2</v>
      </c>
      <c r="AE64" s="162">
        <f t="shared" si="1"/>
        <v>-1.9607843137254832E-3</v>
      </c>
    </row>
    <row r="65" spans="23:31" x14ac:dyDescent="0.25">
      <c r="W65" s="110">
        <v>42528</v>
      </c>
      <c r="X65" s="9">
        <v>5.22</v>
      </c>
      <c r="Y65" s="9">
        <v>5.27</v>
      </c>
      <c r="Z65" s="9">
        <v>5.16</v>
      </c>
      <c r="AA65" s="9">
        <v>5.21</v>
      </c>
      <c r="AB65" s="104">
        <v>16625100</v>
      </c>
      <c r="AC65" s="9">
        <v>5.0999999999999996</v>
      </c>
      <c r="AD65" s="40">
        <f t="shared" si="0"/>
        <v>0.10999999999999943</v>
      </c>
      <c r="AE65" s="162">
        <f t="shared" si="1"/>
        <v>3.937007874015741E-3</v>
      </c>
    </row>
    <row r="66" spans="23:31" x14ac:dyDescent="0.25">
      <c r="W66" s="110">
        <v>42527</v>
      </c>
      <c r="X66" s="9">
        <v>5.24</v>
      </c>
      <c r="Y66" s="9">
        <v>5.3</v>
      </c>
      <c r="Z66" s="9">
        <v>5.17</v>
      </c>
      <c r="AA66" s="9">
        <v>5.19</v>
      </c>
      <c r="AB66" s="104">
        <v>15016200</v>
      </c>
      <c r="AC66" s="9">
        <v>5.08</v>
      </c>
      <c r="AD66" s="40">
        <f t="shared" si="0"/>
        <v>0.12999999999999989</v>
      </c>
      <c r="AE66" s="162">
        <f t="shared" si="1"/>
        <v>-7.8125E-3</v>
      </c>
    </row>
    <row r="67" spans="23:31" x14ac:dyDescent="0.25">
      <c r="W67" s="110">
        <v>42524</v>
      </c>
      <c r="X67" s="9">
        <v>5.07</v>
      </c>
      <c r="Y67" s="9">
        <v>5.24</v>
      </c>
      <c r="Z67" s="9">
        <v>5.07</v>
      </c>
      <c r="AA67" s="9">
        <v>5.23</v>
      </c>
      <c r="AB67" s="104">
        <v>9578000</v>
      </c>
      <c r="AC67" s="9">
        <v>5.12</v>
      </c>
      <c r="AD67" s="40">
        <f>Y67-Z67</f>
        <v>0.16999999999999993</v>
      </c>
      <c r="AE67" s="162">
        <f>AC67/AC68-1</f>
        <v>1.3861386138613874E-2</v>
      </c>
    </row>
    <row r="68" spans="23:31" x14ac:dyDescent="0.25">
      <c r="W68" s="110">
        <v>42523</v>
      </c>
      <c r="X68" s="9">
        <v>5.08</v>
      </c>
      <c r="Y68" s="9">
        <v>5.17</v>
      </c>
      <c r="Z68" s="9">
        <v>5.0199999999999996</v>
      </c>
      <c r="AA68" s="9">
        <v>5.16</v>
      </c>
      <c r="AB68" s="104">
        <v>9541300</v>
      </c>
      <c r="AC68" s="9">
        <v>5.05</v>
      </c>
      <c r="AD68" s="40">
        <f>Y68-Z68</f>
        <v>0.15000000000000036</v>
      </c>
      <c r="AE68" s="162" t="e">
        <f>AC68/AC69-1</f>
        <v>#DIV/0!</v>
      </c>
    </row>
    <row r="69" spans="23:31" x14ac:dyDescent="0.25">
      <c r="W69" s="110" t="s">
        <v>122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136" priority="15">
      <formula>F22&gt;0</formula>
    </cfRule>
    <cfRule type="expression" dxfId="135" priority="16">
      <formula>F22&lt;0</formula>
    </cfRule>
  </conditionalFormatting>
  <conditionalFormatting sqref="H22:H29">
    <cfRule type="expression" dxfId="134" priority="13">
      <formula>H22&gt;0</formula>
    </cfRule>
    <cfRule type="expression" dxfId="133" priority="14">
      <formula>H22&lt;0</formula>
    </cfRule>
  </conditionalFormatting>
  <conditionalFormatting sqref="H30">
    <cfRule type="expression" dxfId="132" priority="11">
      <formula>H30&gt;0</formula>
    </cfRule>
    <cfRule type="expression" dxfId="131" priority="12">
      <formula>H30&lt;0</formula>
    </cfRule>
  </conditionalFormatting>
  <conditionalFormatting sqref="H31:H41">
    <cfRule type="expression" dxfId="130" priority="9">
      <formula>H31&gt;0</formula>
    </cfRule>
    <cfRule type="expression" dxfId="129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128" priority="1">
      <formula>Q8&gt;0</formula>
    </cfRule>
    <cfRule type="expression" dxfId="127" priority="2">
      <formula>Q8&lt;0</formula>
    </cfRule>
  </conditionalFormatting>
  <conditionalFormatting sqref="Q7">
    <cfRule type="expression" dxfId="126" priority="3">
      <formula>Q7&gt;0</formula>
    </cfRule>
    <cfRule type="expression" dxfId="125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9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3.7109375" customWidth="1"/>
    <col min="21" max="21" width="18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127</v>
      </c>
      <c r="AE1" s="93" t="s">
        <v>129</v>
      </c>
    </row>
    <row r="2" spans="1:40" x14ac:dyDescent="0.25">
      <c r="A2" s="6" t="s">
        <v>55</v>
      </c>
      <c r="B2" s="475">
        <v>42214</v>
      </c>
      <c r="C2" s="7">
        <v>10</v>
      </c>
      <c r="D2" s="44">
        <v>113.01</v>
      </c>
      <c r="E2" s="44">
        <v>0</v>
      </c>
      <c r="F2" s="44">
        <f t="shared" ref="F2:F16" si="0">C2*D2 + E2</f>
        <v>1130.1000000000001</v>
      </c>
      <c r="G2" s="475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200</v>
      </c>
      <c r="T2" s="1"/>
      <c r="W2" s="133">
        <v>42615</v>
      </c>
      <c r="X2" s="10">
        <v>77.62</v>
      </c>
      <c r="Y2" s="10">
        <v>77.760000000000005</v>
      </c>
      <c r="Z2" s="10">
        <v>76.67</v>
      </c>
      <c r="AA2" s="10">
        <v>76.89</v>
      </c>
      <c r="AB2" s="95">
        <v>7918400</v>
      </c>
      <c r="AC2" s="10">
        <v>76.89</v>
      </c>
      <c r="AD2" s="40">
        <f>Y2-Z2</f>
        <v>1.0900000000000034</v>
      </c>
      <c r="AE2" s="162">
        <f>AC2/AC3-1</f>
        <v>-6.8457762851976689E-3</v>
      </c>
    </row>
    <row r="3" spans="1:40" x14ac:dyDescent="0.25">
      <c r="A3" s="23" t="s">
        <v>71</v>
      </c>
      <c r="B3" s="475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75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84.093399999999988</v>
      </c>
      <c r="W3" s="133">
        <v>42614</v>
      </c>
      <c r="X3" s="10">
        <v>78.430000000000007</v>
      </c>
      <c r="Y3" s="10">
        <v>78.459999999999994</v>
      </c>
      <c r="Z3" s="10">
        <v>76.94</v>
      </c>
      <c r="AA3" s="10">
        <v>77.42</v>
      </c>
      <c r="AB3" s="95">
        <v>12403900</v>
      </c>
      <c r="AC3" s="10">
        <v>77.42</v>
      </c>
      <c r="AD3" s="40">
        <f t="shared" ref="AD3:AD66" si="1">Y3-Z3</f>
        <v>1.519999999999996</v>
      </c>
      <c r="AE3" s="162">
        <f t="shared" ref="AE3:AE66" si="2">AC3/AC4-1</f>
        <v>-1.2248022454707796E-2</v>
      </c>
      <c r="AN3" s="234"/>
    </row>
    <row r="4" spans="1:40" x14ac:dyDescent="0.25">
      <c r="B4" s="475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75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8">
        <v>77.88</v>
      </c>
      <c r="W4" s="133">
        <v>42613</v>
      </c>
      <c r="X4" s="10">
        <v>77.739999999999995</v>
      </c>
      <c r="Y4" s="10">
        <v>78.599999999999994</v>
      </c>
      <c r="Z4" s="10">
        <v>77.58</v>
      </c>
      <c r="AA4" s="10">
        <v>78.38</v>
      </c>
      <c r="AB4" s="95">
        <v>9758500</v>
      </c>
      <c r="AC4" s="10">
        <v>78.38</v>
      </c>
      <c r="AD4" s="40">
        <f t="shared" si="1"/>
        <v>1.019999999999996</v>
      </c>
      <c r="AE4" s="162">
        <f t="shared" si="2"/>
        <v>5.9034907597534936E-3</v>
      </c>
    </row>
    <row r="5" spans="1:40" x14ac:dyDescent="0.25">
      <c r="B5" s="475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75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15576</v>
      </c>
      <c r="T5" s="1"/>
      <c r="W5" s="133">
        <v>42612</v>
      </c>
      <c r="X5" s="10">
        <v>78.05</v>
      </c>
      <c r="Y5" s="10">
        <v>78.39</v>
      </c>
      <c r="Z5" s="10">
        <v>77.66</v>
      </c>
      <c r="AA5" s="10">
        <v>77.92</v>
      </c>
      <c r="AB5" s="95">
        <v>9174200</v>
      </c>
      <c r="AC5" s="10">
        <v>77.92</v>
      </c>
      <c r="AD5" s="40">
        <f t="shared" si="1"/>
        <v>0.73000000000000398</v>
      </c>
      <c r="AE5" s="162">
        <f t="shared" si="2"/>
        <v>-3.1981578610720263E-3</v>
      </c>
      <c r="AK5" s="234"/>
      <c r="AN5" s="234"/>
    </row>
    <row r="6" spans="1:40" x14ac:dyDescent="0.25">
      <c r="B6" s="476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75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t="s">
        <v>340</v>
      </c>
      <c r="O6" s="11" t="s">
        <v>64</v>
      </c>
      <c r="Q6" s="2">
        <f>Q3*Q2</f>
        <v>16818.679999999997</v>
      </c>
      <c r="W6" s="133">
        <v>42611</v>
      </c>
      <c r="X6" s="10">
        <v>79.650000000000006</v>
      </c>
      <c r="Y6" s="10">
        <v>79.7</v>
      </c>
      <c r="Z6" s="10">
        <v>77.63</v>
      </c>
      <c r="AA6" s="10">
        <v>78.17</v>
      </c>
      <c r="AB6" s="95">
        <v>15383500</v>
      </c>
      <c r="AC6" s="10">
        <v>78.17</v>
      </c>
      <c r="AD6" s="40">
        <f t="shared" si="1"/>
        <v>2.0700000000000074</v>
      </c>
      <c r="AE6" s="162">
        <f t="shared" si="2"/>
        <v>-2.0057665789143697E-2</v>
      </c>
    </row>
    <row r="7" spans="1:40" x14ac:dyDescent="0.25">
      <c r="B7" s="475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74"/>
      <c r="H7" s="7"/>
      <c r="I7" s="7"/>
      <c r="J7" s="7"/>
      <c r="K7" s="7"/>
      <c r="O7" s="11" t="s">
        <v>187</v>
      </c>
      <c r="Q7" s="2">
        <f>Q10+Q8</f>
        <v>-1242.6799999999967</v>
      </c>
      <c r="R7">
        <v>150</v>
      </c>
      <c r="W7" s="133">
        <v>42608</v>
      </c>
      <c r="X7" s="10">
        <v>80.11</v>
      </c>
      <c r="Y7" s="10">
        <v>80.33</v>
      </c>
      <c r="Z7" s="10">
        <v>79.27</v>
      </c>
      <c r="AA7" s="10">
        <v>79.77</v>
      </c>
      <c r="AB7" s="95">
        <v>8928000</v>
      </c>
      <c r="AC7" s="10">
        <v>79.77</v>
      </c>
      <c r="AD7" s="40">
        <f t="shared" si="1"/>
        <v>1.0600000000000023</v>
      </c>
      <c r="AE7" s="162">
        <f t="shared" si="2"/>
        <v>-3.8711288711289482E-3</v>
      </c>
    </row>
    <row r="8" spans="1:40" x14ac:dyDescent="0.25">
      <c r="B8" s="475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74"/>
      <c r="H8" s="82"/>
      <c r="I8" s="7"/>
      <c r="J8" s="7"/>
      <c r="K8" s="7"/>
      <c r="O8" s="11" t="s">
        <v>190</v>
      </c>
      <c r="P8" s="34"/>
      <c r="Q8" s="2">
        <f>K31+M31-F31+Q2*Q4</f>
        <v>-1242.6799999999967</v>
      </c>
      <c r="T8" s="1"/>
      <c r="W8" s="133">
        <v>42607</v>
      </c>
      <c r="X8" s="10">
        <v>80.45</v>
      </c>
      <c r="Y8" s="10">
        <v>81</v>
      </c>
      <c r="Z8" s="10">
        <v>79.3</v>
      </c>
      <c r="AA8" s="10">
        <v>80.08</v>
      </c>
      <c r="AB8" s="95">
        <v>9220100</v>
      </c>
      <c r="AC8" s="10">
        <v>80.08</v>
      </c>
      <c r="AD8" s="40">
        <f t="shared" si="1"/>
        <v>1.7000000000000028</v>
      </c>
      <c r="AE8" s="162">
        <f t="shared" si="2"/>
        <v>-5.2173913043478404E-3</v>
      </c>
    </row>
    <row r="9" spans="1:40" x14ac:dyDescent="0.25">
      <c r="A9" s="426"/>
      <c r="B9" s="475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74"/>
      <c r="H9" s="7"/>
      <c r="I9" s="7"/>
      <c r="J9" s="7"/>
      <c r="K9" s="7"/>
      <c r="O9" s="11" t="s">
        <v>224</v>
      </c>
      <c r="Q9" s="138">
        <f>IF(Q2=0, 0, Q8/Q6)</f>
        <v>-7.388689243151049E-2</v>
      </c>
      <c r="W9" s="133">
        <v>42606</v>
      </c>
      <c r="X9" s="10">
        <v>81.47</v>
      </c>
      <c r="Y9" s="10">
        <v>82.1</v>
      </c>
      <c r="Z9" s="10">
        <v>80.180000000000007</v>
      </c>
      <c r="AA9" s="10">
        <v>80.5</v>
      </c>
      <c r="AB9" s="95">
        <v>9699600</v>
      </c>
      <c r="AC9" s="10">
        <v>80.5</v>
      </c>
      <c r="AD9" s="40">
        <f t="shared" si="1"/>
        <v>1.9199999999999875</v>
      </c>
      <c r="AE9" s="162">
        <f t="shared" si="2"/>
        <v>-1.1906223149625639E-2</v>
      </c>
    </row>
    <row r="10" spans="1:40" x14ac:dyDescent="0.25">
      <c r="A10" s="426" t="s">
        <v>227</v>
      </c>
      <c r="B10" s="475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74"/>
      <c r="H10" s="7"/>
      <c r="I10" s="7"/>
      <c r="J10" s="7"/>
      <c r="K10" s="7"/>
      <c r="O10" s="11" t="s">
        <v>223</v>
      </c>
      <c r="P10" s="34"/>
      <c r="Q10" s="2">
        <f>M62</f>
        <v>0</v>
      </c>
      <c r="W10" s="133">
        <v>42605</v>
      </c>
      <c r="X10" s="10">
        <v>81.459999999999994</v>
      </c>
      <c r="Y10" s="10">
        <v>81.64</v>
      </c>
      <c r="Z10" s="10">
        <v>81.02</v>
      </c>
      <c r="AA10" s="10">
        <v>81.47</v>
      </c>
      <c r="AB10" s="95">
        <v>8279400</v>
      </c>
      <c r="AC10" s="10">
        <v>81.47</v>
      </c>
      <c r="AD10" s="40">
        <f t="shared" si="1"/>
        <v>0.62000000000000455</v>
      </c>
      <c r="AE10" s="162">
        <f t="shared" si="2"/>
        <v>6.7968363816113264E-3</v>
      </c>
    </row>
    <row r="11" spans="1:40" x14ac:dyDescent="0.25">
      <c r="A11" s="426">
        <v>92.64</v>
      </c>
      <c r="B11" s="475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75">
        <v>42552</v>
      </c>
      <c r="H11" s="82">
        <v>100</v>
      </c>
      <c r="I11" s="44">
        <v>83.74</v>
      </c>
      <c r="J11" s="44">
        <v>0.18</v>
      </c>
      <c r="K11" s="44">
        <f>I11*H11-J11</f>
        <v>8373.82</v>
      </c>
      <c r="N11" s="5"/>
      <c r="O11" s="11" t="s">
        <v>184</v>
      </c>
      <c r="P11" s="34"/>
      <c r="Q11" s="138">
        <f>VALUE(TRIM(CLEAN(MID(U58, FIND("(", U58)+1, 5))))</f>
        <v>2.4500000000000001E-2</v>
      </c>
      <c r="W11" s="133">
        <v>42604</v>
      </c>
      <c r="X11" s="10">
        <v>80.89</v>
      </c>
      <c r="Y11" s="10">
        <v>81.53</v>
      </c>
      <c r="Z11" s="10">
        <v>80.599999999999994</v>
      </c>
      <c r="AA11" s="10">
        <v>80.92</v>
      </c>
      <c r="AB11" s="95">
        <v>7522000</v>
      </c>
      <c r="AC11" s="10">
        <v>80.92</v>
      </c>
      <c r="AD11" s="40">
        <f t="shared" si="1"/>
        <v>0.93000000000000682</v>
      </c>
      <c r="AE11" s="162">
        <f t="shared" si="2"/>
        <v>-9.8765432098768535E-4</v>
      </c>
    </row>
    <row r="12" spans="1:40" x14ac:dyDescent="0.25">
      <c r="B12" s="74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H12" s="185"/>
      <c r="I12" s="3"/>
      <c r="J12" s="3"/>
      <c r="K12" s="3"/>
      <c r="N12" s="5"/>
      <c r="W12" s="133">
        <v>42601</v>
      </c>
      <c r="X12" s="10">
        <v>80.56</v>
      </c>
      <c r="Y12" s="10">
        <v>81.180000000000007</v>
      </c>
      <c r="Z12" s="10">
        <v>80.23</v>
      </c>
      <c r="AA12" s="10">
        <v>81</v>
      </c>
      <c r="AB12" s="95">
        <v>8227900</v>
      </c>
      <c r="AC12" s="10">
        <v>81</v>
      </c>
      <c r="AD12" s="40">
        <f t="shared" si="1"/>
        <v>0.95000000000000284</v>
      </c>
      <c r="AE12" s="162">
        <f t="shared" si="2"/>
        <v>5.0874798362079421E-3</v>
      </c>
    </row>
    <row r="13" spans="1:40" x14ac:dyDescent="0.25">
      <c r="B13" s="74">
        <v>42577</v>
      </c>
      <c r="C13" s="4">
        <v>20</v>
      </c>
      <c r="D13" s="2">
        <v>80.64</v>
      </c>
      <c r="E13" s="2">
        <v>0</v>
      </c>
      <c r="F13" s="2">
        <f t="shared" si="0"/>
        <v>1612.8</v>
      </c>
      <c r="H13" s="185"/>
      <c r="I13" s="4"/>
      <c r="J13" s="4"/>
      <c r="K13" s="4"/>
      <c r="W13" s="133">
        <v>42600</v>
      </c>
      <c r="X13" s="10">
        <v>80.87</v>
      </c>
      <c r="Y13" s="10">
        <v>81.27</v>
      </c>
      <c r="Z13" s="10">
        <v>80.180000000000007</v>
      </c>
      <c r="AA13" s="10">
        <v>80.59</v>
      </c>
      <c r="AB13" s="95">
        <v>8994400</v>
      </c>
      <c r="AC13" s="10">
        <v>80.59</v>
      </c>
      <c r="AD13" s="40">
        <f t="shared" si="1"/>
        <v>1.0899999999999892</v>
      </c>
      <c r="AE13" s="162">
        <f t="shared" si="2"/>
        <v>-1.3630731102850513E-3</v>
      </c>
    </row>
    <row r="14" spans="1:40" x14ac:dyDescent="0.25">
      <c r="B14" s="74">
        <v>42580</v>
      </c>
      <c r="C14" s="4">
        <v>30</v>
      </c>
      <c r="D14" s="2">
        <v>79.38</v>
      </c>
      <c r="E14" s="2">
        <v>0</v>
      </c>
      <c r="F14" s="2">
        <f t="shared" si="0"/>
        <v>2381.3999999999996</v>
      </c>
      <c r="H14" s="72"/>
      <c r="W14" s="133">
        <v>42599</v>
      </c>
      <c r="X14" s="10">
        <v>79.459999999999994</v>
      </c>
      <c r="Y14" s="10">
        <v>80.87</v>
      </c>
      <c r="Z14" s="10">
        <v>79.3</v>
      </c>
      <c r="AA14" s="10">
        <v>80.7</v>
      </c>
      <c r="AB14" s="95">
        <v>10583800</v>
      </c>
      <c r="AC14" s="10">
        <v>80.7</v>
      </c>
      <c r="AD14" s="40">
        <f t="shared" si="1"/>
        <v>1.5700000000000074</v>
      </c>
      <c r="AE14" s="162">
        <f t="shared" si="2"/>
        <v>1.8296529968454323E-2</v>
      </c>
    </row>
    <row r="15" spans="1:40" x14ac:dyDescent="0.25">
      <c r="B15" s="529">
        <v>42608</v>
      </c>
      <c r="C15" s="4">
        <v>20</v>
      </c>
      <c r="D15" s="2">
        <v>79.28</v>
      </c>
      <c r="E15" s="2">
        <v>0</v>
      </c>
      <c r="F15" s="2">
        <f t="shared" si="0"/>
        <v>1585.6</v>
      </c>
      <c r="H15" s="72"/>
      <c r="W15" s="133">
        <v>42598</v>
      </c>
      <c r="X15" s="10">
        <v>79.569999999999993</v>
      </c>
      <c r="Y15" s="10">
        <v>79.8</v>
      </c>
      <c r="Z15" s="10">
        <v>79.239999999999995</v>
      </c>
      <c r="AA15" s="10">
        <v>79.25</v>
      </c>
      <c r="AB15" s="95">
        <v>7969900</v>
      </c>
      <c r="AC15" s="10">
        <v>79.25</v>
      </c>
      <c r="AD15" s="40">
        <f t="shared" si="1"/>
        <v>0.56000000000000227</v>
      </c>
      <c r="AE15" s="162">
        <f t="shared" si="2"/>
        <v>-5.0219711236660913E-3</v>
      </c>
    </row>
    <row r="16" spans="1:40" x14ac:dyDescent="0.25">
      <c r="B16" s="529">
        <v>42611</v>
      </c>
      <c r="C16" s="4">
        <v>30</v>
      </c>
      <c r="D16" s="2">
        <v>77.680000000000007</v>
      </c>
      <c r="E16" s="2">
        <v>0</v>
      </c>
      <c r="F16" s="2">
        <f t="shared" si="0"/>
        <v>2330.4</v>
      </c>
      <c r="H16" s="72"/>
      <c r="W16" s="133">
        <v>42597</v>
      </c>
      <c r="X16" s="10">
        <v>79.88</v>
      </c>
      <c r="Y16" s="10">
        <v>80.09</v>
      </c>
      <c r="Z16" s="10">
        <v>79.430000000000007</v>
      </c>
      <c r="AA16" s="10">
        <v>79.650000000000006</v>
      </c>
      <c r="AB16" s="95">
        <v>7464800</v>
      </c>
      <c r="AC16" s="10">
        <v>79.650000000000006</v>
      </c>
      <c r="AD16" s="40">
        <f t="shared" si="1"/>
        <v>0.65999999999999659</v>
      </c>
      <c r="AE16" s="162">
        <f t="shared" si="2"/>
        <v>-1.2553351744903907E-4</v>
      </c>
    </row>
    <row r="17" spans="1:31" x14ac:dyDescent="0.25">
      <c r="W17" s="133">
        <v>42594</v>
      </c>
      <c r="X17" s="10">
        <v>79.34</v>
      </c>
      <c r="Y17" s="10">
        <v>79.77</v>
      </c>
      <c r="Z17" s="10">
        <v>78.87</v>
      </c>
      <c r="AA17" s="10">
        <v>79.66</v>
      </c>
      <c r="AB17" s="95">
        <v>8434000</v>
      </c>
      <c r="AC17" s="10">
        <v>79.66</v>
      </c>
      <c r="AD17" s="40">
        <f t="shared" si="1"/>
        <v>0.89999999999999147</v>
      </c>
      <c r="AE17" s="162">
        <f t="shared" si="2"/>
        <v>1.1310795525951711E-3</v>
      </c>
    </row>
    <row r="18" spans="1:31" x14ac:dyDescent="0.25">
      <c r="W18" s="133">
        <v>42593</v>
      </c>
      <c r="X18" s="10">
        <v>79.150000000000006</v>
      </c>
      <c r="Y18" s="10">
        <v>79.98</v>
      </c>
      <c r="Z18" s="10">
        <v>78.8</v>
      </c>
      <c r="AA18" s="10">
        <v>79.569999999999993</v>
      </c>
      <c r="AB18" s="95">
        <v>8454700</v>
      </c>
      <c r="AC18" s="10">
        <v>79.569999999999993</v>
      </c>
      <c r="AD18" s="40">
        <f t="shared" si="1"/>
        <v>1.1800000000000068</v>
      </c>
      <c r="AE18" s="162">
        <f t="shared" si="2"/>
        <v>8.4917617237008081E-3</v>
      </c>
    </row>
    <row r="19" spans="1:31" x14ac:dyDescent="0.25">
      <c r="W19" s="133">
        <v>42592</v>
      </c>
      <c r="X19" s="10">
        <v>79.430000000000007</v>
      </c>
      <c r="Y19" s="10">
        <v>79.59</v>
      </c>
      <c r="Z19" s="10">
        <v>78.45</v>
      </c>
      <c r="AA19" s="10">
        <v>78.900000000000006</v>
      </c>
      <c r="AB19" s="95">
        <v>12022200</v>
      </c>
      <c r="AC19" s="10">
        <v>78.900000000000006</v>
      </c>
      <c r="AD19" s="40">
        <f t="shared" si="1"/>
        <v>1.1400000000000006</v>
      </c>
      <c r="AE19" s="162">
        <f t="shared" si="2"/>
        <v>-5.4203958149501297E-3</v>
      </c>
    </row>
    <row r="20" spans="1:31" x14ac:dyDescent="0.25">
      <c r="W20" s="133">
        <v>42591</v>
      </c>
      <c r="X20" s="10">
        <v>79.86</v>
      </c>
      <c r="Y20" s="10">
        <v>79.900000000000006</v>
      </c>
      <c r="Z20" s="10">
        <v>79.010000000000005</v>
      </c>
      <c r="AA20" s="10">
        <v>79.33</v>
      </c>
      <c r="AB20" s="95">
        <v>9578200</v>
      </c>
      <c r="AC20" s="10">
        <v>79.33</v>
      </c>
      <c r="AD20" s="40">
        <f t="shared" si="1"/>
        <v>0.89000000000000057</v>
      </c>
      <c r="AE20" s="162">
        <f t="shared" si="2"/>
        <v>-5.1417105593177803E-3</v>
      </c>
    </row>
    <row r="21" spans="1:31" x14ac:dyDescent="0.25">
      <c r="W21" s="133">
        <v>42590</v>
      </c>
      <c r="X21" s="10">
        <v>80.459999999999994</v>
      </c>
      <c r="Y21" s="10">
        <v>80.790000000000006</v>
      </c>
      <c r="Z21" s="10">
        <v>79.010000000000005</v>
      </c>
      <c r="AA21" s="10">
        <v>79.739999999999995</v>
      </c>
      <c r="AB21" s="95">
        <v>9511600</v>
      </c>
      <c r="AC21" s="10">
        <v>79.739999999999995</v>
      </c>
      <c r="AD21" s="40">
        <f t="shared" si="1"/>
        <v>1.7800000000000011</v>
      </c>
      <c r="AE21" s="162">
        <f t="shared" si="2"/>
        <v>-8.3322969779878742E-3</v>
      </c>
    </row>
    <row r="22" spans="1:31" x14ac:dyDescent="0.25">
      <c r="W22" s="133">
        <v>42587</v>
      </c>
      <c r="X22" s="10">
        <v>80.2</v>
      </c>
      <c r="Y22" s="10">
        <v>80.66</v>
      </c>
      <c r="Z22" s="10">
        <v>79.86</v>
      </c>
      <c r="AA22" s="10">
        <v>80.41</v>
      </c>
      <c r="AB22" s="95">
        <v>10692300</v>
      </c>
      <c r="AC22" s="10">
        <v>80.41</v>
      </c>
      <c r="AD22" s="40">
        <f t="shared" si="1"/>
        <v>0.79999999999999716</v>
      </c>
      <c r="AE22" s="162">
        <f t="shared" si="2"/>
        <v>8.0230663156575233E-3</v>
      </c>
    </row>
    <row r="23" spans="1:31" x14ac:dyDescent="0.25">
      <c r="W23" s="133">
        <v>42586</v>
      </c>
      <c r="X23" s="10">
        <v>80.209999999999994</v>
      </c>
      <c r="Y23" s="10">
        <v>80.63</v>
      </c>
      <c r="Z23" s="10">
        <v>79.55</v>
      </c>
      <c r="AA23" s="10">
        <v>79.77</v>
      </c>
      <c r="AB23" s="95">
        <v>9738300</v>
      </c>
      <c r="AC23" s="10">
        <v>79.77</v>
      </c>
      <c r="AD23" s="40">
        <f t="shared" si="1"/>
        <v>1.0799999999999983</v>
      </c>
      <c r="AE23" s="162">
        <f t="shared" si="2"/>
        <v>-3.9955050568112327E-3</v>
      </c>
    </row>
    <row r="24" spans="1:31" x14ac:dyDescent="0.25">
      <c r="W24" s="133">
        <v>42585</v>
      </c>
      <c r="X24" s="10">
        <v>79.72</v>
      </c>
      <c r="Y24" s="10">
        <v>80.17</v>
      </c>
      <c r="Z24" s="10">
        <v>79.11</v>
      </c>
      <c r="AA24" s="10">
        <v>80.09</v>
      </c>
      <c r="AB24" s="95">
        <v>10868100</v>
      </c>
      <c r="AC24" s="10">
        <v>80.09</v>
      </c>
      <c r="AD24" s="40">
        <f t="shared" si="1"/>
        <v>1.0600000000000023</v>
      </c>
      <c r="AE24" s="162">
        <f t="shared" si="2"/>
        <v>6.5351263038835317E-3</v>
      </c>
    </row>
    <row r="25" spans="1:31" x14ac:dyDescent="0.25">
      <c r="W25" s="133">
        <v>42584</v>
      </c>
      <c r="X25" s="10">
        <v>80.98</v>
      </c>
      <c r="Y25" s="10">
        <v>81.19</v>
      </c>
      <c r="Z25" s="10">
        <v>79.45</v>
      </c>
      <c r="AA25" s="10">
        <v>79.569999999999993</v>
      </c>
      <c r="AB25" s="95">
        <v>13408200</v>
      </c>
      <c r="AC25" s="10">
        <v>79.569999999999993</v>
      </c>
      <c r="AD25" s="40">
        <f t="shared" si="1"/>
        <v>1.7399999999999949</v>
      </c>
      <c r="AE25" s="162">
        <f t="shared" si="2"/>
        <v>-1.1061396967437243E-2</v>
      </c>
    </row>
    <row r="26" spans="1:31" x14ac:dyDescent="0.25">
      <c r="W26" s="133">
        <v>42583</v>
      </c>
      <c r="X26" s="10">
        <v>79.81</v>
      </c>
      <c r="Y26" s="10">
        <v>81.209999999999994</v>
      </c>
      <c r="Z26" s="10">
        <v>79.510000000000005</v>
      </c>
      <c r="AA26" s="10">
        <v>80.459999999999994</v>
      </c>
      <c r="AB26" s="95">
        <v>14758000</v>
      </c>
      <c r="AC26" s="10">
        <v>80.459999999999994</v>
      </c>
      <c r="AD26" s="40">
        <f t="shared" si="1"/>
        <v>1.6999999999999886</v>
      </c>
      <c r="AE26" s="162">
        <f t="shared" si="2"/>
        <v>1.2457531143827749E-2</v>
      </c>
    </row>
    <row r="27" spans="1:31" x14ac:dyDescent="0.25">
      <c r="W27" s="133">
        <v>42580</v>
      </c>
      <c r="X27" s="10">
        <v>80.599999999999994</v>
      </c>
      <c r="Y27" s="10">
        <v>80.84</v>
      </c>
      <c r="Z27" s="10">
        <v>79.37</v>
      </c>
      <c r="AA27" s="10">
        <v>79.47</v>
      </c>
      <c r="AB27" s="95">
        <v>19465700</v>
      </c>
      <c r="AC27" s="10">
        <v>79.47</v>
      </c>
      <c r="AD27" s="40">
        <f t="shared" si="1"/>
        <v>1.4699999999999989</v>
      </c>
      <c r="AE27" s="162">
        <f t="shared" si="2"/>
        <v>-2.1787296898079678E-2</v>
      </c>
    </row>
    <row r="28" spans="1:31" x14ac:dyDescent="0.25">
      <c r="W28" s="133">
        <v>42579</v>
      </c>
      <c r="X28" s="10">
        <v>81.95</v>
      </c>
      <c r="Y28" s="10">
        <v>81.98</v>
      </c>
      <c r="Z28" s="10">
        <v>80.62</v>
      </c>
      <c r="AA28" s="10">
        <v>81.239999999999995</v>
      </c>
      <c r="AB28" s="95">
        <v>13011000</v>
      </c>
      <c r="AC28" s="10">
        <v>81.239999999999995</v>
      </c>
      <c r="AD28" s="40">
        <f t="shared" si="1"/>
        <v>1.3599999999999994</v>
      </c>
      <c r="AE28" s="162">
        <f t="shared" si="2"/>
        <v>-6.7245384521336105E-3</v>
      </c>
    </row>
    <row r="29" spans="1:31" x14ac:dyDescent="0.25">
      <c r="W29" s="133">
        <v>42578</v>
      </c>
      <c r="X29" s="10">
        <v>81.34</v>
      </c>
      <c r="Y29" s="10">
        <v>81.98</v>
      </c>
      <c r="Z29" s="10">
        <v>81.06</v>
      </c>
      <c r="AA29" s="10">
        <v>81.790000000000006</v>
      </c>
      <c r="AB29" s="95">
        <v>14103800</v>
      </c>
      <c r="AC29" s="10">
        <v>81.790000000000006</v>
      </c>
      <c r="AD29" s="40">
        <f t="shared" si="1"/>
        <v>0.92000000000000171</v>
      </c>
      <c r="AE29" s="162">
        <f t="shared" si="2"/>
        <v>9.1301665638496843E-3</v>
      </c>
    </row>
    <row r="30" spans="1:31" x14ac:dyDescent="0.25">
      <c r="C30" s="4"/>
      <c r="D30" s="3"/>
      <c r="E30" s="3"/>
      <c r="F30" s="3"/>
      <c r="H30" s="72"/>
      <c r="W30" s="133">
        <v>42577</v>
      </c>
      <c r="X30" s="10">
        <v>84.05</v>
      </c>
      <c r="Y30" s="10">
        <v>84.15</v>
      </c>
      <c r="Z30" s="10">
        <v>80.510000000000005</v>
      </c>
      <c r="AA30" s="10">
        <v>81.05</v>
      </c>
      <c r="AB30" s="95">
        <v>47371900</v>
      </c>
      <c r="AC30" s="10">
        <v>81.05</v>
      </c>
      <c r="AD30" s="40">
        <f t="shared" si="1"/>
        <v>3.6400000000000006</v>
      </c>
      <c r="AE30" s="162">
        <f t="shared" si="2"/>
        <v>-8.4697910784867325E-2</v>
      </c>
    </row>
    <row r="31" spans="1:31" x14ac:dyDescent="0.25">
      <c r="A31" s="22" t="s">
        <v>81</v>
      </c>
      <c r="B31" s="12"/>
      <c r="C31" s="12">
        <f>SUM(C2:C30)</f>
        <v>375</v>
      </c>
      <c r="D31" s="13"/>
      <c r="E31" s="13"/>
      <c r="F31" s="13">
        <f>SUM(F2:F30)</f>
        <v>32533.699999999997</v>
      </c>
      <c r="G31" s="12"/>
      <c r="H31" s="77">
        <f>SUM(H2:H30)</f>
        <v>175</v>
      </c>
      <c r="I31" s="12"/>
      <c r="J31" s="12"/>
      <c r="K31" s="13">
        <f>SUM(K2:K30)</f>
        <v>15620.720000000001</v>
      </c>
      <c r="L31" s="12"/>
      <c r="M31" s="13">
        <f>SUM(M2:M30)</f>
        <v>94.3</v>
      </c>
      <c r="W31" s="133">
        <v>42576</v>
      </c>
      <c r="X31" s="10">
        <v>86.57</v>
      </c>
      <c r="Y31" s="10">
        <v>88.85</v>
      </c>
      <c r="Z31" s="10">
        <v>86.28</v>
      </c>
      <c r="AA31" s="10">
        <v>88.55</v>
      </c>
      <c r="AB31" s="95">
        <v>15718500</v>
      </c>
      <c r="AC31" s="10">
        <v>88.55</v>
      </c>
      <c r="AD31" s="40">
        <f t="shared" si="1"/>
        <v>2.5699999999999932</v>
      </c>
      <c r="AE31" s="162">
        <f t="shared" si="2"/>
        <v>2.3108030040439154E-2</v>
      </c>
    </row>
    <row r="32" spans="1:31" ht="15.75" thickBot="1" x14ac:dyDescent="0.3">
      <c r="A32" s="359" t="s">
        <v>204</v>
      </c>
      <c r="B32" s="360"/>
      <c r="C32" s="361">
        <f>SumByColor($A$32,C2:C30)</f>
        <v>175</v>
      </c>
      <c r="D32" s="361"/>
      <c r="E32" s="361"/>
      <c r="F32" s="362">
        <f>SumByColor($A$32,F2:F30)</f>
        <v>15264</v>
      </c>
      <c r="G32" s="361"/>
      <c r="H32" s="361">
        <f>SumByColor($A$32,H2:H30)</f>
        <v>175</v>
      </c>
      <c r="I32" s="361"/>
      <c r="J32" s="361"/>
      <c r="K32" s="362">
        <f>SumByColor($A$32,K2:K30)</f>
        <v>15620</v>
      </c>
      <c r="L32" s="361"/>
      <c r="M32" s="362">
        <f>SumByColor($A$32,M2:M30)</f>
        <v>0</v>
      </c>
      <c r="W32" s="133">
        <v>42573</v>
      </c>
      <c r="X32" s="10">
        <v>87.32</v>
      </c>
      <c r="Y32" s="10">
        <v>87.44</v>
      </c>
      <c r="Z32" s="10">
        <v>86.32</v>
      </c>
      <c r="AA32" s="10">
        <v>86.55</v>
      </c>
      <c r="AB32" s="95">
        <v>7374700</v>
      </c>
      <c r="AC32" s="10">
        <v>86.55</v>
      </c>
      <c r="AD32" s="40">
        <f t="shared" si="1"/>
        <v>1.1200000000000045</v>
      </c>
      <c r="AE32" s="162">
        <f t="shared" si="2"/>
        <v>-7.909215955983484E-3</v>
      </c>
    </row>
    <row r="33" spans="1:31" x14ac:dyDescent="0.25">
      <c r="W33" s="133">
        <v>42572</v>
      </c>
      <c r="X33" s="10">
        <v>87.16</v>
      </c>
      <c r="Y33" s="10">
        <v>87.83</v>
      </c>
      <c r="Z33" s="10">
        <v>86.3</v>
      </c>
      <c r="AA33" s="10">
        <v>87.24</v>
      </c>
      <c r="AB33" s="95">
        <v>9453400</v>
      </c>
      <c r="AC33" s="10">
        <v>87.24</v>
      </c>
      <c r="AD33" s="40">
        <f t="shared" si="1"/>
        <v>1.5300000000000011</v>
      </c>
      <c r="AE33" s="162">
        <f t="shared" si="2"/>
        <v>6.6928225248095163E-3</v>
      </c>
    </row>
    <row r="34" spans="1:31" x14ac:dyDescent="0.25">
      <c r="W34" s="133">
        <v>42571</v>
      </c>
      <c r="X34" s="10">
        <v>85.46</v>
      </c>
      <c r="Y34" s="10">
        <v>87.12</v>
      </c>
      <c r="Z34" s="10">
        <v>85.1</v>
      </c>
      <c r="AA34" s="10">
        <v>86.66</v>
      </c>
      <c r="AB34" s="95">
        <v>9055900</v>
      </c>
      <c r="AC34" s="10">
        <v>86.66</v>
      </c>
      <c r="AD34" s="40">
        <f t="shared" si="1"/>
        <v>2.0200000000000102</v>
      </c>
      <c r="AE34" s="162">
        <f t="shared" si="2"/>
        <v>1.4279026217228541E-2</v>
      </c>
    </row>
    <row r="35" spans="1:31" x14ac:dyDescent="0.25">
      <c r="W35" s="133">
        <v>42570</v>
      </c>
      <c r="X35" s="10">
        <v>86.5</v>
      </c>
      <c r="Y35" s="10">
        <v>86.96</v>
      </c>
      <c r="Z35" s="10">
        <v>85.28</v>
      </c>
      <c r="AA35" s="10">
        <v>85.44</v>
      </c>
      <c r="AB35" s="95">
        <v>9832800</v>
      </c>
      <c r="AC35" s="10">
        <v>85.44</v>
      </c>
      <c r="AD35" s="40">
        <f t="shared" si="1"/>
        <v>1.6799999999999926</v>
      </c>
      <c r="AE35" s="162">
        <f t="shared" si="2"/>
        <v>-1.7140227769469774E-2</v>
      </c>
    </row>
    <row r="36" spans="1:31" x14ac:dyDescent="0.25">
      <c r="W36" s="133">
        <v>42569</v>
      </c>
      <c r="X36" s="10">
        <v>86.94</v>
      </c>
      <c r="Y36" s="10">
        <v>87.34</v>
      </c>
      <c r="Z36" s="10">
        <v>86.47</v>
      </c>
      <c r="AA36" s="10">
        <v>86.93</v>
      </c>
      <c r="AB36" s="95">
        <v>6788300</v>
      </c>
      <c r="AC36" s="10">
        <v>86.93</v>
      </c>
      <c r="AD36" s="40">
        <f t="shared" si="1"/>
        <v>0.87000000000000455</v>
      </c>
      <c r="AE36" s="162">
        <f t="shared" si="2"/>
        <v>2.9998846198224793E-3</v>
      </c>
    </row>
    <row r="37" spans="1:31" x14ac:dyDescent="0.25">
      <c r="W37" s="133">
        <v>42566</v>
      </c>
      <c r="X37" s="10">
        <v>85.67</v>
      </c>
      <c r="Y37" s="10">
        <v>87.96</v>
      </c>
      <c r="Z37" s="10">
        <v>85.54</v>
      </c>
      <c r="AA37" s="10">
        <v>86.67</v>
      </c>
      <c r="AB37" s="95">
        <v>11483300</v>
      </c>
      <c r="AC37" s="10">
        <v>86.67</v>
      </c>
      <c r="AD37" s="40">
        <f t="shared" si="1"/>
        <v>2.4199999999999875</v>
      </c>
      <c r="AE37" s="162">
        <f t="shared" si="2"/>
        <v>1.3210194061257896E-2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42565</v>
      </c>
      <c r="X38" s="10">
        <v>86.43</v>
      </c>
      <c r="Y38" s="10">
        <v>86.51</v>
      </c>
      <c r="Z38" s="10">
        <v>85.27</v>
      </c>
      <c r="AA38" s="10">
        <v>85.54</v>
      </c>
      <c r="AB38" s="95">
        <v>8104400</v>
      </c>
      <c r="AC38" s="10">
        <v>85.54</v>
      </c>
      <c r="AD38" s="40">
        <f t="shared" si="1"/>
        <v>1.2400000000000091</v>
      </c>
      <c r="AE38" s="162">
        <f t="shared" si="2"/>
        <v>-2.448979591836653E-3</v>
      </c>
    </row>
    <row r="39" spans="1:31" x14ac:dyDescent="0.25">
      <c r="A39" s="8"/>
      <c r="B39" s="191" t="s">
        <v>114</v>
      </c>
      <c r="C39" s="191" t="s">
        <v>150</v>
      </c>
      <c r="D39" s="192" t="s">
        <v>149</v>
      </c>
      <c r="E39" s="194" t="s">
        <v>151</v>
      </c>
      <c r="F39" s="195" t="s">
        <v>65</v>
      </c>
      <c r="G39" s="229" t="s">
        <v>155</v>
      </c>
      <c r="H39" s="195" t="s">
        <v>88</v>
      </c>
      <c r="I39" s="195" t="s">
        <v>161</v>
      </c>
      <c r="J39" s="8"/>
      <c r="K39" s="8"/>
      <c r="L39" s="8"/>
      <c r="M39" s="8"/>
      <c r="W39" s="133">
        <v>42564</v>
      </c>
      <c r="X39" s="10">
        <v>86.71</v>
      </c>
      <c r="Y39" s="10">
        <v>87.08</v>
      </c>
      <c r="Z39" s="10">
        <v>85.72</v>
      </c>
      <c r="AA39" s="10">
        <v>85.75</v>
      </c>
      <c r="AB39" s="95">
        <v>8334400</v>
      </c>
      <c r="AC39" s="10">
        <v>85.75</v>
      </c>
      <c r="AD39" s="40">
        <f t="shared" si="1"/>
        <v>1.3599999999999994</v>
      </c>
      <c r="AE39" s="162">
        <f t="shared" si="2"/>
        <v>-1.0158143830081956E-2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4"/>
      <c r="W40" s="133">
        <v>42563</v>
      </c>
      <c r="X40" s="10">
        <v>86.82</v>
      </c>
      <c r="Y40" s="10">
        <v>87.31</v>
      </c>
      <c r="Z40" s="10">
        <v>86.48</v>
      </c>
      <c r="AA40" s="10">
        <v>86.63</v>
      </c>
      <c r="AB40" s="95">
        <v>7857700</v>
      </c>
      <c r="AC40" s="10">
        <v>86.63</v>
      </c>
      <c r="AD40" s="40">
        <f t="shared" si="1"/>
        <v>0.82999999999999829</v>
      </c>
      <c r="AE40" s="162">
        <f t="shared" si="2"/>
        <v>4.4057971014492825E-3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3">C41*(E41-D41)</f>
        <v>103.99999999999991</v>
      </c>
      <c r="G41" s="40">
        <f t="shared" ref="G41:G49" si="4">D41*C41</f>
        <v>2555</v>
      </c>
      <c r="H41" s="231">
        <f t="shared" ref="H41:H49" si="5">(E41-D41)/D41</f>
        <v>4.070450097847355E-2</v>
      </c>
      <c r="I41" s="354"/>
      <c r="W41" s="133">
        <v>42562</v>
      </c>
      <c r="X41" s="10">
        <v>86.56</v>
      </c>
      <c r="Y41" s="10">
        <v>87.23</v>
      </c>
      <c r="Z41" s="10">
        <v>86.09</v>
      </c>
      <c r="AA41" s="10">
        <v>86.25</v>
      </c>
      <c r="AB41" s="95">
        <v>7453900</v>
      </c>
      <c r="AC41" s="10">
        <v>86.25</v>
      </c>
      <c r="AD41" s="40">
        <f t="shared" si="1"/>
        <v>1.1400000000000006</v>
      </c>
      <c r="AE41" s="162">
        <f t="shared" si="2"/>
        <v>-3.4662045060658286E-3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3"/>
        <v>-54.250000000000043</v>
      </c>
      <c r="G42" s="40">
        <f t="shared" si="4"/>
        <v>2555</v>
      </c>
      <c r="H42" s="231">
        <f t="shared" si="5"/>
        <v>-2.1232876712328784E-2</v>
      </c>
      <c r="I42" s="354"/>
      <c r="O42" s="545" t="s">
        <v>78</v>
      </c>
      <c r="P42" s="545"/>
      <c r="T42" s="91" t="s">
        <v>113</v>
      </c>
      <c r="W42" s="133">
        <v>42559</v>
      </c>
      <c r="X42" s="10">
        <v>85.96</v>
      </c>
      <c r="Y42" s="10">
        <v>86.94</v>
      </c>
      <c r="Z42" s="10">
        <v>85.73</v>
      </c>
      <c r="AA42" s="10">
        <v>86.55</v>
      </c>
      <c r="AB42" s="95">
        <v>7628800</v>
      </c>
      <c r="AC42" s="10">
        <v>86.55</v>
      </c>
      <c r="AD42" s="40">
        <f t="shared" si="1"/>
        <v>1.2099999999999937</v>
      </c>
      <c r="AE42" s="162">
        <f t="shared" si="2"/>
        <v>1.263601263601255E-2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3"/>
        <v>16.499999999999915</v>
      </c>
      <c r="G43" s="40">
        <f t="shared" si="4"/>
        <v>2555</v>
      </c>
      <c r="H43" s="231">
        <f t="shared" si="5"/>
        <v>6.4579256360077939E-3</v>
      </c>
      <c r="I43" s="354"/>
      <c r="O43" s="83">
        <v>1.1000000000000001</v>
      </c>
      <c r="P43" s="83">
        <f>O43*$Q$4</f>
        <v>85.668000000000006</v>
      </c>
      <c r="Q43" s="2"/>
      <c r="T43" s="128" t="s">
        <v>98</v>
      </c>
      <c r="U43" s="98">
        <v>77.42</v>
      </c>
      <c r="W43" s="133">
        <v>42558</v>
      </c>
      <c r="X43" s="10">
        <v>85.9</v>
      </c>
      <c r="Y43" s="10">
        <v>86.26</v>
      </c>
      <c r="Z43" s="10">
        <v>84.77</v>
      </c>
      <c r="AA43" s="10">
        <v>85.47</v>
      </c>
      <c r="AB43" s="95">
        <v>6764500</v>
      </c>
      <c r="AC43" s="10">
        <v>85.47</v>
      </c>
      <c r="AD43" s="40">
        <f t="shared" si="1"/>
        <v>1.4900000000000091</v>
      </c>
      <c r="AE43" s="162">
        <f t="shared" si="2"/>
        <v>-3.0327773241572986E-3</v>
      </c>
    </row>
    <row r="44" spans="1:31" x14ac:dyDescent="0.25">
      <c r="B44" s="193">
        <v>42376</v>
      </c>
      <c r="C44" s="453">
        <v>50</v>
      </c>
      <c r="D44" s="459">
        <v>99.13</v>
      </c>
      <c r="E44" s="339">
        <v>96.25</v>
      </c>
      <c r="F44" s="40">
        <f t="shared" si="3"/>
        <v>-143.99999999999977</v>
      </c>
      <c r="G44" s="40">
        <f t="shared" si="4"/>
        <v>4956.5</v>
      </c>
      <c r="H44" s="231">
        <f t="shared" si="5"/>
        <v>-2.9052759003328918E-2</v>
      </c>
      <c r="I44" s="354"/>
      <c r="O44" s="83">
        <v>1.0900000000000001</v>
      </c>
      <c r="P44" s="83">
        <f t="shared" ref="P44:P63" si="6">O44*$Q$4</f>
        <v>84.889200000000002</v>
      </c>
      <c r="Q44" s="2"/>
      <c r="T44" s="93" t="s">
        <v>99</v>
      </c>
      <c r="U44" s="88">
        <v>77.62</v>
      </c>
      <c r="W44" s="133">
        <v>42557</v>
      </c>
      <c r="X44" s="10">
        <v>83.64</v>
      </c>
      <c r="Y44" s="10">
        <v>85.91</v>
      </c>
      <c r="Z44" s="10">
        <v>83.33</v>
      </c>
      <c r="AA44" s="10">
        <v>85.73</v>
      </c>
      <c r="AB44" s="95">
        <v>9683800</v>
      </c>
      <c r="AC44" s="10">
        <v>85.73</v>
      </c>
      <c r="AD44" s="40">
        <f t="shared" si="1"/>
        <v>2.5799999999999983</v>
      </c>
      <c r="AE44" s="162">
        <f t="shared" si="2"/>
        <v>2.1933484324710983E-2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3"/>
        <v>-819.60000000000059</v>
      </c>
      <c r="G45" s="40">
        <f t="shared" si="4"/>
        <v>5782.2000000000007</v>
      </c>
      <c r="H45" s="231">
        <f t="shared" si="5"/>
        <v>-0.14174535643872585</v>
      </c>
      <c r="I45" s="354"/>
      <c r="O45" s="83">
        <v>1.08</v>
      </c>
      <c r="P45" s="83">
        <f t="shared" si="6"/>
        <v>84.110399999999998</v>
      </c>
      <c r="Q45" s="2"/>
      <c r="T45" s="93" t="s">
        <v>100</v>
      </c>
      <c r="U45" s="88" t="s">
        <v>457</v>
      </c>
      <c r="W45" s="133">
        <v>42556</v>
      </c>
      <c r="X45" s="10">
        <v>84.68</v>
      </c>
      <c r="Y45" s="10">
        <v>85.16</v>
      </c>
      <c r="Z45" s="10">
        <v>83.51</v>
      </c>
      <c r="AA45" s="10">
        <v>83.89</v>
      </c>
      <c r="AB45" s="95">
        <v>7621700</v>
      </c>
      <c r="AC45" s="10">
        <v>83.89</v>
      </c>
      <c r="AD45" s="40">
        <f t="shared" si="1"/>
        <v>1.6499999999999915</v>
      </c>
      <c r="AE45" s="162">
        <f t="shared" si="2"/>
        <v>-1.1430591562573644E-2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3"/>
        <v>-539</v>
      </c>
      <c r="G46" s="40">
        <f t="shared" si="4"/>
        <v>4901.5</v>
      </c>
      <c r="H46" s="231">
        <f t="shared" si="5"/>
        <v>-0.10996633683566256</v>
      </c>
      <c r="I46" s="354"/>
      <c r="O46" s="83">
        <v>1.07</v>
      </c>
      <c r="P46" s="83">
        <f t="shared" si="6"/>
        <v>83.331599999999995</v>
      </c>
      <c r="Q46" s="2"/>
      <c r="T46" s="93" t="s">
        <v>101</v>
      </c>
      <c r="U46" s="88" t="s">
        <v>458</v>
      </c>
      <c r="W46" s="133">
        <v>42552</v>
      </c>
      <c r="X46" s="10">
        <v>83.15</v>
      </c>
      <c r="Y46" s="10">
        <v>85.3</v>
      </c>
      <c r="Z46" s="10">
        <v>82.75</v>
      </c>
      <c r="AA46" s="10">
        <v>84.86</v>
      </c>
      <c r="AB46" s="95">
        <v>8336300</v>
      </c>
      <c r="AC46" s="10">
        <v>84.86</v>
      </c>
      <c r="AD46" s="40">
        <f t="shared" si="1"/>
        <v>2.5499999999999972</v>
      </c>
      <c r="AE46" s="162">
        <f t="shared" si="2"/>
        <v>1.7262047470630426E-2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3"/>
        <v>-500.5000000000004</v>
      </c>
      <c r="G47" s="40">
        <f t="shared" si="4"/>
        <v>6662.6</v>
      </c>
      <c r="H47" s="232">
        <f t="shared" si="5"/>
        <v>-7.5120823702458553E-2</v>
      </c>
      <c r="I47" s="355"/>
      <c r="O47" s="83">
        <v>1.06</v>
      </c>
      <c r="P47" s="83">
        <f t="shared" si="6"/>
        <v>82.552800000000005</v>
      </c>
      <c r="Q47" s="2"/>
      <c r="T47" s="93" t="s">
        <v>102</v>
      </c>
      <c r="U47" s="88">
        <v>105.53</v>
      </c>
      <c r="W47" s="133">
        <v>42551</v>
      </c>
      <c r="X47" s="10">
        <v>82.27</v>
      </c>
      <c r="Y47" s="10">
        <v>83.42</v>
      </c>
      <c r="Z47" s="10">
        <v>81.53</v>
      </c>
      <c r="AA47" s="10">
        <v>83.42</v>
      </c>
      <c r="AB47" s="95">
        <v>9706500</v>
      </c>
      <c r="AC47" s="10">
        <v>83.42</v>
      </c>
      <c r="AD47" s="40">
        <f t="shared" si="1"/>
        <v>1.8900000000000006</v>
      </c>
      <c r="AE47" s="162">
        <f t="shared" si="2"/>
        <v>1.3978363923666137E-2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3"/>
        <v>-384.30000000000064</v>
      </c>
      <c r="G48" s="40">
        <f t="shared" si="4"/>
        <v>6662.6</v>
      </c>
      <c r="H48" s="232">
        <f t="shared" si="5"/>
        <v>-5.7680184912796896E-2</v>
      </c>
      <c r="I48" s="355"/>
      <c r="O48" s="83">
        <v>1.05</v>
      </c>
      <c r="P48" s="83">
        <f t="shared" si="6"/>
        <v>81.774000000000001</v>
      </c>
      <c r="Q48" s="2"/>
      <c r="T48" s="93" t="s">
        <v>103</v>
      </c>
      <c r="U48" s="88">
        <v>1.0005500000000001</v>
      </c>
      <c r="W48" s="133">
        <v>42550</v>
      </c>
      <c r="X48" s="10">
        <v>83.39</v>
      </c>
      <c r="Y48" s="10">
        <v>83.46</v>
      </c>
      <c r="Z48" s="10">
        <v>81.75</v>
      </c>
      <c r="AA48" s="10">
        <v>82.27</v>
      </c>
      <c r="AB48" s="95">
        <v>10452600</v>
      </c>
      <c r="AC48" s="10">
        <v>82.27</v>
      </c>
      <c r="AD48" s="40">
        <f t="shared" si="1"/>
        <v>1.7099999999999937</v>
      </c>
      <c r="AE48" s="162">
        <f t="shared" si="2"/>
        <v>-4.8596768314912442E-4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3"/>
        <v>-446.6000000000007</v>
      </c>
      <c r="G49" s="40">
        <f t="shared" si="4"/>
        <v>6662.6</v>
      </c>
      <c r="H49" s="232">
        <f t="shared" si="5"/>
        <v>-6.7030888842193839E-2</v>
      </c>
      <c r="I49" s="355"/>
      <c r="O49" s="83">
        <v>1.04</v>
      </c>
      <c r="P49" s="83">
        <f t="shared" si="6"/>
        <v>80.995199999999997</v>
      </c>
      <c r="Q49" s="2"/>
      <c r="T49" s="93" t="s">
        <v>123</v>
      </c>
      <c r="U49" s="88" t="s">
        <v>312</v>
      </c>
      <c r="W49" s="133">
        <v>42549</v>
      </c>
      <c r="X49" s="10">
        <v>79.67</v>
      </c>
      <c r="Y49" s="10">
        <v>82.42</v>
      </c>
      <c r="Z49" s="10">
        <v>79.45</v>
      </c>
      <c r="AA49" s="10">
        <v>82.31</v>
      </c>
      <c r="AB49" s="95">
        <v>14751000</v>
      </c>
      <c r="AC49" s="10">
        <v>82.31</v>
      </c>
      <c r="AD49" s="40">
        <f t="shared" si="1"/>
        <v>2.9699999999999989</v>
      </c>
      <c r="AE49" s="162">
        <f t="shared" si="2"/>
        <v>5.1884984025559078E-2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7">D50*C50</f>
        <v>6662.32</v>
      </c>
      <c r="H50" s="232">
        <f t="shared" ref="H50:H67" si="8">(E50-D50)/D50</f>
        <v>-5.1441539884004378E-2</v>
      </c>
      <c r="I50" s="355"/>
      <c r="O50" s="83">
        <v>1.03</v>
      </c>
      <c r="P50" s="83">
        <f t="shared" si="6"/>
        <v>80.216399999999993</v>
      </c>
      <c r="Q50" s="2"/>
      <c r="T50" s="93"/>
      <c r="U50" s="88"/>
      <c r="W50" s="133">
        <v>42548</v>
      </c>
      <c r="X50" s="10">
        <v>79.900000000000006</v>
      </c>
      <c r="Y50" s="10">
        <v>80.47</v>
      </c>
      <c r="Z50" s="10">
        <v>77.92</v>
      </c>
      <c r="AA50" s="10">
        <v>78.25</v>
      </c>
      <c r="AB50" s="95">
        <v>11724000</v>
      </c>
      <c r="AC50" s="10">
        <v>78.25</v>
      </c>
      <c r="AD50" s="40">
        <f t="shared" si="1"/>
        <v>2.5499999999999972</v>
      </c>
      <c r="AE50" s="162">
        <f t="shared" si="2"/>
        <v>-2.7587920964334489E-2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7"/>
        <v>4850.55</v>
      </c>
      <c r="H51" s="232">
        <f t="shared" si="8"/>
        <v>-6.6188370390986517E-2</v>
      </c>
      <c r="I51" s="355"/>
      <c r="O51" s="83">
        <v>1.02</v>
      </c>
      <c r="P51" s="83">
        <f t="shared" si="6"/>
        <v>79.437600000000003</v>
      </c>
      <c r="Q51" s="2"/>
      <c r="T51" s="93" t="s">
        <v>105</v>
      </c>
      <c r="U51" s="88" t="s">
        <v>459</v>
      </c>
      <c r="W51" s="133">
        <v>42545</v>
      </c>
      <c r="X51" s="10">
        <v>81.17</v>
      </c>
      <c r="Y51" s="10">
        <v>82.25</v>
      </c>
      <c r="Z51" s="10">
        <v>80.22</v>
      </c>
      <c r="AA51" s="10">
        <v>80.47</v>
      </c>
      <c r="AB51" s="95">
        <v>12438000</v>
      </c>
      <c r="AC51" s="10">
        <v>80.47</v>
      </c>
      <c r="AD51" s="40">
        <f t="shared" si="1"/>
        <v>2.0300000000000011</v>
      </c>
      <c r="AE51" s="162">
        <f t="shared" si="2"/>
        <v>-3.4784694734317001E-2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7"/>
        <v>4850.55</v>
      </c>
      <c r="H52" s="232">
        <f t="shared" si="8"/>
        <v>-3.3923988001360636E-2</v>
      </c>
      <c r="I52" s="355"/>
      <c r="O52" s="83">
        <v>1.01</v>
      </c>
      <c r="P52" s="83">
        <f t="shared" si="6"/>
        <v>78.658799999999999</v>
      </c>
      <c r="Q52" s="2"/>
      <c r="T52" s="93" t="s">
        <v>106</v>
      </c>
      <c r="U52" s="88" t="s">
        <v>460</v>
      </c>
      <c r="W52" s="133">
        <v>42544</v>
      </c>
      <c r="X52" s="10">
        <v>83.29</v>
      </c>
      <c r="Y52" s="10">
        <v>83.58</v>
      </c>
      <c r="Z52" s="10">
        <v>82.54</v>
      </c>
      <c r="AA52" s="10">
        <v>83.37</v>
      </c>
      <c r="AB52" s="95">
        <v>5844000</v>
      </c>
      <c r="AC52" s="10">
        <v>83.37</v>
      </c>
      <c r="AD52" s="40">
        <f t="shared" si="1"/>
        <v>1.039999999999992</v>
      </c>
      <c r="AE52" s="162">
        <f t="shared" si="2"/>
        <v>1.1158277744087286E-2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9">C53*(E53-D53)</f>
        <v>-221.95000000000036</v>
      </c>
      <c r="G53" s="40">
        <f t="shared" si="7"/>
        <v>4820.4500000000007</v>
      </c>
      <c r="H53" s="232">
        <f t="shared" si="8"/>
        <v>-4.604341918285644E-2</v>
      </c>
      <c r="I53" s="355" t="s">
        <v>195</v>
      </c>
      <c r="O53" s="83">
        <v>1</v>
      </c>
      <c r="P53" s="83">
        <f t="shared" si="6"/>
        <v>77.88</v>
      </c>
      <c r="Q53" s="2"/>
      <c r="T53" s="93" t="s">
        <v>107</v>
      </c>
      <c r="U53" s="90">
        <v>7956223</v>
      </c>
      <c r="W53" s="133">
        <v>42543</v>
      </c>
      <c r="X53" s="10">
        <v>81.56</v>
      </c>
      <c r="Y53" s="10">
        <v>83.79</v>
      </c>
      <c r="Z53" s="10">
        <v>81.56</v>
      </c>
      <c r="AA53" s="10">
        <v>82.45</v>
      </c>
      <c r="AB53" s="95">
        <v>10069600</v>
      </c>
      <c r="AC53" s="10">
        <v>82.45</v>
      </c>
      <c r="AD53" s="40">
        <f t="shared" si="1"/>
        <v>2.230000000000004</v>
      </c>
      <c r="AE53" s="162">
        <f t="shared" si="2"/>
        <v>8.0694461425601105E-3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9"/>
        <v>-15.950000000000131</v>
      </c>
      <c r="G54" s="40">
        <f t="shared" si="7"/>
        <v>4820.4500000000007</v>
      </c>
      <c r="H54" s="232">
        <f t="shared" si="8"/>
        <v>-3.3088197160016449E-3</v>
      </c>
      <c r="I54" s="355"/>
      <c r="O54" s="83">
        <v>0.99</v>
      </c>
      <c r="P54" s="83">
        <f t="shared" si="6"/>
        <v>77.101199999999992</v>
      </c>
      <c r="Q54" s="2"/>
      <c r="T54" s="93" t="s">
        <v>110</v>
      </c>
      <c r="U54" s="90">
        <v>10268700</v>
      </c>
      <c r="W54" s="133">
        <v>42542</v>
      </c>
      <c r="X54" s="10">
        <v>83.35</v>
      </c>
      <c r="Y54" s="10">
        <v>83.44</v>
      </c>
      <c r="Z54" s="10">
        <v>81.430000000000007</v>
      </c>
      <c r="AA54" s="10">
        <v>81.790000000000006</v>
      </c>
      <c r="AB54" s="95">
        <v>8412000</v>
      </c>
      <c r="AC54" s="10">
        <v>81.790000000000006</v>
      </c>
      <c r="AD54" s="40">
        <f t="shared" si="1"/>
        <v>2.0099999999999909</v>
      </c>
      <c r="AE54" s="162">
        <f t="shared" si="2"/>
        <v>-1.4459573442583307E-2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9"/>
        <v>94.050000000000011</v>
      </c>
      <c r="G55" s="40">
        <f t="shared" si="7"/>
        <v>4820.4500000000007</v>
      </c>
      <c r="H55" s="232">
        <f t="shared" si="8"/>
        <v>1.951062660125092E-2</v>
      </c>
      <c r="I55" s="355"/>
      <c r="O55" s="83">
        <v>0.98</v>
      </c>
      <c r="P55" s="83">
        <f t="shared" si="6"/>
        <v>76.322399999999988</v>
      </c>
      <c r="Q55" s="2"/>
      <c r="T55" s="93" t="s">
        <v>108</v>
      </c>
      <c r="U55" s="88" t="s">
        <v>461</v>
      </c>
      <c r="W55" s="133">
        <v>42541</v>
      </c>
      <c r="X55" s="10">
        <v>83.26</v>
      </c>
      <c r="Y55" s="10">
        <v>84.12</v>
      </c>
      <c r="Z55" s="10">
        <v>82.9</v>
      </c>
      <c r="AA55" s="10">
        <v>82.99</v>
      </c>
      <c r="AB55" s="95">
        <v>6951800</v>
      </c>
      <c r="AC55" s="10">
        <v>82.99</v>
      </c>
      <c r="AD55" s="40">
        <f t="shared" si="1"/>
        <v>1.2199999999999989</v>
      </c>
      <c r="AE55" s="162">
        <f t="shared" si="2"/>
        <v>4.1137326073803493E-3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9"/>
        <v>145.74999999999994</v>
      </c>
      <c r="G56" s="40">
        <f t="shared" si="7"/>
        <v>2334.25</v>
      </c>
      <c r="H56" s="232">
        <f t="shared" si="8"/>
        <v>6.2439755810217393E-2</v>
      </c>
      <c r="I56" s="355"/>
      <c r="O56" s="83">
        <v>0.97</v>
      </c>
      <c r="P56" s="83">
        <f t="shared" si="6"/>
        <v>75.543599999999998</v>
      </c>
      <c r="T56" s="93" t="s">
        <v>111</v>
      </c>
      <c r="U56" s="88">
        <v>6.75</v>
      </c>
      <c r="W56" s="133">
        <v>42538</v>
      </c>
      <c r="X56" s="10">
        <v>83.68</v>
      </c>
      <c r="Y56" s="10">
        <v>84.17</v>
      </c>
      <c r="Z56" s="10">
        <v>82.53</v>
      </c>
      <c r="AA56" s="10">
        <v>82.65</v>
      </c>
      <c r="AB56" s="95">
        <v>15951300</v>
      </c>
      <c r="AC56" s="10">
        <v>82.65</v>
      </c>
      <c r="AD56" s="40">
        <f t="shared" si="1"/>
        <v>1.6400000000000006</v>
      </c>
      <c r="AE56" s="162">
        <f t="shared" si="2"/>
        <v>-1.0298167884085774E-2</v>
      </c>
    </row>
    <row r="57" spans="2:31" x14ac:dyDescent="0.25">
      <c r="B57" s="193">
        <v>42488</v>
      </c>
      <c r="C57" s="453">
        <v>50</v>
      </c>
      <c r="D57" s="459">
        <v>95.81</v>
      </c>
      <c r="E57" s="339">
        <v>97</v>
      </c>
      <c r="F57" s="40">
        <f t="shared" si="9"/>
        <v>59.499999999999886</v>
      </c>
      <c r="G57" s="40">
        <f t="shared" si="7"/>
        <v>4790.5</v>
      </c>
      <c r="H57" s="232">
        <f t="shared" si="8"/>
        <v>1.2420415405490009E-2</v>
      </c>
      <c r="I57" s="355"/>
      <c r="O57" s="83">
        <v>0.96</v>
      </c>
      <c r="P57" s="83">
        <f t="shared" si="6"/>
        <v>74.764799999999994</v>
      </c>
      <c r="T57" s="93" t="s">
        <v>112</v>
      </c>
      <c r="U57" s="88">
        <v>11.39</v>
      </c>
      <c r="W57" s="133">
        <v>42537</v>
      </c>
      <c r="X57" s="10">
        <v>82.78</v>
      </c>
      <c r="Y57" s="10">
        <v>83.7</v>
      </c>
      <c r="Z57" s="10">
        <v>82.23</v>
      </c>
      <c r="AA57" s="10">
        <v>83.51</v>
      </c>
      <c r="AB57" s="95">
        <v>6172200</v>
      </c>
      <c r="AC57" s="10">
        <v>83.51</v>
      </c>
      <c r="AD57" s="40">
        <f t="shared" si="1"/>
        <v>1.4699999999999989</v>
      </c>
      <c r="AE57" s="162">
        <f t="shared" si="2"/>
        <v>5.6599229287090935E-3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9"/>
        <v>-422.59000000000043</v>
      </c>
      <c r="G58" s="40">
        <f t="shared" si="7"/>
        <v>6597.29</v>
      </c>
      <c r="H58" s="232">
        <f t="shared" si="8"/>
        <v>-6.4055089286661704E-2</v>
      </c>
      <c r="I58" s="355"/>
      <c r="O58" s="83">
        <v>0.95</v>
      </c>
      <c r="P58" s="83">
        <f t="shared" si="6"/>
        <v>73.98599999999999</v>
      </c>
      <c r="T58" s="93" t="s">
        <v>109</v>
      </c>
      <c r="U58" s="88" t="s">
        <v>578</v>
      </c>
      <c r="W58" s="133">
        <v>42536</v>
      </c>
      <c r="X58" s="10">
        <v>84.05</v>
      </c>
      <c r="Y58" s="10">
        <v>84.44</v>
      </c>
      <c r="Z58" s="10">
        <v>82.97</v>
      </c>
      <c r="AA58" s="10">
        <v>83.04</v>
      </c>
      <c r="AB58" s="95">
        <v>7416100</v>
      </c>
      <c r="AC58" s="10">
        <v>83.04</v>
      </c>
      <c r="AD58" s="40">
        <f t="shared" si="1"/>
        <v>1.4699999999999989</v>
      </c>
      <c r="AE58" s="162">
        <f t="shared" si="2"/>
        <v>-6.3419887519443607E-3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9"/>
        <v>-461.29999999999995</v>
      </c>
      <c r="G59" s="40">
        <f t="shared" si="7"/>
        <v>9282.2999999999993</v>
      </c>
      <c r="H59" s="232">
        <f t="shared" si="8"/>
        <v>-4.9696734645508119E-2</v>
      </c>
      <c r="I59" s="355"/>
      <c r="O59" s="83">
        <v>0.94</v>
      </c>
      <c r="P59" s="83">
        <f t="shared" si="6"/>
        <v>73.207199999999986</v>
      </c>
      <c r="W59" s="133">
        <v>42535</v>
      </c>
      <c r="X59" s="10">
        <v>83.5</v>
      </c>
      <c r="Y59" s="10">
        <v>84.56</v>
      </c>
      <c r="Z59" s="10">
        <v>82.77</v>
      </c>
      <c r="AA59" s="10">
        <v>83.57</v>
      </c>
      <c r="AB59" s="95">
        <v>7488700</v>
      </c>
      <c r="AC59" s="10">
        <v>83.57</v>
      </c>
      <c r="AD59" s="40">
        <f t="shared" si="1"/>
        <v>1.7900000000000063</v>
      </c>
      <c r="AE59" s="162" t="e">
        <f t="shared" si="2"/>
        <v>#DIV/0!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9"/>
        <v>-814.29999999999859</v>
      </c>
      <c r="G60" s="40">
        <f t="shared" si="7"/>
        <v>9282.2999999999993</v>
      </c>
      <c r="H60" s="232">
        <f t="shared" si="8"/>
        <v>-8.7726102366870146E-2</v>
      </c>
      <c r="I60" s="355"/>
      <c r="O60" s="83">
        <v>0.93</v>
      </c>
      <c r="P60" s="83">
        <f t="shared" si="6"/>
        <v>72.428399999999996</v>
      </c>
      <c r="W60" s="133">
        <v>42535</v>
      </c>
      <c r="X60" s="10" t="s">
        <v>245</v>
      </c>
      <c r="Y60" s="10"/>
      <c r="Z60" s="10"/>
      <c r="AA60" s="10"/>
      <c r="AB60" s="95"/>
      <c r="AC60" s="10"/>
      <c r="AD60" s="40">
        <f t="shared" si="1"/>
        <v>0</v>
      </c>
      <c r="AE60" s="162">
        <f t="shared" si="2"/>
        <v>-1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9"/>
        <v>-1005.2999999999997</v>
      </c>
      <c r="G61" s="40">
        <f t="shared" si="7"/>
        <v>9282.2999999999993</v>
      </c>
      <c r="H61" s="232">
        <f t="shared" si="8"/>
        <v>-0.10830289906596423</v>
      </c>
      <c r="I61" s="355"/>
      <c r="O61" s="83">
        <v>0.92</v>
      </c>
      <c r="P61" s="83">
        <f t="shared" si="6"/>
        <v>71.649599999999992</v>
      </c>
      <c r="W61" s="133">
        <v>42534</v>
      </c>
      <c r="X61" s="10">
        <v>84.03</v>
      </c>
      <c r="Y61" s="10">
        <v>84.81</v>
      </c>
      <c r="Z61" s="10">
        <v>83.9</v>
      </c>
      <c r="AA61" s="10">
        <v>83.98</v>
      </c>
      <c r="AB61" s="95">
        <v>8194100</v>
      </c>
      <c r="AC61" s="10">
        <v>83.51</v>
      </c>
      <c r="AD61" s="40">
        <f t="shared" si="1"/>
        <v>0.90999999999999659</v>
      </c>
      <c r="AE61" s="162">
        <f t="shared" si="2"/>
        <v>-5.5965706120504333E-3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9"/>
        <v>-659.99999999999943</v>
      </c>
      <c r="G62" s="40">
        <f t="shared" si="7"/>
        <v>9282</v>
      </c>
      <c r="H62" s="232">
        <f t="shared" si="8"/>
        <v>-7.1105365223012224E-2</v>
      </c>
      <c r="I62" s="355"/>
      <c r="O62" s="83">
        <v>0.91</v>
      </c>
      <c r="P62" s="83">
        <f t="shared" si="6"/>
        <v>70.870800000000003</v>
      </c>
      <c r="W62" s="133">
        <v>42531</v>
      </c>
      <c r="X62" s="10">
        <v>84.98</v>
      </c>
      <c r="Y62" s="10">
        <v>85.17</v>
      </c>
      <c r="Z62" s="10">
        <v>84.08</v>
      </c>
      <c r="AA62" s="10">
        <v>84.45</v>
      </c>
      <c r="AB62" s="95">
        <v>8075200</v>
      </c>
      <c r="AC62" s="10">
        <v>83.98</v>
      </c>
      <c r="AD62" s="40">
        <f t="shared" si="1"/>
        <v>1.0900000000000034</v>
      </c>
      <c r="AE62" s="162">
        <f t="shared" si="2"/>
        <v>-1.5359362176105118E-2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9"/>
        <v>-522.29999999999995</v>
      </c>
      <c r="G63" s="40">
        <f t="shared" si="7"/>
        <v>9282.2999999999993</v>
      </c>
      <c r="H63" s="232">
        <f t="shared" si="8"/>
        <v>-5.6268381758831316E-2</v>
      </c>
      <c r="I63" s="355"/>
      <c r="O63" s="83">
        <v>0.9</v>
      </c>
      <c r="P63" s="83">
        <f t="shared" si="6"/>
        <v>70.091999999999999</v>
      </c>
      <c r="W63" s="133">
        <v>42530</v>
      </c>
      <c r="X63" s="10">
        <v>86.92</v>
      </c>
      <c r="Y63" s="10">
        <v>87.25</v>
      </c>
      <c r="Z63" s="10">
        <v>85.65</v>
      </c>
      <c r="AA63" s="10">
        <v>85.77</v>
      </c>
      <c r="AB63" s="95">
        <v>8083700</v>
      </c>
      <c r="AC63" s="10">
        <v>85.29</v>
      </c>
      <c r="AD63" s="40">
        <f t="shared" si="1"/>
        <v>1.5999999999999943</v>
      </c>
      <c r="AE63" s="162">
        <f t="shared" si="2"/>
        <v>-1.8865754054986805E-2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9"/>
        <v>-925</v>
      </c>
      <c r="G64" s="40">
        <f t="shared" si="7"/>
        <v>9282</v>
      </c>
      <c r="H64" s="232">
        <f t="shared" si="8"/>
        <v>-9.965524671407025E-2</v>
      </c>
      <c r="I64" s="236">
        <v>88.5</v>
      </c>
      <c r="W64" s="133">
        <v>42529</v>
      </c>
      <c r="X64" s="10">
        <v>87.52</v>
      </c>
      <c r="Y64" s="10">
        <v>88.09</v>
      </c>
      <c r="Z64" s="10">
        <v>86.82</v>
      </c>
      <c r="AA64" s="10">
        <v>87.42</v>
      </c>
      <c r="AB64" s="95">
        <v>7331600</v>
      </c>
      <c r="AC64" s="10">
        <v>86.93</v>
      </c>
      <c r="AD64" s="40">
        <f t="shared" si="1"/>
        <v>1.2700000000000102</v>
      </c>
      <c r="AE64" s="162">
        <f t="shared" si="2"/>
        <v>-9.1943454775311739E-4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9"/>
        <v>-1102.9999999999986</v>
      </c>
      <c r="G65" s="40">
        <f t="shared" si="7"/>
        <v>9282</v>
      </c>
      <c r="H65" s="232">
        <f t="shared" si="8"/>
        <v>-0.11883214824391282</v>
      </c>
      <c r="I65" s="355"/>
      <c r="W65" s="133">
        <v>42528</v>
      </c>
      <c r="X65" s="10">
        <v>87.54</v>
      </c>
      <c r="Y65" s="10">
        <v>88.24</v>
      </c>
      <c r="Z65" s="10">
        <v>86.9</v>
      </c>
      <c r="AA65" s="10">
        <v>87.5</v>
      </c>
      <c r="AB65" s="95">
        <v>7923800</v>
      </c>
      <c r="AC65" s="10">
        <v>87.01</v>
      </c>
      <c r="AD65" s="40">
        <f t="shared" si="1"/>
        <v>1.3399999999999892</v>
      </c>
      <c r="AE65" s="162">
        <f t="shared" si="2"/>
        <v>-1.147973826196691E-3</v>
      </c>
    </row>
    <row r="66" spans="2:31" x14ac:dyDescent="0.25">
      <c r="B66" s="193">
        <v>42545</v>
      </c>
      <c r="C66" s="460">
        <v>200</v>
      </c>
      <c r="D66" s="461">
        <v>86.647000000000006</v>
      </c>
      <c r="E66" s="40">
        <v>80.47</v>
      </c>
      <c r="F66" s="40">
        <f t="shared" si="9"/>
        <v>-1235.4000000000015</v>
      </c>
      <c r="G66" s="40">
        <f t="shared" si="7"/>
        <v>17329.400000000001</v>
      </c>
      <c r="H66" s="232">
        <f t="shared" si="8"/>
        <v>-7.1289254099968918E-2</v>
      </c>
      <c r="I66" s="355"/>
      <c r="W66" s="133">
        <v>42527</v>
      </c>
      <c r="X66" s="10">
        <v>86.17</v>
      </c>
      <c r="Y66" s="10">
        <v>87.87</v>
      </c>
      <c r="Z66" s="10">
        <v>86.1</v>
      </c>
      <c r="AA66" s="10">
        <v>87.6</v>
      </c>
      <c r="AB66" s="95">
        <v>8596700</v>
      </c>
      <c r="AC66" s="10">
        <v>87.11</v>
      </c>
      <c r="AD66" s="40">
        <f t="shared" si="1"/>
        <v>1.7700000000000102</v>
      </c>
      <c r="AE66" s="162">
        <f t="shared" si="2"/>
        <v>1.6808684486985026E-2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9"/>
        <v>-1679.400000000001</v>
      </c>
      <c r="G67" s="40">
        <f t="shared" si="7"/>
        <v>17329.400000000001</v>
      </c>
      <c r="H67" s="232">
        <f t="shared" si="8"/>
        <v>-9.6910452756587134E-2</v>
      </c>
      <c r="I67" s="355"/>
      <c r="W67" s="133">
        <v>42524</v>
      </c>
      <c r="X67" s="10">
        <v>86.85</v>
      </c>
      <c r="Y67" s="10">
        <v>86.98</v>
      </c>
      <c r="Z67" s="10">
        <v>85.55</v>
      </c>
      <c r="AA67" s="10">
        <v>86.15</v>
      </c>
      <c r="AB67" s="95">
        <v>7443800</v>
      </c>
      <c r="AC67" s="10">
        <v>85.67</v>
      </c>
      <c r="AD67" s="40">
        <f>Y67-Z67</f>
        <v>1.4300000000000068</v>
      </c>
      <c r="AE67" s="162">
        <f>AC67/AC68-1</f>
        <v>-6.4942595384437363E-3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0">C68*(E68-D68)</f>
        <v>-867.40000000000066</v>
      </c>
      <c r="G68" s="40">
        <f t="shared" ref="G68" si="11">D68*C68</f>
        <v>17329.400000000001</v>
      </c>
      <c r="H68" s="232">
        <f t="shared" ref="H68" si="12">(E68-D68)/D68</f>
        <v>-5.0053666024213218E-2</v>
      </c>
      <c r="I68" s="355"/>
      <c r="W68" s="133">
        <v>42523</v>
      </c>
      <c r="X68" s="10">
        <v>86.69</v>
      </c>
      <c r="Y68" s="10">
        <v>87.07</v>
      </c>
      <c r="Z68" s="10">
        <v>85.86</v>
      </c>
      <c r="AA68" s="10">
        <v>86.72</v>
      </c>
      <c r="AB68" s="95">
        <v>7281100</v>
      </c>
      <c r="AC68" s="10">
        <v>86.23</v>
      </c>
      <c r="AD68" s="40">
        <f>Y68-Z68</f>
        <v>1.2099999999999937</v>
      </c>
      <c r="AE68" s="162" t="e">
        <f>AC68/AC69-1</f>
        <v>#DIV/0!</v>
      </c>
    </row>
    <row r="69" spans="2:31" x14ac:dyDescent="0.25">
      <c r="B69" s="193">
        <v>42550</v>
      </c>
      <c r="C69" s="460">
        <v>200</v>
      </c>
      <c r="D69" s="461">
        <v>86.411500000000004</v>
      </c>
      <c r="E69" s="40">
        <v>82.27</v>
      </c>
      <c r="F69" s="40">
        <f t="shared" ref="F69:F70" si="13">C69*(E69-D69)</f>
        <v>-828.30000000000155</v>
      </c>
      <c r="G69" s="40">
        <f t="shared" ref="G69:G70" si="14">D69*C69</f>
        <v>17282.3</v>
      </c>
      <c r="H69" s="232">
        <f t="shared" ref="H69:H70" si="15">(E69-D69)/D69</f>
        <v>-4.7927648519005078E-2</v>
      </c>
      <c r="I69" s="355" t="s">
        <v>195</v>
      </c>
      <c r="W69" s="133" t="s">
        <v>122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3"/>
        <v>-422.48000000000019</v>
      </c>
      <c r="G70" s="40">
        <f t="shared" si="14"/>
        <v>8908.48</v>
      </c>
      <c r="H70" s="232">
        <f t="shared" si="15"/>
        <v>-4.7424476453895636E-2</v>
      </c>
      <c r="I70" s="355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6">C71*(E71-D71)</f>
        <v>-519.48</v>
      </c>
      <c r="G71" s="40">
        <f t="shared" ref="G71" si="17">D71*C71</f>
        <v>8908.48</v>
      </c>
      <c r="H71" s="232">
        <f t="shared" ref="H71" si="18">(E71-D71)/D71</f>
        <v>-5.8312978196055902E-2</v>
      </c>
      <c r="I71" s="355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19">C72*(E72-D72)</f>
        <v>-253.48000000000042</v>
      </c>
      <c r="G72" s="40">
        <f t="shared" ref="G72" si="20">D72*C72</f>
        <v>8908.48</v>
      </c>
      <c r="H72" s="232">
        <f t="shared" ref="H72" si="21">(E72-D72)/D72</f>
        <v>-2.8453787851575176E-2</v>
      </c>
      <c r="I72" s="355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2">C73*(E73-D73)</f>
        <v>-215.47999999999945</v>
      </c>
      <c r="G73" s="40">
        <f t="shared" ref="G73" si="23">D73*C73</f>
        <v>8908.48</v>
      </c>
      <c r="H73" s="232">
        <f t="shared" ref="H73" si="24">(E73-D73)/D73</f>
        <v>-2.4188189230934957E-2</v>
      </c>
      <c r="I73" s="355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5">C74*(E74-D74)</f>
        <v>-364.48000000000036</v>
      </c>
      <c r="G74" s="40">
        <f t="shared" ref="G74" si="26">D74*C74</f>
        <v>8908.48</v>
      </c>
      <c r="H74" s="232">
        <f t="shared" ref="H74" si="27">(E74-D74)/D74</f>
        <v>-4.0913825927655488E-2</v>
      </c>
      <c r="I74" s="355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8">C75*(E75-D75)</f>
        <v>-242.48000000000047</v>
      </c>
      <c r="G75" s="40">
        <f t="shared" ref="G75" si="29">D75*C75</f>
        <v>8908.48</v>
      </c>
      <c r="H75" s="232">
        <f t="shared" ref="H75" si="30">(E75-D75)/D75</f>
        <v>-2.7219009303495148E-2</v>
      </c>
      <c r="I75" s="355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1">C76*(E76-D76)</f>
        <v>-184.48000000000064</v>
      </c>
      <c r="G76" s="40">
        <f t="shared" ref="G76" si="32">D76*C76</f>
        <v>8908.48</v>
      </c>
      <c r="H76" s="232">
        <f t="shared" ref="H76" si="33">(E76-D76)/D76</f>
        <v>-2.0708358777255003E-2</v>
      </c>
      <c r="I76" s="355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4">C77*(E77-D77)</f>
        <v>-253.48000000000042</v>
      </c>
      <c r="G77" s="40">
        <f t="shared" ref="G77" si="35">D77*C77</f>
        <v>8908.48</v>
      </c>
      <c r="H77" s="232">
        <f t="shared" ref="H77" si="36">(E77-D77)/D77</f>
        <v>-2.8453787851575176E-2</v>
      </c>
      <c r="I77" s="485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7">C78*(E78-D78)</f>
        <v>-53.480000000000416</v>
      </c>
      <c r="G78" s="40">
        <f t="shared" ref="G78" si="38">D78*C78</f>
        <v>8908.48</v>
      </c>
      <c r="H78" s="232">
        <f t="shared" ref="H78" si="39">(E78-D78)/D78</f>
        <v>-6.0032687955746001E-3</v>
      </c>
      <c r="I78" s="355" t="s">
        <v>307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0">C79*(E79-D79)</f>
        <v>-795.27600000000064</v>
      </c>
      <c r="G79" s="40">
        <f t="shared" ref="G79:G80" si="41">D79*C79</f>
        <v>10521.276</v>
      </c>
      <c r="H79" s="232">
        <f t="shared" ref="H79:H80" si="42">(E79-D79)/D79</f>
        <v>-7.5587409740035388E-2</v>
      </c>
      <c r="I79" s="355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0"/>
        <v>-982.18499999999972</v>
      </c>
      <c r="G80" s="40">
        <f t="shared" si="41"/>
        <v>12902.684999999999</v>
      </c>
      <c r="H80" s="232">
        <f t="shared" si="42"/>
        <v>-7.6122527985454172E-2</v>
      </c>
      <c r="I80" s="355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3">C81*(E81-D81)</f>
        <v>-1067.6849999999988</v>
      </c>
      <c r="G81" s="40">
        <f t="shared" ref="G81" si="44">D81*C81</f>
        <v>12902.684999999999</v>
      </c>
      <c r="H81" s="232">
        <f t="shared" ref="H81" si="45">(E81-D81)/D81</f>
        <v>-8.2749055719797765E-2</v>
      </c>
      <c r="I81" s="355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6">C82*(E82-D82)</f>
        <v>-955.18499999999881</v>
      </c>
      <c r="G82" s="40">
        <f t="shared" ref="G82" si="47">D82*C82</f>
        <v>12902.684999999999</v>
      </c>
      <c r="H82" s="232">
        <f t="shared" ref="H82" si="48">(E82-D82)/D82</f>
        <v>-7.4029940279871892E-2</v>
      </c>
      <c r="I82" s="355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49">C83*(E83-D83)</f>
        <v>-797.68499999999915</v>
      </c>
      <c r="G83" s="40">
        <f t="shared" ref="G83" si="50">D83*C83</f>
        <v>12902.684999999999</v>
      </c>
      <c r="H83" s="232">
        <f t="shared" ref="H83" si="51">(E83-D83)/D83</f>
        <v>-6.1823178663975693E-2</v>
      </c>
      <c r="I83" s="355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2">C84*(E84-D84)</f>
        <v>-814.18499999999904</v>
      </c>
      <c r="G84" s="40">
        <f t="shared" ref="G84" si="53">D84*C84</f>
        <v>12902.684999999999</v>
      </c>
      <c r="H84" s="232">
        <f t="shared" ref="H84" si="54">(E84-D84)/D84</f>
        <v>-6.3101982261831474E-2</v>
      </c>
      <c r="I84" s="355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5">C85*(E85-D85)</f>
        <v>-752.6849999999996</v>
      </c>
      <c r="G85" s="40">
        <f t="shared" ref="G85" si="56">D85*C85</f>
        <v>12902.684999999999</v>
      </c>
      <c r="H85" s="232">
        <f t="shared" ref="H85" si="57">(E85-D85)/D85</f>
        <v>-5.8335532488005375E-2</v>
      </c>
      <c r="I85" s="355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8">C86*(E86-D86)</f>
        <v>-682.18499999999972</v>
      </c>
      <c r="G86" s="40">
        <f t="shared" ref="G86" si="59">D86*C86</f>
        <v>12902.684999999999</v>
      </c>
      <c r="H86" s="232">
        <f t="shared" ref="H86" si="60">(E86-D86)/D86</f>
        <v>-5.2871553478985173E-2</v>
      </c>
      <c r="I86" s="355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1">C87*(E87-D87)</f>
        <v>-827.6849999999996</v>
      </c>
      <c r="G87" s="40">
        <f t="shared" ref="G87" si="62">D87*C87</f>
        <v>12902.684999999999</v>
      </c>
      <c r="H87" s="232">
        <f t="shared" ref="H87" si="63">(E87-D87)/D87</f>
        <v>-6.4148276114622621E-2</v>
      </c>
      <c r="I87" s="355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4">C88*(E88-D88)</f>
        <v>-890.68499999999983</v>
      </c>
      <c r="G88" s="40">
        <f t="shared" ref="G88" si="65">D88*C88</f>
        <v>12902.684999999999</v>
      </c>
      <c r="H88" s="232">
        <f t="shared" ref="H88" si="66">(E88-D88)/D88</f>
        <v>-6.9030980760981131E-2</v>
      </c>
      <c r="I88" s="355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7">C89*(E89-D89)</f>
        <v>-927.38400000000081</v>
      </c>
      <c r="G89" s="40">
        <f t="shared" ref="G89" si="68">D89*C89</f>
        <v>14488.284</v>
      </c>
      <c r="H89" s="232">
        <f t="shared" ref="H89" si="69">(E89-D89)/D89</f>
        <v>-6.4009236704636707E-2</v>
      </c>
      <c r="I89" s="355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0">C90*(E90-D90)</f>
        <v>-1241.8839999999998</v>
      </c>
      <c r="G90" s="40">
        <f t="shared" ref="G90" si="71">D90*C90</f>
        <v>14488.284</v>
      </c>
      <c r="H90" s="232">
        <f t="shared" ref="H90" si="72">(E90-D90)/D90</f>
        <v>-8.5716431290275633E-2</v>
      </c>
      <c r="I90" s="355"/>
    </row>
    <row r="91" spans="2:9" x14ac:dyDescent="0.25">
      <c r="B91" s="193">
        <v>42614</v>
      </c>
      <c r="C91" s="10">
        <v>200</v>
      </c>
      <c r="D91" s="40">
        <v>84.093400000000003</v>
      </c>
      <c r="E91" s="40">
        <v>77.42</v>
      </c>
      <c r="F91" s="40">
        <f t="shared" ref="F91" si="73">C91*(E91-D91)</f>
        <v>-1334.6800000000003</v>
      </c>
      <c r="G91" s="40">
        <f t="shared" ref="G91" si="74">D91*C91</f>
        <v>16818.68</v>
      </c>
      <c r="H91" s="232">
        <f t="shared" ref="H91" si="75">(E91-D91)/D91</f>
        <v>-7.9357000668304534E-2</v>
      </c>
      <c r="I91" s="355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6">C92*(E92-D92)</f>
        <v>-1440.6800000000003</v>
      </c>
      <c r="G92" s="40">
        <f t="shared" ref="G92" si="77">D92*C92</f>
        <v>16818.68</v>
      </c>
      <c r="H92" s="232">
        <f t="shared" ref="H92" si="78">(E92-D92)/D92</f>
        <v>-8.5659516680262685E-2</v>
      </c>
      <c r="I92" s="355"/>
    </row>
    <row r="93" spans="2:9" x14ac:dyDescent="0.25">
      <c r="B93" s="10"/>
      <c r="C93" s="10"/>
      <c r="D93" s="40"/>
      <c r="E93" s="40"/>
      <c r="F93" s="40"/>
      <c r="G93" s="40"/>
      <c r="H93" s="232"/>
      <c r="I93" s="355"/>
    </row>
    <row r="94" spans="2:9" x14ac:dyDescent="0.25">
      <c r="B94" s="10"/>
      <c r="C94" s="10"/>
      <c r="D94" s="40"/>
      <c r="E94" s="40"/>
      <c r="F94" s="40"/>
      <c r="G94" s="40"/>
      <c r="H94" s="232"/>
      <c r="I94" s="355"/>
    </row>
    <row r="95" spans="2:9" x14ac:dyDescent="0.25">
      <c r="B95" s="10"/>
      <c r="C95" s="10"/>
      <c r="D95" s="40"/>
      <c r="E95" s="40"/>
      <c r="F95" s="40"/>
      <c r="G95" s="40"/>
      <c r="H95" s="232"/>
      <c r="I95" s="355"/>
    </row>
    <row r="96" spans="2:9" x14ac:dyDescent="0.25">
      <c r="B96" s="10"/>
      <c r="C96" s="10"/>
      <c r="D96" s="40"/>
      <c r="E96" s="40"/>
      <c r="F96" s="40"/>
      <c r="G96" s="40"/>
      <c r="H96" s="232"/>
      <c r="I96" s="355"/>
    </row>
    <row r="97" spans="2:9" x14ac:dyDescent="0.25">
      <c r="B97" s="10"/>
      <c r="C97" s="10"/>
      <c r="D97" s="40"/>
      <c r="E97" s="40"/>
      <c r="F97" s="40"/>
      <c r="G97" s="40"/>
      <c r="H97" s="232"/>
      <c r="I97" s="355"/>
    </row>
  </sheetData>
  <mergeCells count="1">
    <mergeCell ref="O42:P42"/>
  </mergeCells>
  <conditionalFormatting sqref="F50:F51 H50:I51 H52 H53:I63 H64 F55:F97 H65:I97">
    <cfRule type="expression" dxfId="124" priority="26">
      <formula>F50&gt;0</formula>
    </cfRule>
    <cfRule type="expression" dxfId="123" priority="27">
      <formula>F50&lt;0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122" priority="19">
      <formula>F47&gt;0</formula>
    </cfRule>
    <cfRule type="expression" dxfId="121" priority="20">
      <formula>F47&lt;0</formula>
    </cfRule>
  </conditionalFormatting>
  <conditionalFormatting sqref="H47:I47">
    <cfRule type="expression" dxfId="120" priority="15">
      <formula>H47&gt;0</formula>
    </cfRule>
    <cfRule type="expression" dxfId="119" priority="16">
      <formula>H47&lt;0</formula>
    </cfRule>
  </conditionalFormatting>
  <conditionalFormatting sqref="H48:I48">
    <cfRule type="expression" dxfId="118" priority="13">
      <formula>H48&gt;0</formula>
    </cfRule>
    <cfRule type="expression" dxfId="117" priority="14">
      <formula>H48&lt;0</formula>
    </cfRule>
  </conditionalFormatting>
  <conditionalFormatting sqref="H49:I49">
    <cfRule type="expression" dxfId="116" priority="11">
      <formula>H49&gt;0</formula>
    </cfRule>
    <cfRule type="expression" dxfId="115" priority="12">
      <formula>H49&lt;0</formula>
    </cfRule>
  </conditionalFormatting>
  <conditionalFormatting sqref="F40:F46">
    <cfRule type="expression" dxfId="114" priority="9">
      <formula>F40&gt;0</formula>
    </cfRule>
    <cfRule type="expression" dxfId="113" priority="10">
      <formula>F40&lt;0</formula>
    </cfRule>
  </conditionalFormatting>
  <conditionalFormatting sqref="H40:I46">
    <cfRule type="expression" dxfId="112" priority="7">
      <formula>H40&gt;0</formula>
    </cfRule>
    <cfRule type="expression" dxfId="111" priority="8">
      <formula>H40&lt;0</formula>
    </cfRule>
  </conditionalFormatting>
  <conditionalFormatting sqref="I52 F52:F54">
    <cfRule type="expression" dxfId="110" priority="5">
      <formula>F52&gt;0</formula>
    </cfRule>
    <cfRule type="expression" dxfId="109" priority="6">
      <formula>F52&lt;0</formula>
    </cfRule>
  </conditionalFormatting>
  <conditionalFormatting sqref="Q8">
    <cfRule type="expression" dxfId="108" priority="1">
      <formula>Q8&gt;0</formula>
    </cfRule>
    <cfRule type="expression" dxfId="107" priority="2">
      <formula>Q8&lt;0</formula>
    </cfRule>
  </conditionalFormatting>
  <conditionalFormatting sqref="Q7">
    <cfRule type="expression" dxfId="106" priority="3">
      <formula>Q7&gt;0</formula>
    </cfRule>
    <cfRule type="expression" dxfId="105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42615</v>
      </c>
      <c r="X2" s="10">
        <v>63.42</v>
      </c>
      <c r="Y2" s="10">
        <v>63.78</v>
      </c>
      <c r="Z2" s="10">
        <v>63.03</v>
      </c>
      <c r="AA2" s="10">
        <v>63.77</v>
      </c>
      <c r="AB2" s="95">
        <v>160700</v>
      </c>
      <c r="AC2" s="10">
        <v>63.77</v>
      </c>
      <c r="AD2" s="2">
        <f>Y2-Z2</f>
        <v>0.75</v>
      </c>
      <c r="AE2" s="138">
        <f>AC2/AC3-1</f>
        <v>1.2382917923480008E-2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62.9</v>
      </c>
      <c r="W3" s="133">
        <v>42614</v>
      </c>
      <c r="X3" s="10">
        <v>62.91</v>
      </c>
      <c r="Y3" s="10">
        <v>63.19</v>
      </c>
      <c r="Z3" s="10">
        <v>62.22</v>
      </c>
      <c r="AA3" s="10">
        <v>62.99</v>
      </c>
      <c r="AB3" s="95">
        <v>184600</v>
      </c>
      <c r="AC3" s="10">
        <v>62.99</v>
      </c>
      <c r="AD3" s="2">
        <f t="shared" ref="AD3:AD66" si="0">Y3-Z3</f>
        <v>0.96999999999999886</v>
      </c>
      <c r="AE3" s="138">
        <f t="shared" ref="AE3:AE66" si="1">AC3/AC4-1</f>
        <v>4.3048469387756416E-3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62.9</v>
      </c>
      <c r="W4" s="133">
        <v>42613</v>
      </c>
      <c r="X4" s="10">
        <v>62.96</v>
      </c>
      <c r="Y4" s="10">
        <v>63.23</v>
      </c>
      <c r="Z4" s="10">
        <v>62.44</v>
      </c>
      <c r="AA4" s="10">
        <v>62.72</v>
      </c>
      <c r="AB4" s="95">
        <v>254400</v>
      </c>
      <c r="AC4" s="10">
        <v>62.72</v>
      </c>
      <c r="AD4" s="2">
        <f t="shared" si="0"/>
        <v>0.78999999999999915</v>
      </c>
      <c r="AE4" s="138">
        <f t="shared" si="1"/>
        <v>-3.0201875695438085E-3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42612</v>
      </c>
      <c r="X5" s="10">
        <v>63</v>
      </c>
      <c r="Y5" s="10">
        <v>63.31</v>
      </c>
      <c r="Z5" s="10">
        <v>62.56</v>
      </c>
      <c r="AA5" s="10">
        <v>62.91</v>
      </c>
      <c r="AB5" s="95">
        <v>160500</v>
      </c>
      <c r="AC5" s="10">
        <v>62.91</v>
      </c>
      <c r="AD5" s="2">
        <f t="shared" si="0"/>
        <v>0.75</v>
      </c>
      <c r="AE5" s="138">
        <f t="shared" si="1"/>
        <v>-1.7454776261505156E-3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42611</v>
      </c>
      <c r="X6" s="10">
        <v>62.61</v>
      </c>
      <c r="Y6" s="10">
        <v>63.13</v>
      </c>
      <c r="Z6" s="10">
        <v>62.18</v>
      </c>
      <c r="AA6" s="10">
        <v>63.02</v>
      </c>
      <c r="AB6" s="95">
        <v>208600</v>
      </c>
      <c r="AC6" s="10">
        <v>63.02</v>
      </c>
      <c r="AD6" s="2">
        <f t="shared" si="0"/>
        <v>0.95000000000000284</v>
      </c>
      <c r="AE6" s="138">
        <f t="shared" si="1"/>
        <v>1.042167708834385E-2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187</v>
      </c>
      <c r="Q7" s="2">
        <f>Q10+Q8</f>
        <v>33.940000000000055</v>
      </c>
      <c r="R7">
        <v>0</v>
      </c>
      <c r="W7" s="133">
        <v>42608</v>
      </c>
      <c r="X7" s="10">
        <v>61.93</v>
      </c>
      <c r="Y7" s="10">
        <v>62.51</v>
      </c>
      <c r="Z7" s="10">
        <v>61.9</v>
      </c>
      <c r="AA7" s="10">
        <v>62.37</v>
      </c>
      <c r="AB7" s="95">
        <v>166900</v>
      </c>
      <c r="AC7" s="10">
        <v>62.37</v>
      </c>
      <c r="AD7" s="2">
        <f t="shared" si="0"/>
        <v>0.60999999999999943</v>
      </c>
      <c r="AE7" s="138">
        <f t="shared" si="1"/>
        <v>6.9422021310945325E-3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42607</v>
      </c>
      <c r="X8" s="10">
        <v>61.45</v>
      </c>
      <c r="Y8" s="10">
        <v>62.04</v>
      </c>
      <c r="Z8" s="10">
        <v>61.13</v>
      </c>
      <c r="AA8" s="10">
        <v>61.94</v>
      </c>
      <c r="AB8" s="95">
        <v>147800</v>
      </c>
      <c r="AC8" s="10">
        <v>61.94</v>
      </c>
      <c r="AD8" s="2">
        <f t="shared" si="0"/>
        <v>0.90999999999999659</v>
      </c>
      <c r="AE8" s="138">
        <f t="shared" si="1"/>
        <v>6.6634162197301006E-3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33">
        <v>42606</v>
      </c>
      <c r="X9" s="10">
        <v>62.11</v>
      </c>
      <c r="Y9" s="10">
        <v>62.3</v>
      </c>
      <c r="Z9" s="10">
        <v>61.34</v>
      </c>
      <c r="AA9" s="10">
        <v>61.53</v>
      </c>
      <c r="AB9" s="95">
        <v>161100</v>
      </c>
      <c r="AC9" s="10">
        <v>61.53</v>
      </c>
      <c r="AD9" s="2">
        <f t="shared" si="0"/>
        <v>0.95999999999999375</v>
      </c>
      <c r="AE9" s="138">
        <f t="shared" si="1"/>
        <v>-9.1787439613526534E-3</v>
      </c>
    </row>
    <row r="10" spans="1:31" x14ac:dyDescent="0.25">
      <c r="O10" s="11" t="s">
        <v>223</v>
      </c>
      <c r="P10" s="34"/>
      <c r="Q10" s="2">
        <f>M33</f>
        <v>33.940000000000055</v>
      </c>
      <c r="W10" s="133">
        <v>42605</v>
      </c>
      <c r="X10" s="10">
        <v>62.51</v>
      </c>
      <c r="Y10" s="10">
        <v>62.59</v>
      </c>
      <c r="Z10" s="10">
        <v>61.97</v>
      </c>
      <c r="AA10" s="10">
        <v>62.1</v>
      </c>
      <c r="AB10" s="95">
        <v>254700</v>
      </c>
      <c r="AC10" s="10">
        <v>62.1</v>
      </c>
      <c r="AD10" s="2">
        <f t="shared" si="0"/>
        <v>0.62000000000000455</v>
      </c>
      <c r="AE10" s="138">
        <f t="shared" si="1"/>
        <v>-1.6100466913537836E-4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7.0000000000000001E-3</v>
      </c>
      <c r="W11" s="133">
        <v>42604</v>
      </c>
      <c r="X11" s="10">
        <v>61.31</v>
      </c>
      <c r="Y11" s="10">
        <v>62.3</v>
      </c>
      <c r="Z11" s="10">
        <v>61.31</v>
      </c>
      <c r="AA11" s="10">
        <v>62.11</v>
      </c>
      <c r="AB11" s="95">
        <v>239100</v>
      </c>
      <c r="AC11" s="10">
        <v>62.11</v>
      </c>
      <c r="AD11" s="2">
        <f t="shared" si="0"/>
        <v>0.98999999999999488</v>
      </c>
      <c r="AE11" s="138">
        <f t="shared" si="1"/>
        <v>5.3415344771770012E-3</v>
      </c>
    </row>
    <row r="12" spans="1:31" x14ac:dyDescent="0.25">
      <c r="W12" s="133">
        <v>42601</v>
      </c>
      <c r="X12" s="10">
        <v>60.95</v>
      </c>
      <c r="Y12" s="10">
        <v>61.9</v>
      </c>
      <c r="Z12" s="10">
        <v>60.85</v>
      </c>
      <c r="AA12" s="10">
        <v>61.78</v>
      </c>
      <c r="AB12" s="95">
        <v>227100</v>
      </c>
      <c r="AC12" s="10">
        <v>61.78</v>
      </c>
      <c r="AD12" s="2">
        <f t="shared" si="0"/>
        <v>1.0499999999999972</v>
      </c>
      <c r="AE12" s="138">
        <f t="shared" si="1"/>
        <v>8.9825249060917489E-3</v>
      </c>
    </row>
    <row r="13" spans="1:31" x14ac:dyDescent="0.25">
      <c r="W13" s="133">
        <v>42600</v>
      </c>
      <c r="X13" s="10">
        <v>60.22</v>
      </c>
      <c r="Y13" s="10">
        <v>61.29</v>
      </c>
      <c r="Z13" s="10">
        <v>60.22</v>
      </c>
      <c r="AA13" s="10">
        <v>61.23</v>
      </c>
      <c r="AB13" s="95">
        <v>339800</v>
      </c>
      <c r="AC13" s="10">
        <v>61.23</v>
      </c>
      <c r="AD13" s="2">
        <f t="shared" si="0"/>
        <v>1.0700000000000003</v>
      </c>
      <c r="AE13" s="138">
        <f t="shared" si="1"/>
        <v>1.2735693020178518E-2</v>
      </c>
    </row>
    <row r="14" spans="1:31" x14ac:dyDescent="0.25">
      <c r="W14" s="133">
        <v>42599</v>
      </c>
      <c r="X14" s="10">
        <v>59.85</v>
      </c>
      <c r="Y14" s="10">
        <v>60.71</v>
      </c>
      <c r="Z14" s="10">
        <v>59.85</v>
      </c>
      <c r="AA14" s="10">
        <v>60.46</v>
      </c>
      <c r="AB14" s="95">
        <v>291200</v>
      </c>
      <c r="AC14" s="10">
        <v>60.46</v>
      </c>
      <c r="AD14" s="2">
        <f t="shared" si="0"/>
        <v>0.85999999999999943</v>
      </c>
      <c r="AE14" s="138">
        <f t="shared" si="1"/>
        <v>1.1036789297658833E-2</v>
      </c>
    </row>
    <row r="15" spans="1:31" x14ac:dyDescent="0.25">
      <c r="W15" s="133">
        <v>42598</v>
      </c>
      <c r="X15" s="10">
        <v>60.33</v>
      </c>
      <c r="Y15" s="10">
        <v>60.57</v>
      </c>
      <c r="Z15" s="10">
        <v>59.77</v>
      </c>
      <c r="AA15" s="10">
        <v>59.8</v>
      </c>
      <c r="AB15" s="95">
        <v>180500</v>
      </c>
      <c r="AC15" s="10">
        <v>59.8</v>
      </c>
      <c r="AD15" s="2">
        <f t="shared" si="0"/>
        <v>0.79999999999999716</v>
      </c>
      <c r="AE15" s="138">
        <f t="shared" si="1"/>
        <v>-9.605829744948724E-3</v>
      </c>
    </row>
    <row r="16" spans="1:31" x14ac:dyDescent="0.25">
      <c r="W16" s="133">
        <v>42597</v>
      </c>
      <c r="X16" s="10">
        <v>59.57</v>
      </c>
      <c r="Y16" s="10">
        <v>60.59</v>
      </c>
      <c r="Z16" s="10">
        <v>59.57</v>
      </c>
      <c r="AA16" s="10">
        <v>60.38</v>
      </c>
      <c r="AB16" s="95">
        <v>130600</v>
      </c>
      <c r="AC16" s="10">
        <v>60.38</v>
      </c>
      <c r="AD16" s="2">
        <f t="shared" si="0"/>
        <v>1.0200000000000031</v>
      </c>
      <c r="AE16" s="138">
        <f t="shared" si="1"/>
        <v>1.7354675652906604E-2</v>
      </c>
    </row>
    <row r="17" spans="1:31" x14ac:dyDescent="0.25">
      <c r="W17" s="133">
        <v>42594</v>
      </c>
      <c r="X17" s="10">
        <v>59.64</v>
      </c>
      <c r="Y17" s="10">
        <v>59.64</v>
      </c>
      <c r="Z17" s="10">
        <v>59.19</v>
      </c>
      <c r="AA17" s="10">
        <v>59.35</v>
      </c>
      <c r="AB17" s="95">
        <v>132900</v>
      </c>
      <c r="AC17" s="10">
        <v>59.35</v>
      </c>
      <c r="AD17" s="2">
        <f t="shared" si="0"/>
        <v>0.45000000000000284</v>
      </c>
      <c r="AE17" s="138">
        <f t="shared" si="1"/>
        <v>-5.1961112973515355E-3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42593</v>
      </c>
      <c r="X18" s="10">
        <v>59.25</v>
      </c>
      <c r="Y18" s="10">
        <v>59.86</v>
      </c>
      <c r="Z18" s="10">
        <v>59.25</v>
      </c>
      <c r="AA18" s="10">
        <v>59.66</v>
      </c>
      <c r="AB18" s="95">
        <v>172600</v>
      </c>
      <c r="AC18" s="10">
        <v>59.66</v>
      </c>
      <c r="AD18" s="2">
        <f t="shared" si="0"/>
        <v>0.60999999999999943</v>
      </c>
      <c r="AE18" s="138" t="e">
        <f t="shared" si="1"/>
        <v>#DIV/0!</v>
      </c>
    </row>
    <row r="19" spans="1:31" x14ac:dyDescent="0.25">
      <c r="W19" s="133">
        <v>42593</v>
      </c>
      <c r="X19" s="10" t="s">
        <v>189</v>
      </c>
      <c r="Y19" s="10"/>
      <c r="Z19" s="10"/>
      <c r="AA19" s="10"/>
      <c r="AB19" s="95"/>
      <c r="AC19" s="10"/>
      <c r="AD19" s="2">
        <f t="shared" si="0"/>
        <v>0</v>
      </c>
      <c r="AE19" s="138">
        <f t="shared" si="1"/>
        <v>-1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W20" s="133">
        <v>42592</v>
      </c>
      <c r="X20" s="10">
        <v>59.58</v>
      </c>
      <c r="Y20" s="10">
        <v>59.78</v>
      </c>
      <c r="Z20" s="10">
        <v>59</v>
      </c>
      <c r="AA20" s="10">
        <v>59.29</v>
      </c>
      <c r="AB20" s="95">
        <v>226700</v>
      </c>
      <c r="AC20" s="10">
        <v>59.18</v>
      </c>
      <c r="AD20" s="2">
        <f t="shared" si="0"/>
        <v>0.78000000000000114</v>
      </c>
      <c r="AE20" s="138">
        <f t="shared" si="1"/>
        <v>-4.8764082730788916E-3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42591</v>
      </c>
      <c r="X21" s="10">
        <v>59.36</v>
      </c>
      <c r="Y21" s="10">
        <v>59.77</v>
      </c>
      <c r="Z21" s="10">
        <v>58.91</v>
      </c>
      <c r="AA21" s="10">
        <v>59.58</v>
      </c>
      <c r="AB21" s="95">
        <v>235100</v>
      </c>
      <c r="AC21" s="10">
        <v>59.47</v>
      </c>
      <c r="AD21" s="2">
        <f t="shared" si="0"/>
        <v>0.86000000000000654</v>
      </c>
      <c r="AE21" s="138">
        <f t="shared" si="1"/>
        <v>6.2605752961082395E-3</v>
      </c>
    </row>
    <row r="22" spans="1:31" x14ac:dyDescent="0.25">
      <c r="B22" s="193">
        <v>42310</v>
      </c>
      <c r="C22" s="10">
        <v>0</v>
      </c>
      <c r="D22" s="202" t="s">
        <v>130</v>
      </c>
      <c r="E22" s="40">
        <v>46.15</v>
      </c>
      <c r="F22" s="40">
        <v>33.94</v>
      </c>
      <c r="W22" s="133">
        <v>42590</v>
      </c>
      <c r="X22" s="10">
        <v>58.99</v>
      </c>
      <c r="Y22" s="10">
        <v>59.45</v>
      </c>
      <c r="Z22" s="10">
        <v>58.01</v>
      </c>
      <c r="AA22" s="10">
        <v>59.21</v>
      </c>
      <c r="AB22" s="95">
        <v>223400</v>
      </c>
      <c r="AC22" s="10">
        <v>59.1</v>
      </c>
      <c r="AD22" s="2">
        <f t="shared" si="0"/>
        <v>1.4400000000000048</v>
      </c>
      <c r="AE22" s="138">
        <f t="shared" si="1"/>
        <v>4.7602856171371499E-3</v>
      </c>
    </row>
    <row r="23" spans="1:31" x14ac:dyDescent="0.25">
      <c r="B23" s="10"/>
      <c r="C23" s="10"/>
      <c r="D23" s="40"/>
      <c r="E23" s="40"/>
      <c r="F23" s="40"/>
      <c r="W23" s="133">
        <v>42587</v>
      </c>
      <c r="X23" s="10">
        <v>58.78</v>
      </c>
      <c r="Y23" s="10">
        <v>59.05</v>
      </c>
      <c r="Z23" s="10">
        <v>58.44</v>
      </c>
      <c r="AA23" s="10">
        <v>58.93</v>
      </c>
      <c r="AB23" s="95">
        <v>224700</v>
      </c>
      <c r="AC23" s="10">
        <v>58.82</v>
      </c>
      <c r="AD23" s="2">
        <f t="shared" si="0"/>
        <v>0.60999999999999943</v>
      </c>
      <c r="AE23" s="138">
        <f t="shared" si="1"/>
        <v>8.4004800274302127E-3</v>
      </c>
    </row>
    <row r="24" spans="1:31" x14ac:dyDescent="0.25">
      <c r="B24" s="10"/>
      <c r="C24" s="10"/>
      <c r="D24" s="40"/>
      <c r="E24" s="40"/>
      <c r="F24" s="40"/>
      <c r="W24" s="133">
        <v>42586</v>
      </c>
      <c r="X24" s="10">
        <v>58.04</v>
      </c>
      <c r="Y24" s="10">
        <v>58.81</v>
      </c>
      <c r="Z24" s="10">
        <v>57.73</v>
      </c>
      <c r="AA24" s="10">
        <v>58.44</v>
      </c>
      <c r="AB24" s="95">
        <v>191200</v>
      </c>
      <c r="AC24" s="10">
        <v>58.33</v>
      </c>
      <c r="AD24" s="2">
        <f t="shared" si="0"/>
        <v>1.0800000000000054</v>
      </c>
      <c r="AE24" s="138">
        <f t="shared" si="1"/>
        <v>5.3429851775248505E-3</v>
      </c>
    </row>
    <row r="25" spans="1:31" x14ac:dyDescent="0.25">
      <c r="B25" s="10"/>
      <c r="C25" s="10"/>
      <c r="D25" s="40"/>
      <c r="E25" s="40"/>
      <c r="F25" s="40"/>
      <c r="W25" s="133">
        <v>42585</v>
      </c>
      <c r="X25" s="10">
        <v>57.38</v>
      </c>
      <c r="Y25" s="10">
        <v>58.21</v>
      </c>
      <c r="Z25" s="10">
        <v>57.02</v>
      </c>
      <c r="AA25" s="10">
        <v>58.13</v>
      </c>
      <c r="AB25" s="95">
        <v>137600</v>
      </c>
      <c r="AC25" s="10">
        <v>58.02</v>
      </c>
      <c r="AD25" s="2">
        <f t="shared" si="0"/>
        <v>1.1899999999999977</v>
      </c>
      <c r="AE25" s="138">
        <f t="shared" si="1"/>
        <v>1.3626834381551323E-2</v>
      </c>
    </row>
    <row r="26" spans="1:31" x14ac:dyDescent="0.25">
      <c r="B26" s="10"/>
      <c r="C26" s="10"/>
      <c r="D26" s="40"/>
      <c r="E26" s="40"/>
      <c r="F26" s="40"/>
      <c r="W26" s="133">
        <v>42584</v>
      </c>
      <c r="X26" s="10">
        <v>58.5</v>
      </c>
      <c r="Y26" s="10">
        <v>58.8</v>
      </c>
      <c r="Z26" s="10">
        <v>57.27</v>
      </c>
      <c r="AA26" s="10">
        <v>57.35</v>
      </c>
      <c r="AB26" s="95">
        <v>162900</v>
      </c>
      <c r="AC26" s="10">
        <v>57.24</v>
      </c>
      <c r="AD26" s="2">
        <f t="shared" si="0"/>
        <v>1.529999999999994</v>
      </c>
      <c r="AE26" s="138">
        <f t="shared" si="1"/>
        <v>-1.9359259893780956E-2</v>
      </c>
    </row>
    <row r="27" spans="1:31" x14ac:dyDescent="0.25">
      <c r="B27" s="10"/>
      <c r="C27" s="10"/>
      <c r="D27" s="40"/>
      <c r="E27" s="40"/>
      <c r="F27" s="40"/>
      <c r="W27" s="133">
        <v>42583</v>
      </c>
      <c r="X27" s="10">
        <v>58.48</v>
      </c>
      <c r="Y27" s="10">
        <v>58.98</v>
      </c>
      <c r="Z27" s="10">
        <v>57.92</v>
      </c>
      <c r="AA27" s="10">
        <v>58.48</v>
      </c>
      <c r="AB27" s="95">
        <v>217900</v>
      </c>
      <c r="AC27" s="10">
        <v>58.37</v>
      </c>
      <c r="AD27" s="2">
        <f t="shared" si="0"/>
        <v>1.0599999999999952</v>
      </c>
      <c r="AE27" s="138">
        <f t="shared" si="1"/>
        <v>-1.0268697586856002E-3</v>
      </c>
    </row>
    <row r="28" spans="1:31" x14ac:dyDescent="0.25">
      <c r="B28" s="10"/>
      <c r="C28" s="10"/>
      <c r="D28" s="40"/>
      <c r="E28" s="40"/>
      <c r="F28" s="40"/>
      <c r="W28" s="133">
        <v>42580</v>
      </c>
      <c r="X28" s="10">
        <v>58.37</v>
      </c>
      <c r="Y28" s="10">
        <v>58.98</v>
      </c>
      <c r="Z28" s="10">
        <v>57.94</v>
      </c>
      <c r="AA28" s="10">
        <v>58.54</v>
      </c>
      <c r="AB28" s="95">
        <v>235400</v>
      </c>
      <c r="AC28" s="10">
        <v>58.43</v>
      </c>
      <c r="AD28" s="2">
        <f t="shared" si="0"/>
        <v>1.0399999999999991</v>
      </c>
      <c r="AE28" s="138">
        <f t="shared" si="1"/>
        <v>3.0901287553648515E-3</v>
      </c>
    </row>
    <row r="29" spans="1:31" x14ac:dyDescent="0.25">
      <c r="B29" s="10"/>
      <c r="C29" s="10"/>
      <c r="D29" s="40"/>
      <c r="E29" s="40"/>
      <c r="F29" s="40"/>
      <c r="W29" s="133">
        <v>42579</v>
      </c>
      <c r="X29" s="10">
        <v>58.53</v>
      </c>
      <c r="Y29" s="10">
        <v>58.87</v>
      </c>
      <c r="Z29" s="10">
        <v>58.18</v>
      </c>
      <c r="AA29" s="10">
        <v>58.36</v>
      </c>
      <c r="AB29" s="95">
        <v>160900</v>
      </c>
      <c r="AC29" s="10">
        <v>58.25</v>
      </c>
      <c r="AD29" s="2">
        <f t="shared" si="0"/>
        <v>0.68999999999999773</v>
      </c>
      <c r="AE29" s="138">
        <f t="shared" si="1"/>
        <v>-2.7392569765450903E-3</v>
      </c>
    </row>
    <row r="30" spans="1:31" x14ac:dyDescent="0.25">
      <c r="B30" s="10"/>
      <c r="C30" s="10"/>
      <c r="D30" s="40"/>
      <c r="E30" s="40"/>
      <c r="F30" s="40"/>
      <c r="W30" s="133">
        <v>42578</v>
      </c>
      <c r="X30" s="10">
        <v>58.46</v>
      </c>
      <c r="Y30" s="10">
        <v>58.84</v>
      </c>
      <c r="Z30" s="10">
        <v>58.21</v>
      </c>
      <c r="AA30" s="10">
        <v>58.52</v>
      </c>
      <c r="AB30" s="95">
        <v>314500</v>
      </c>
      <c r="AC30" s="10">
        <v>58.41</v>
      </c>
      <c r="AD30" s="2">
        <f t="shared" si="0"/>
        <v>0.63000000000000256</v>
      </c>
      <c r="AE30" s="138">
        <f t="shared" si="1"/>
        <v>3.4358357670503104E-3</v>
      </c>
    </row>
    <row r="31" spans="1:31" x14ac:dyDescent="0.25">
      <c r="W31" s="133">
        <v>42577</v>
      </c>
      <c r="X31" s="10">
        <v>57.58</v>
      </c>
      <c r="Y31" s="10">
        <v>58.42</v>
      </c>
      <c r="Z31" s="10">
        <v>57.58</v>
      </c>
      <c r="AA31" s="10">
        <v>58.32</v>
      </c>
      <c r="AB31" s="95">
        <v>251000</v>
      </c>
      <c r="AC31" s="10">
        <v>58.21</v>
      </c>
      <c r="AD31" s="2">
        <f t="shared" si="0"/>
        <v>0.84000000000000341</v>
      </c>
      <c r="AE31" s="138">
        <f t="shared" si="1"/>
        <v>1.0941299062174448E-2</v>
      </c>
    </row>
    <row r="32" spans="1:31" x14ac:dyDescent="0.25">
      <c r="W32" s="133">
        <v>42576</v>
      </c>
      <c r="X32" s="10">
        <v>57.9</v>
      </c>
      <c r="Y32" s="10">
        <v>58.07</v>
      </c>
      <c r="Z32" s="10">
        <v>57.59</v>
      </c>
      <c r="AA32" s="10">
        <v>57.69</v>
      </c>
      <c r="AB32" s="95">
        <v>243300</v>
      </c>
      <c r="AC32" s="10">
        <v>57.58</v>
      </c>
      <c r="AD32" s="2">
        <f t="shared" si="0"/>
        <v>0.47999999999999687</v>
      </c>
      <c r="AE32" s="138">
        <f t="shared" si="1"/>
        <v>-2.9437229437230261E-3</v>
      </c>
    </row>
    <row r="33" spans="1:31" x14ac:dyDescent="0.25">
      <c r="L33" t="s">
        <v>223</v>
      </c>
      <c r="M33" s="2">
        <f>M51+K51-F51</f>
        <v>33.940000000000055</v>
      </c>
      <c r="W33" s="133">
        <v>42573</v>
      </c>
      <c r="X33" s="10">
        <v>57.57</v>
      </c>
      <c r="Y33" s="10">
        <v>58</v>
      </c>
      <c r="Z33" s="10">
        <v>57.14</v>
      </c>
      <c r="AA33" s="10">
        <v>57.86</v>
      </c>
      <c r="AB33" s="95">
        <v>331700</v>
      </c>
      <c r="AC33" s="10">
        <v>57.75</v>
      </c>
      <c r="AD33" s="2">
        <f t="shared" si="0"/>
        <v>0.85999999999999943</v>
      </c>
      <c r="AE33" s="138">
        <f t="shared" si="1"/>
        <v>3.6496350364962904E-3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33">
        <v>42572</v>
      </c>
      <c r="X34" s="10">
        <v>58.9</v>
      </c>
      <c r="Y34" s="10">
        <v>59.85</v>
      </c>
      <c r="Z34" s="10">
        <v>57.28</v>
      </c>
      <c r="AA34" s="10">
        <v>57.65</v>
      </c>
      <c r="AB34" s="95">
        <v>420500</v>
      </c>
      <c r="AC34" s="10">
        <v>57.54</v>
      </c>
      <c r="AD34" s="2">
        <f t="shared" si="0"/>
        <v>2.5700000000000003</v>
      </c>
      <c r="AE34" s="138">
        <f t="shared" si="1"/>
        <v>-2.9843196762771917E-2</v>
      </c>
    </row>
    <row r="35" spans="1:31" x14ac:dyDescent="0.25">
      <c r="A35" s="393" t="s">
        <v>53</v>
      </c>
      <c r="B35" s="383">
        <v>42214</v>
      </c>
      <c r="C35" s="384">
        <v>15</v>
      </c>
      <c r="D35" s="385">
        <v>47.8</v>
      </c>
      <c r="E35" s="385">
        <v>0</v>
      </c>
      <c r="F35" s="385">
        <f>C35*D35</f>
        <v>717</v>
      </c>
      <c r="G35" s="383">
        <v>42313</v>
      </c>
      <c r="H35" s="385">
        <v>70</v>
      </c>
      <c r="I35" s="385">
        <v>46.15</v>
      </c>
      <c r="J35" s="385">
        <v>0.06</v>
      </c>
      <c r="K35" s="384">
        <f>I35*H35-J35</f>
        <v>3230.44</v>
      </c>
      <c r="L35" s="383">
        <v>42247</v>
      </c>
      <c r="M35" s="385">
        <v>3.5</v>
      </c>
      <c r="W35" s="133">
        <v>42571</v>
      </c>
      <c r="X35" s="10">
        <v>59.75</v>
      </c>
      <c r="Y35" s="10">
        <v>59.75</v>
      </c>
      <c r="Z35" s="10">
        <v>58.9</v>
      </c>
      <c r="AA35" s="10">
        <v>59.42</v>
      </c>
      <c r="AB35" s="95">
        <v>504400</v>
      </c>
      <c r="AC35" s="10">
        <v>59.31</v>
      </c>
      <c r="AD35" s="2">
        <f t="shared" si="0"/>
        <v>0.85000000000000142</v>
      </c>
      <c r="AE35" s="138">
        <f t="shared" si="1"/>
        <v>2.0273694880892368E-3</v>
      </c>
    </row>
    <row r="36" spans="1:31" x14ac:dyDescent="0.25">
      <c r="A36" s="394" t="s">
        <v>71</v>
      </c>
      <c r="B36" s="383">
        <v>42233</v>
      </c>
      <c r="C36" s="384">
        <v>20</v>
      </c>
      <c r="D36" s="385">
        <v>47.5</v>
      </c>
      <c r="E36" s="385">
        <v>0</v>
      </c>
      <c r="F36" s="385">
        <f>C36*D36</f>
        <v>950</v>
      </c>
      <c r="G36" s="384"/>
      <c r="H36" s="384"/>
      <c r="I36" s="384"/>
      <c r="J36" s="384"/>
      <c r="K36" s="384"/>
      <c r="L36" s="383">
        <v>42338</v>
      </c>
      <c r="M36" s="384"/>
      <c r="W36" s="133">
        <v>42570</v>
      </c>
      <c r="X36" s="10">
        <v>59.44</v>
      </c>
      <c r="Y36" s="10">
        <v>59.96</v>
      </c>
      <c r="Z36" s="10">
        <v>59.15</v>
      </c>
      <c r="AA36" s="10">
        <v>59.3</v>
      </c>
      <c r="AB36" s="95">
        <v>264900</v>
      </c>
      <c r="AC36" s="10">
        <v>59.19</v>
      </c>
      <c r="AD36" s="2">
        <f t="shared" si="0"/>
        <v>0.81000000000000227</v>
      </c>
      <c r="AE36" s="138">
        <f t="shared" si="1"/>
        <v>-1.1812352345595967E-3</v>
      </c>
    </row>
    <row r="37" spans="1:31" x14ac:dyDescent="0.25">
      <c r="A37" s="384"/>
      <c r="B37" s="383">
        <v>42269</v>
      </c>
      <c r="C37" s="384">
        <v>35</v>
      </c>
      <c r="D37" s="385">
        <v>43.8</v>
      </c>
      <c r="E37" s="385">
        <v>0</v>
      </c>
      <c r="F37" s="385">
        <f>C37*D37</f>
        <v>1533</v>
      </c>
      <c r="G37" s="384"/>
      <c r="H37" s="384"/>
      <c r="I37" s="384"/>
      <c r="J37" s="384"/>
      <c r="K37" s="384"/>
      <c r="L37" s="384"/>
      <c r="M37" s="384"/>
      <c r="W37" s="133">
        <v>42569</v>
      </c>
      <c r="X37" s="10">
        <v>59.77</v>
      </c>
      <c r="Y37" s="10">
        <v>60.25</v>
      </c>
      <c r="Z37" s="10">
        <v>59.36</v>
      </c>
      <c r="AA37" s="10">
        <v>59.37</v>
      </c>
      <c r="AB37" s="95">
        <v>303300</v>
      </c>
      <c r="AC37" s="10">
        <v>59.26</v>
      </c>
      <c r="AD37" s="2">
        <f t="shared" si="0"/>
        <v>0.89000000000000057</v>
      </c>
      <c r="AE37" s="138">
        <f t="shared" si="1"/>
        <v>-7.3701842546064489E-3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42566</v>
      </c>
      <c r="X38" s="10">
        <v>60.33</v>
      </c>
      <c r="Y38" s="10">
        <v>60.5</v>
      </c>
      <c r="Z38" s="10">
        <v>59.7</v>
      </c>
      <c r="AA38" s="10">
        <v>59.81</v>
      </c>
      <c r="AB38" s="95">
        <v>391100</v>
      </c>
      <c r="AC38" s="10">
        <v>59.7</v>
      </c>
      <c r="AD38" s="2">
        <f t="shared" si="0"/>
        <v>0.79999999999999716</v>
      </c>
      <c r="AE38" s="138">
        <f t="shared" si="1"/>
        <v>2.1823065301327382E-3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42565</v>
      </c>
      <c r="X39" s="10">
        <v>60.26</v>
      </c>
      <c r="Y39" s="10">
        <v>60.71</v>
      </c>
      <c r="Z39" s="10">
        <v>59.58</v>
      </c>
      <c r="AA39" s="10">
        <v>59.68</v>
      </c>
      <c r="AB39" s="95">
        <v>198500</v>
      </c>
      <c r="AC39" s="10">
        <v>59.57</v>
      </c>
      <c r="AD39" s="2">
        <f t="shared" si="0"/>
        <v>1.1300000000000026</v>
      </c>
      <c r="AE39" s="138">
        <f t="shared" si="1"/>
        <v>-3.1793842034805175E-3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42564</v>
      </c>
      <c r="X40" s="10">
        <v>60.26</v>
      </c>
      <c r="Y40" s="10">
        <v>60.43</v>
      </c>
      <c r="Z40" s="10">
        <v>59.68</v>
      </c>
      <c r="AA40" s="10">
        <v>59.87</v>
      </c>
      <c r="AB40" s="95">
        <v>171400</v>
      </c>
      <c r="AC40" s="10">
        <v>59.76</v>
      </c>
      <c r="AD40" s="2">
        <f t="shared" si="0"/>
        <v>0.75</v>
      </c>
      <c r="AE40" s="138">
        <f t="shared" si="1"/>
        <v>0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34"/>
      <c r="W41" s="133">
        <v>42563</v>
      </c>
      <c r="X41" s="10">
        <v>59.75</v>
      </c>
      <c r="Y41" s="10">
        <v>60.34</v>
      </c>
      <c r="Z41" s="10">
        <v>58.01</v>
      </c>
      <c r="AA41" s="10">
        <v>59.87</v>
      </c>
      <c r="AB41" s="95">
        <v>388600</v>
      </c>
      <c r="AC41" s="10">
        <v>59.76</v>
      </c>
      <c r="AD41" s="2">
        <f t="shared" si="0"/>
        <v>2.3300000000000054</v>
      </c>
      <c r="AE41" s="138">
        <f t="shared" si="1"/>
        <v>9.1185410334346795E-3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545" t="s">
        <v>78</v>
      </c>
      <c r="P42" s="545"/>
      <c r="Q42" s="34"/>
      <c r="T42" s="91" t="s">
        <v>113</v>
      </c>
      <c r="W42" s="133">
        <v>42562</v>
      </c>
      <c r="X42" s="10">
        <v>59.02</v>
      </c>
      <c r="Y42" s="10">
        <v>59.75</v>
      </c>
      <c r="Z42" s="10">
        <v>58.53</v>
      </c>
      <c r="AA42" s="10">
        <v>59.33</v>
      </c>
      <c r="AB42" s="95">
        <v>194700</v>
      </c>
      <c r="AC42" s="10">
        <v>59.22</v>
      </c>
      <c r="AD42" s="2">
        <f t="shared" si="0"/>
        <v>1.2199999999999989</v>
      </c>
      <c r="AE42" s="138">
        <f t="shared" si="1"/>
        <v>9.7186700767264433E-3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69.19</v>
      </c>
      <c r="Q43" s="34"/>
      <c r="T43" s="128" t="s">
        <v>98</v>
      </c>
      <c r="U43" s="98">
        <v>62.99</v>
      </c>
      <c r="W43" s="133">
        <v>42559</v>
      </c>
      <c r="X43" s="10">
        <v>57.68</v>
      </c>
      <c r="Y43" s="10">
        <v>58.85</v>
      </c>
      <c r="Z43" s="10">
        <v>57.42</v>
      </c>
      <c r="AA43" s="10">
        <v>58.76</v>
      </c>
      <c r="AB43" s="95">
        <v>214500</v>
      </c>
      <c r="AC43" s="10">
        <v>58.65</v>
      </c>
      <c r="AD43" s="2">
        <f t="shared" si="0"/>
        <v>1.4299999999999997</v>
      </c>
      <c r="AE43" s="138">
        <f t="shared" si="1"/>
        <v>2.7685298755913745E-2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2">O44*$Q$4</f>
        <v>68.561000000000007</v>
      </c>
      <c r="Q44" s="34"/>
      <c r="T44" s="93" t="s">
        <v>99</v>
      </c>
      <c r="U44" s="88">
        <v>63.42</v>
      </c>
      <c r="W44" s="133">
        <v>42558</v>
      </c>
      <c r="X44" s="10">
        <v>57.05</v>
      </c>
      <c r="Y44" s="10">
        <v>57.77</v>
      </c>
      <c r="Z44" s="10">
        <v>56.55</v>
      </c>
      <c r="AA44" s="10">
        <v>57.18</v>
      </c>
      <c r="AB44" s="95">
        <v>144800</v>
      </c>
      <c r="AC44" s="10">
        <v>57.07</v>
      </c>
      <c r="AD44" s="2">
        <f t="shared" si="0"/>
        <v>1.220000000000006</v>
      </c>
      <c r="AE44" s="138">
        <f t="shared" si="1"/>
        <v>6.7031222437821114E-3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2"/>
        <v>67.932000000000002</v>
      </c>
      <c r="Q45" s="34"/>
      <c r="T45" s="93" t="s">
        <v>100</v>
      </c>
      <c r="U45" s="88" t="s">
        <v>462</v>
      </c>
      <c r="W45" s="133">
        <v>42557</v>
      </c>
      <c r="X45" s="10">
        <v>56.09</v>
      </c>
      <c r="Y45" s="10">
        <v>57.36</v>
      </c>
      <c r="Z45" s="10">
        <v>56</v>
      </c>
      <c r="AA45" s="10">
        <v>56.8</v>
      </c>
      <c r="AB45" s="95">
        <v>193800</v>
      </c>
      <c r="AC45" s="10">
        <v>56.69</v>
      </c>
      <c r="AD45" s="2">
        <f t="shared" si="0"/>
        <v>1.3599999999999994</v>
      </c>
      <c r="AE45" s="138">
        <f t="shared" si="1"/>
        <v>4.6074782916887269E-3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2"/>
        <v>67.302999999999997</v>
      </c>
      <c r="Q46" s="83"/>
      <c r="T46" s="93" t="s">
        <v>101</v>
      </c>
      <c r="U46" s="88" t="s">
        <v>463</v>
      </c>
      <c r="W46" s="133">
        <v>42556</v>
      </c>
      <c r="X46" s="10">
        <v>57.33</v>
      </c>
      <c r="Y46" s="10">
        <v>57.76</v>
      </c>
      <c r="Z46" s="10">
        <v>56.13</v>
      </c>
      <c r="AA46" s="10">
        <v>56.53</v>
      </c>
      <c r="AB46" s="95">
        <v>201600</v>
      </c>
      <c r="AC46" s="10">
        <v>56.43</v>
      </c>
      <c r="AD46" s="2">
        <f t="shared" si="0"/>
        <v>1.6299999999999955</v>
      </c>
      <c r="AE46" s="138">
        <f t="shared" si="1"/>
        <v>-2.3702422145328694E-2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2"/>
        <v>66.674000000000007</v>
      </c>
      <c r="Q47" s="83"/>
      <c r="T47" s="93" t="s">
        <v>102</v>
      </c>
      <c r="U47" s="88">
        <v>61.8</v>
      </c>
      <c r="W47" s="133">
        <v>42552</v>
      </c>
      <c r="X47" s="10">
        <v>57.87</v>
      </c>
      <c r="Y47" s="10">
        <v>58.57</v>
      </c>
      <c r="Z47" s="10">
        <v>57.46</v>
      </c>
      <c r="AA47" s="10">
        <v>57.91</v>
      </c>
      <c r="AB47" s="95">
        <v>270000</v>
      </c>
      <c r="AC47" s="10">
        <v>57.8</v>
      </c>
      <c r="AD47" s="2">
        <f t="shared" si="0"/>
        <v>1.1099999999999994</v>
      </c>
      <c r="AE47" s="138">
        <f t="shared" si="1"/>
        <v>4.6932035459759103E-3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2"/>
        <v>66.045000000000002</v>
      </c>
      <c r="Q48" s="83"/>
      <c r="T48" s="93" t="s">
        <v>103</v>
      </c>
      <c r="U48" s="88">
        <v>1.30721</v>
      </c>
      <c r="W48" s="133">
        <v>42551</v>
      </c>
      <c r="X48" s="10">
        <v>56.31</v>
      </c>
      <c r="Y48" s="10">
        <v>57.67</v>
      </c>
      <c r="Z48" s="10">
        <v>55.67</v>
      </c>
      <c r="AA48" s="10">
        <v>57.64</v>
      </c>
      <c r="AB48" s="95">
        <v>274900</v>
      </c>
      <c r="AC48" s="10">
        <v>57.53</v>
      </c>
      <c r="AD48" s="2">
        <f t="shared" si="0"/>
        <v>2</v>
      </c>
      <c r="AE48" s="138">
        <f t="shared" si="1"/>
        <v>2.8055754110078546E-2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2"/>
        <v>65.415999999999997</v>
      </c>
      <c r="Q49" s="83"/>
      <c r="T49" s="93" t="s">
        <v>123</v>
      </c>
      <c r="U49" s="88" t="s">
        <v>343</v>
      </c>
      <c r="W49" s="133">
        <v>42550</v>
      </c>
      <c r="X49" s="10">
        <v>55.36</v>
      </c>
      <c r="Y49" s="10">
        <v>56.14</v>
      </c>
      <c r="Z49" s="10">
        <v>55.12</v>
      </c>
      <c r="AA49" s="10">
        <v>56.06</v>
      </c>
      <c r="AB49" s="95">
        <v>342500</v>
      </c>
      <c r="AC49" s="10">
        <v>55.96</v>
      </c>
      <c r="AD49" s="2">
        <f t="shared" si="0"/>
        <v>1.0200000000000031</v>
      </c>
      <c r="AE49" s="138">
        <f t="shared" si="1"/>
        <v>2.8487410402499691E-2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2"/>
        <v>64.787000000000006</v>
      </c>
      <c r="Q50" s="83"/>
      <c r="T50" s="93"/>
      <c r="U50" s="88"/>
      <c r="W50" s="133">
        <v>42549</v>
      </c>
      <c r="X50" s="10">
        <v>54.19</v>
      </c>
      <c r="Y50" s="10">
        <v>54.6</v>
      </c>
      <c r="Z50" s="10">
        <v>53.71</v>
      </c>
      <c r="AA50" s="10">
        <v>54.51</v>
      </c>
      <c r="AB50" s="95">
        <v>247600</v>
      </c>
      <c r="AC50" s="10">
        <v>54.41</v>
      </c>
      <c r="AD50" s="2">
        <f t="shared" si="0"/>
        <v>0.89000000000000057</v>
      </c>
      <c r="AE50" s="138">
        <f t="shared" si="1"/>
        <v>1.8532384874578645E-2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64.158000000000001</v>
      </c>
      <c r="Q51" s="83"/>
      <c r="T51" s="93" t="s">
        <v>105</v>
      </c>
      <c r="U51" s="88" t="s">
        <v>464</v>
      </c>
      <c r="W51" s="133">
        <v>42548</v>
      </c>
      <c r="X51" s="10">
        <v>54.91</v>
      </c>
      <c r="Y51" s="10">
        <v>54.95</v>
      </c>
      <c r="Z51" s="10">
        <v>53.18</v>
      </c>
      <c r="AA51" s="10">
        <v>53.52</v>
      </c>
      <c r="AB51" s="95">
        <v>400800</v>
      </c>
      <c r="AC51" s="10">
        <v>53.42</v>
      </c>
      <c r="AD51" s="2">
        <f t="shared" si="0"/>
        <v>1.7700000000000031</v>
      </c>
      <c r="AE51" s="138">
        <f t="shared" si="1"/>
        <v>-3.8689940615439955E-2</v>
      </c>
    </row>
    <row r="52" spans="1:31" x14ac:dyDescent="0.25">
      <c r="A52" s="384"/>
      <c r="B52" s="384"/>
      <c r="C52" s="384"/>
      <c r="D52" s="385"/>
      <c r="E52" s="385"/>
      <c r="F52" s="385"/>
      <c r="G52" s="384"/>
      <c r="H52" s="384"/>
      <c r="I52" s="384"/>
      <c r="J52" s="384"/>
      <c r="K52" s="384"/>
      <c r="L52" s="384"/>
      <c r="M52" s="384"/>
      <c r="O52" s="83">
        <v>1.01</v>
      </c>
      <c r="P52" s="83">
        <f t="shared" si="2"/>
        <v>63.528999999999996</v>
      </c>
      <c r="Q52" s="83"/>
      <c r="T52" s="93" t="s">
        <v>106</v>
      </c>
      <c r="U52" s="88" t="s">
        <v>465</v>
      </c>
      <c r="W52" s="133">
        <v>42545</v>
      </c>
      <c r="X52" s="10">
        <v>56.39</v>
      </c>
      <c r="Y52" s="10">
        <v>57.25</v>
      </c>
      <c r="Z52" s="10">
        <v>55.28</v>
      </c>
      <c r="AA52" s="10">
        <v>55.67</v>
      </c>
      <c r="AB52" s="95">
        <v>1579700</v>
      </c>
      <c r="AC52" s="10">
        <v>55.57</v>
      </c>
      <c r="AD52" s="2">
        <f t="shared" si="0"/>
        <v>1.9699999999999989</v>
      </c>
      <c r="AE52" s="138">
        <f t="shared" si="1"/>
        <v>-5.9570147233034443E-2</v>
      </c>
    </row>
    <row r="53" spans="1:31" x14ac:dyDescent="0.25">
      <c r="O53" s="83">
        <v>1</v>
      </c>
      <c r="P53" s="83">
        <f t="shared" si="2"/>
        <v>62.9</v>
      </c>
      <c r="Q53" s="83"/>
      <c r="T53" s="93" t="s">
        <v>107</v>
      </c>
      <c r="U53" s="90">
        <v>160706</v>
      </c>
      <c r="W53" s="133">
        <v>42544</v>
      </c>
      <c r="X53" s="10">
        <v>58.88</v>
      </c>
      <c r="Y53" s="10">
        <v>59.25</v>
      </c>
      <c r="Z53" s="10">
        <v>58.09</v>
      </c>
      <c r="AA53" s="10">
        <v>59.2</v>
      </c>
      <c r="AB53" s="95">
        <v>275500</v>
      </c>
      <c r="AC53" s="10">
        <v>59.09</v>
      </c>
      <c r="AD53" s="2">
        <f t="shared" si="0"/>
        <v>1.1599999999999966</v>
      </c>
      <c r="AE53" s="138">
        <f t="shared" si="1"/>
        <v>1.7214666896195663E-2</v>
      </c>
    </row>
    <row r="54" spans="1:31" x14ac:dyDescent="0.25">
      <c r="O54" s="83">
        <v>0.99</v>
      </c>
      <c r="P54" s="83">
        <f t="shared" si="2"/>
        <v>62.271000000000001</v>
      </c>
      <c r="Q54" s="83"/>
      <c r="T54" s="93" t="s">
        <v>110</v>
      </c>
      <c r="U54" s="90">
        <v>266153</v>
      </c>
      <c r="W54" s="133">
        <v>42543</v>
      </c>
      <c r="X54" s="10">
        <v>58.67</v>
      </c>
      <c r="Y54" s="10">
        <v>58.88</v>
      </c>
      <c r="Z54" s="10">
        <v>58.18</v>
      </c>
      <c r="AA54" s="10">
        <v>58.2</v>
      </c>
      <c r="AB54" s="95">
        <v>242000</v>
      </c>
      <c r="AC54" s="10">
        <v>58.09</v>
      </c>
      <c r="AD54" s="2">
        <f t="shared" si="0"/>
        <v>0.70000000000000284</v>
      </c>
      <c r="AE54" s="138">
        <f t="shared" si="1"/>
        <v>-4.2852245457661864E-3</v>
      </c>
    </row>
    <row r="55" spans="1:31" x14ac:dyDescent="0.25">
      <c r="O55" s="83">
        <v>0.98</v>
      </c>
      <c r="P55" s="83">
        <f t="shared" si="2"/>
        <v>61.641999999999996</v>
      </c>
      <c r="Q55" s="83"/>
      <c r="T55" s="93" t="s">
        <v>108</v>
      </c>
      <c r="U55" s="88" t="s">
        <v>466</v>
      </c>
      <c r="W55" s="133">
        <v>42542</v>
      </c>
      <c r="X55" s="10">
        <v>58.72</v>
      </c>
      <c r="Y55" s="10">
        <v>58.79</v>
      </c>
      <c r="Z55" s="10">
        <v>58.25</v>
      </c>
      <c r="AA55" s="10">
        <v>58.45</v>
      </c>
      <c r="AB55" s="95">
        <v>237800</v>
      </c>
      <c r="AC55" s="10">
        <v>58.34</v>
      </c>
      <c r="AD55" s="2">
        <f t="shared" si="0"/>
        <v>0.53999999999999915</v>
      </c>
      <c r="AE55" s="138">
        <f t="shared" si="1"/>
        <v>-6.8516615279201609E-4</v>
      </c>
    </row>
    <row r="56" spans="1:31" x14ac:dyDescent="0.25">
      <c r="O56" s="83">
        <v>0.97</v>
      </c>
      <c r="P56" s="83">
        <f t="shared" si="2"/>
        <v>61.012999999999998</v>
      </c>
      <c r="Q56" s="83"/>
      <c r="T56" s="93" t="s">
        <v>111</v>
      </c>
      <c r="U56" s="88">
        <v>24.3</v>
      </c>
      <c r="W56" s="133">
        <v>42541</v>
      </c>
      <c r="X56" s="10">
        <v>58.66</v>
      </c>
      <c r="Y56" s="10">
        <v>58.94</v>
      </c>
      <c r="Z56" s="10">
        <v>57.97</v>
      </c>
      <c r="AA56" s="10">
        <v>58.49</v>
      </c>
      <c r="AB56" s="95">
        <v>192600</v>
      </c>
      <c r="AC56" s="10">
        <v>58.38</v>
      </c>
      <c r="AD56" s="2">
        <f t="shared" si="0"/>
        <v>0.96999999999999886</v>
      </c>
      <c r="AE56" s="138">
        <f t="shared" si="1"/>
        <v>1.0734072022160701E-2</v>
      </c>
    </row>
    <row r="57" spans="1:31" x14ac:dyDescent="0.25">
      <c r="O57" s="83">
        <v>0.96</v>
      </c>
      <c r="P57" s="83">
        <f t="shared" si="2"/>
        <v>60.383999999999993</v>
      </c>
      <c r="Q57" s="83"/>
      <c r="T57" s="93" t="s">
        <v>112</v>
      </c>
      <c r="U57" s="88">
        <v>2.62</v>
      </c>
      <c r="W57" s="133">
        <v>42538</v>
      </c>
      <c r="X57" s="10">
        <v>57.96</v>
      </c>
      <c r="Y57" s="10">
        <v>58.3</v>
      </c>
      <c r="Z57" s="10">
        <v>57.5</v>
      </c>
      <c r="AA57" s="10">
        <v>57.87</v>
      </c>
      <c r="AB57" s="95">
        <v>562900</v>
      </c>
      <c r="AC57" s="10">
        <v>57.76</v>
      </c>
      <c r="AD57" s="2">
        <f t="shared" si="0"/>
        <v>0.79999999999999716</v>
      </c>
      <c r="AE57" s="138">
        <f t="shared" si="1"/>
        <v>1.2133818686079767E-3</v>
      </c>
    </row>
    <row r="58" spans="1:31" x14ac:dyDescent="0.25">
      <c r="O58" s="83">
        <v>0.95</v>
      </c>
      <c r="P58" s="83">
        <f t="shared" si="2"/>
        <v>59.754999999999995</v>
      </c>
      <c r="Q58" s="83"/>
      <c r="T58" s="93" t="s">
        <v>109</v>
      </c>
      <c r="U58" s="88" t="s">
        <v>467</v>
      </c>
      <c r="W58" s="133">
        <v>42537</v>
      </c>
      <c r="X58" s="10">
        <v>56.94</v>
      </c>
      <c r="Y58" s="10">
        <v>58</v>
      </c>
      <c r="Z58" s="10">
        <v>56.61</v>
      </c>
      <c r="AA58" s="10">
        <v>57.8</v>
      </c>
      <c r="AB58" s="95">
        <v>249000</v>
      </c>
      <c r="AC58" s="10">
        <v>57.69</v>
      </c>
      <c r="AD58" s="2">
        <f t="shared" si="0"/>
        <v>1.3900000000000006</v>
      </c>
      <c r="AE58" s="138">
        <f t="shared" si="1"/>
        <v>8.5664335664334956E-3</v>
      </c>
    </row>
    <row r="59" spans="1:31" x14ac:dyDescent="0.25">
      <c r="O59" s="83">
        <v>0.94</v>
      </c>
      <c r="P59" s="83">
        <f t="shared" si="2"/>
        <v>59.125999999999998</v>
      </c>
      <c r="Q59" s="83"/>
      <c r="W59" s="133">
        <v>42536</v>
      </c>
      <c r="X59" s="10">
        <v>56.92</v>
      </c>
      <c r="Y59" s="10">
        <v>57.81</v>
      </c>
      <c r="Z59" s="10">
        <v>56.66</v>
      </c>
      <c r="AA59" s="10">
        <v>57.31</v>
      </c>
      <c r="AB59" s="95">
        <v>298500</v>
      </c>
      <c r="AC59" s="10">
        <v>57.2</v>
      </c>
      <c r="AD59" s="2">
        <f t="shared" si="0"/>
        <v>1.1500000000000057</v>
      </c>
      <c r="AE59" s="138">
        <f t="shared" si="1"/>
        <v>8.2848580997709753E-3</v>
      </c>
    </row>
    <row r="60" spans="1:31" x14ac:dyDescent="0.25">
      <c r="O60" s="83">
        <v>0.93</v>
      </c>
      <c r="P60" s="83">
        <f t="shared" si="2"/>
        <v>58.497</v>
      </c>
      <c r="Q60" s="83"/>
      <c r="W60" s="133">
        <v>42535</v>
      </c>
      <c r="X60" s="10">
        <v>56.51</v>
      </c>
      <c r="Y60" s="10">
        <v>57.14</v>
      </c>
      <c r="Z60" s="10">
        <v>56.38</v>
      </c>
      <c r="AA60" s="10">
        <v>56.84</v>
      </c>
      <c r="AB60" s="95">
        <v>176200</v>
      </c>
      <c r="AC60" s="10">
        <v>56.73</v>
      </c>
      <c r="AD60" s="2">
        <f t="shared" si="0"/>
        <v>0.75999999999999801</v>
      </c>
      <c r="AE60" s="138">
        <f t="shared" si="1"/>
        <v>1.2354394634663812E-3</v>
      </c>
    </row>
    <row r="61" spans="1:31" x14ac:dyDescent="0.25">
      <c r="O61" s="83">
        <v>0.92</v>
      </c>
      <c r="P61" s="83">
        <f t="shared" si="2"/>
        <v>57.868000000000002</v>
      </c>
      <c r="Q61" s="83"/>
      <c r="W61" s="133">
        <v>42534</v>
      </c>
      <c r="X61" s="10">
        <v>57.85</v>
      </c>
      <c r="Y61" s="10">
        <v>58.99</v>
      </c>
      <c r="Z61" s="10">
        <v>56.7</v>
      </c>
      <c r="AA61" s="10">
        <v>56.77</v>
      </c>
      <c r="AB61" s="95">
        <v>248600</v>
      </c>
      <c r="AC61" s="10">
        <v>56.66</v>
      </c>
      <c r="AD61" s="2">
        <f t="shared" si="0"/>
        <v>2.2899999999999991</v>
      </c>
      <c r="AE61" s="138">
        <f t="shared" si="1"/>
        <v>-2.0570440795160017E-2</v>
      </c>
    </row>
    <row r="62" spans="1:31" x14ac:dyDescent="0.25">
      <c r="O62" s="83">
        <v>0.91</v>
      </c>
      <c r="P62" s="83">
        <f t="shared" si="2"/>
        <v>57.238999999999997</v>
      </c>
      <c r="Q62" s="83"/>
      <c r="W62" s="133">
        <v>42531</v>
      </c>
      <c r="X62" s="10">
        <v>58.26</v>
      </c>
      <c r="Y62" s="10">
        <v>58.49</v>
      </c>
      <c r="Z62" s="10">
        <v>57.56</v>
      </c>
      <c r="AA62" s="10">
        <v>57.96</v>
      </c>
      <c r="AB62" s="95">
        <v>206400</v>
      </c>
      <c r="AC62" s="10">
        <v>57.85</v>
      </c>
      <c r="AD62" s="2">
        <f t="shared" si="0"/>
        <v>0.92999999999999972</v>
      </c>
      <c r="AE62" s="138">
        <f t="shared" si="1"/>
        <v>-1.982378854625555E-2</v>
      </c>
    </row>
    <row r="63" spans="1:31" x14ac:dyDescent="0.25">
      <c r="O63" s="83">
        <v>0.9</v>
      </c>
      <c r="P63" s="83">
        <f t="shared" si="2"/>
        <v>56.61</v>
      </c>
      <c r="Q63" s="83"/>
      <c r="W63" s="133">
        <v>42530</v>
      </c>
      <c r="X63" s="10">
        <v>58.99</v>
      </c>
      <c r="Y63" s="10">
        <v>59.18</v>
      </c>
      <c r="Z63" s="10">
        <v>58.58</v>
      </c>
      <c r="AA63" s="10">
        <v>59.13</v>
      </c>
      <c r="AB63" s="95">
        <v>194100</v>
      </c>
      <c r="AC63" s="10">
        <v>59.02</v>
      </c>
      <c r="AD63" s="2">
        <f t="shared" si="0"/>
        <v>0.60000000000000142</v>
      </c>
      <c r="AE63" s="138">
        <f t="shared" si="1"/>
        <v>-4.3859649122807154E-3</v>
      </c>
    </row>
    <row r="64" spans="1:31" x14ac:dyDescent="0.25">
      <c r="O64" s="34"/>
      <c r="W64" s="133">
        <v>42529</v>
      </c>
      <c r="X64" s="10">
        <v>58.89</v>
      </c>
      <c r="Y64" s="10">
        <v>59.6</v>
      </c>
      <c r="Z64" s="10">
        <v>58.84</v>
      </c>
      <c r="AA64" s="10">
        <v>59.39</v>
      </c>
      <c r="AB64" s="95">
        <v>357100</v>
      </c>
      <c r="AC64" s="10">
        <v>59.28</v>
      </c>
      <c r="AD64" s="2">
        <f t="shared" si="0"/>
        <v>0.75999999999999801</v>
      </c>
      <c r="AE64" s="138">
        <f t="shared" si="1"/>
        <v>9.3648901753788927E-3</v>
      </c>
    </row>
    <row r="65" spans="15:31" x14ac:dyDescent="0.25">
      <c r="O65" s="34"/>
      <c r="W65" s="133">
        <v>42528</v>
      </c>
      <c r="X65" s="10">
        <v>58.57</v>
      </c>
      <c r="Y65" s="10">
        <v>58.97</v>
      </c>
      <c r="Z65" s="10">
        <v>58.48</v>
      </c>
      <c r="AA65" s="10">
        <v>58.84</v>
      </c>
      <c r="AB65" s="95">
        <v>199500</v>
      </c>
      <c r="AC65" s="10">
        <v>58.73</v>
      </c>
      <c r="AD65" s="2">
        <f t="shared" si="0"/>
        <v>0.49000000000000199</v>
      </c>
      <c r="AE65" s="138">
        <f t="shared" si="1"/>
        <v>3.417051084913636E-3</v>
      </c>
    </row>
    <row r="66" spans="15:31" x14ac:dyDescent="0.25">
      <c r="O66" s="34"/>
      <c r="W66" s="133">
        <v>42527</v>
      </c>
      <c r="X66" s="10">
        <v>59.37</v>
      </c>
      <c r="Y66" s="10">
        <v>59.37</v>
      </c>
      <c r="Z66" s="10">
        <v>57.65</v>
      </c>
      <c r="AA66" s="10">
        <v>58.64</v>
      </c>
      <c r="AB66" s="95">
        <v>321700</v>
      </c>
      <c r="AC66" s="10">
        <v>58.53</v>
      </c>
      <c r="AD66" s="2">
        <f t="shared" si="0"/>
        <v>1.7199999999999989</v>
      </c>
      <c r="AE66" s="138">
        <f t="shared" si="1"/>
        <v>1.5969449748307607E-2</v>
      </c>
    </row>
    <row r="67" spans="15:31" x14ac:dyDescent="0.25">
      <c r="W67" s="133">
        <v>42524</v>
      </c>
      <c r="X67" s="10">
        <v>57.92</v>
      </c>
      <c r="Y67" s="10">
        <v>57.92</v>
      </c>
      <c r="Z67" s="10">
        <v>57.2</v>
      </c>
      <c r="AA67" s="10">
        <v>57.72</v>
      </c>
      <c r="AB67" s="95">
        <v>155600</v>
      </c>
      <c r="AC67" s="10">
        <v>57.61</v>
      </c>
      <c r="AD67" s="2">
        <f>Y67-Z67</f>
        <v>0.71999999999999886</v>
      </c>
      <c r="AE67" s="138">
        <f>AC67/AC68-1</f>
        <v>-2.4242424242424399E-3</v>
      </c>
    </row>
    <row r="68" spans="15:31" x14ac:dyDescent="0.25">
      <c r="W68" s="133">
        <v>42523</v>
      </c>
      <c r="X68" s="10">
        <v>57.3</v>
      </c>
      <c r="Y68" s="10">
        <v>57.9</v>
      </c>
      <c r="Z68" s="10">
        <v>57.18</v>
      </c>
      <c r="AA68" s="10">
        <v>57.86</v>
      </c>
      <c r="AB68" s="95">
        <v>188800</v>
      </c>
      <c r="AC68" s="10">
        <v>57.75</v>
      </c>
      <c r="AD68" s="2">
        <f>Y68-Z68</f>
        <v>0.71999999999999886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04" priority="5">
      <formula>F21&gt;0</formula>
    </cfRule>
    <cfRule type="expression" dxfId="103" priority="6">
      <formula>F21&lt;0</formula>
    </cfRule>
  </conditionalFormatting>
  <conditionalFormatting sqref="Q8">
    <cfRule type="expression" dxfId="102" priority="1">
      <formula>Q8&gt;0</formula>
    </cfRule>
    <cfRule type="expression" dxfId="101" priority="2">
      <formula>Q8&lt;0</formula>
    </cfRule>
  </conditionalFormatting>
  <conditionalFormatting sqref="Q7">
    <cfRule type="expression" dxfId="100" priority="3">
      <formula>Q7&gt;0</formula>
    </cfRule>
    <cfRule type="expression" dxfId="99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2" max="22" width="11.7109375" customWidth="1"/>
    <col min="24" max="24" width="43" bestFit="1" customWidth="1"/>
    <col min="25" max="25" width="13.140625" bestFit="1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127</v>
      </c>
      <c r="AF1" s="11" t="s">
        <v>129</v>
      </c>
    </row>
    <row r="2" spans="1:32" x14ac:dyDescent="0.25">
      <c r="A2" s="6" t="s">
        <v>179</v>
      </c>
      <c r="B2" s="16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U2" s="163"/>
      <c r="X2" s="133">
        <v>42615</v>
      </c>
      <c r="Y2" s="10">
        <v>70.569999999999993</v>
      </c>
      <c r="Z2" s="10">
        <v>71.12</v>
      </c>
      <c r="AA2" s="10">
        <v>70.45</v>
      </c>
      <c r="AB2" s="10">
        <v>70.94</v>
      </c>
      <c r="AC2" s="95">
        <v>2443900</v>
      </c>
      <c r="AD2" s="10">
        <v>70.94</v>
      </c>
      <c r="AE2" s="2">
        <f>Z2-AA2</f>
        <v>0.67000000000000171</v>
      </c>
      <c r="AF2" s="138">
        <f>AD2/AD3-1</f>
        <v>1.1838539438026041E-2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70.900000000000006</v>
      </c>
      <c r="X3" s="133">
        <v>42614</v>
      </c>
      <c r="Y3" s="10">
        <v>70.67</v>
      </c>
      <c r="Z3" s="10">
        <v>70.8</v>
      </c>
      <c r="AA3" s="10">
        <v>69.66</v>
      </c>
      <c r="AB3" s="10">
        <v>70.11</v>
      </c>
      <c r="AC3" s="95">
        <v>4253500</v>
      </c>
      <c r="AD3" s="10">
        <v>70.11</v>
      </c>
      <c r="AE3" s="2">
        <f t="shared" ref="AE3:AE66" si="0">Z3-AA3</f>
        <v>1.1400000000000006</v>
      </c>
      <c r="AF3" s="138">
        <f t="shared" ref="AF3:AF66" si="1">AD3/AD4-1</f>
        <v>-1.0025416548997357E-2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70.900000000000006</v>
      </c>
      <c r="X4" s="133">
        <v>42613</v>
      </c>
      <c r="Y4" s="10">
        <v>70.56</v>
      </c>
      <c r="Z4" s="10">
        <v>70.91</v>
      </c>
      <c r="AA4" s="10">
        <v>70.38</v>
      </c>
      <c r="AB4" s="10">
        <v>70.819999999999993</v>
      </c>
      <c r="AC4" s="95">
        <v>3776200</v>
      </c>
      <c r="AD4" s="10">
        <v>70.819999999999993</v>
      </c>
      <c r="AE4" s="2">
        <f t="shared" si="0"/>
        <v>0.53000000000000114</v>
      </c>
      <c r="AF4" s="138">
        <f t="shared" si="1"/>
        <v>4.3965394979432748E-3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X5" s="133">
        <v>42612</v>
      </c>
      <c r="Y5" s="10">
        <v>71.39</v>
      </c>
      <c r="Z5" s="10">
        <v>71.58</v>
      </c>
      <c r="AA5" s="10">
        <v>70.349999999999994</v>
      </c>
      <c r="AB5" s="10">
        <v>70.510000000000005</v>
      </c>
      <c r="AC5" s="95">
        <v>4402700</v>
      </c>
      <c r="AD5" s="10">
        <v>70.510000000000005</v>
      </c>
      <c r="AE5" s="2">
        <f t="shared" si="0"/>
        <v>1.230000000000004</v>
      </c>
      <c r="AF5" s="138">
        <f t="shared" si="1"/>
        <v>-1.2741528983478023E-2</v>
      </c>
    </row>
    <row r="6" spans="1:32" x14ac:dyDescent="0.25">
      <c r="O6" s="11" t="s">
        <v>64</v>
      </c>
      <c r="Q6" s="2">
        <f>Q3*Q2</f>
        <v>0</v>
      </c>
      <c r="X6" s="133">
        <v>42611</v>
      </c>
      <c r="Y6" s="10">
        <v>70.989999999999995</v>
      </c>
      <c r="Z6" s="10">
        <v>71.569999999999993</v>
      </c>
      <c r="AA6" s="10">
        <v>70.989999999999995</v>
      </c>
      <c r="AB6" s="10">
        <v>71.42</v>
      </c>
      <c r="AC6" s="95">
        <v>2489600</v>
      </c>
      <c r="AD6" s="10">
        <v>71.42</v>
      </c>
      <c r="AE6" s="2">
        <f t="shared" si="0"/>
        <v>0.57999999999999829</v>
      </c>
      <c r="AF6" s="138">
        <f t="shared" si="1"/>
        <v>7.7606885847325557E-3</v>
      </c>
    </row>
    <row r="7" spans="1:32" x14ac:dyDescent="0.25">
      <c r="O7" s="11" t="s">
        <v>187</v>
      </c>
      <c r="Q7" s="2">
        <f>Q10+Q8</f>
        <v>49.949999999999818</v>
      </c>
      <c r="R7">
        <v>0</v>
      </c>
      <c r="X7" s="133">
        <v>42608</v>
      </c>
      <c r="Y7" s="10">
        <v>71.34</v>
      </c>
      <c r="Z7" s="10">
        <v>71.680000000000007</v>
      </c>
      <c r="AA7" s="10">
        <v>70.69</v>
      </c>
      <c r="AB7" s="10">
        <v>70.87</v>
      </c>
      <c r="AC7" s="95">
        <v>1975300</v>
      </c>
      <c r="AD7" s="10">
        <v>70.87</v>
      </c>
      <c r="AE7" s="2">
        <f t="shared" si="0"/>
        <v>0.99000000000000909</v>
      </c>
      <c r="AF7" s="138">
        <f t="shared" si="1"/>
        <v>-7.2839333239949067E-3</v>
      </c>
    </row>
    <row r="8" spans="1:32" x14ac:dyDescent="0.25">
      <c r="O8" s="11" t="s">
        <v>190</v>
      </c>
      <c r="P8" s="34"/>
      <c r="Q8" s="2">
        <f>K18+M18-F18+Q2*Q4</f>
        <v>0</v>
      </c>
      <c r="X8" s="133">
        <v>42607</v>
      </c>
      <c r="Y8" s="10">
        <v>70.819999999999993</v>
      </c>
      <c r="Z8" s="10">
        <v>71.959999999999994</v>
      </c>
      <c r="AA8" s="10">
        <v>70.760000000000005</v>
      </c>
      <c r="AB8" s="10">
        <v>71.39</v>
      </c>
      <c r="AC8" s="95">
        <v>3197300</v>
      </c>
      <c r="AD8" s="10">
        <v>71.39</v>
      </c>
      <c r="AE8" s="2">
        <f t="shared" si="0"/>
        <v>1.1999999999999886</v>
      </c>
      <c r="AF8" s="138">
        <f t="shared" si="1"/>
        <v>5.4929577464788437E-3</v>
      </c>
    </row>
    <row r="9" spans="1:32" x14ac:dyDescent="0.25">
      <c r="O9" s="11" t="s">
        <v>224</v>
      </c>
      <c r="Q9" s="138">
        <f>IF(Q2=0, 0, Q8/Q6)</f>
        <v>0</v>
      </c>
      <c r="X9" s="133">
        <v>42606</v>
      </c>
      <c r="Y9" s="10">
        <v>71</v>
      </c>
      <c r="Z9" s="10">
        <v>71.06</v>
      </c>
      <c r="AA9" s="10">
        <v>70.459999999999994</v>
      </c>
      <c r="AB9" s="10">
        <v>71</v>
      </c>
      <c r="AC9" s="95">
        <v>2494700</v>
      </c>
      <c r="AD9" s="10">
        <v>71</v>
      </c>
      <c r="AE9" s="2">
        <f t="shared" si="0"/>
        <v>0.60000000000000853</v>
      </c>
      <c r="AF9" s="138">
        <f t="shared" si="1"/>
        <v>-1.4064697609000865E-3</v>
      </c>
    </row>
    <row r="10" spans="1:32" x14ac:dyDescent="0.25">
      <c r="O10" s="11" t="s">
        <v>223</v>
      </c>
      <c r="P10" s="34"/>
      <c r="Q10" s="2">
        <f>M28</f>
        <v>49.949999999999818</v>
      </c>
      <c r="X10" s="133">
        <v>42605</v>
      </c>
      <c r="Y10" s="10">
        <v>71.56</v>
      </c>
      <c r="Z10" s="10">
        <v>71.63</v>
      </c>
      <c r="AA10" s="10">
        <v>70.930000000000007</v>
      </c>
      <c r="AB10" s="10">
        <v>71.099999999999994</v>
      </c>
      <c r="AC10" s="95">
        <v>2270300</v>
      </c>
      <c r="AD10" s="10">
        <v>71.099999999999994</v>
      </c>
      <c r="AE10" s="2">
        <f t="shared" si="0"/>
        <v>0.69999999999998863</v>
      </c>
      <c r="AF10" s="138">
        <f t="shared" si="1"/>
        <v>-6.4281721632197808E-3</v>
      </c>
    </row>
    <row r="11" spans="1:32" x14ac:dyDescent="0.25">
      <c r="O11" s="11" t="s">
        <v>184</v>
      </c>
      <c r="P11" s="34"/>
      <c r="Q11" s="138">
        <f>VALUE(TRIM(CLEAN(MID(U58, FIND("(", U58)+1, 5))))</f>
        <v>2.7099999999999999E-2</v>
      </c>
      <c r="X11" s="133">
        <v>42604</v>
      </c>
      <c r="Y11" s="10">
        <v>71.53</v>
      </c>
      <c r="Z11" s="10">
        <v>71.819999999999993</v>
      </c>
      <c r="AA11" s="10">
        <v>71.27</v>
      </c>
      <c r="AB11" s="10">
        <v>71.56</v>
      </c>
      <c r="AC11" s="95">
        <v>2277400</v>
      </c>
      <c r="AD11" s="10">
        <v>71.56</v>
      </c>
      <c r="AE11" s="2">
        <f t="shared" si="0"/>
        <v>0.54999999999999716</v>
      </c>
      <c r="AF11" s="138">
        <f t="shared" si="1"/>
        <v>1.5395381385583384E-3</v>
      </c>
    </row>
    <row r="12" spans="1:32" x14ac:dyDescent="0.25">
      <c r="X12" s="133">
        <v>42601</v>
      </c>
      <c r="Y12" s="10">
        <v>71.260000000000005</v>
      </c>
      <c r="Z12" s="10">
        <v>71.5</v>
      </c>
      <c r="AA12" s="10">
        <v>70.92</v>
      </c>
      <c r="AB12" s="10">
        <v>71.45</v>
      </c>
      <c r="AC12" s="95">
        <v>2543700</v>
      </c>
      <c r="AD12" s="10">
        <v>71.45</v>
      </c>
      <c r="AE12" s="2">
        <f t="shared" si="0"/>
        <v>0.57999999999999829</v>
      </c>
      <c r="AF12" s="138">
        <f t="shared" si="1"/>
        <v>2.5256068472008231E-3</v>
      </c>
    </row>
    <row r="13" spans="1:32" x14ac:dyDescent="0.25">
      <c r="X13" s="133">
        <v>42600</v>
      </c>
      <c r="Y13" s="10">
        <v>70.56</v>
      </c>
      <c r="Z13" s="10">
        <v>71.400000000000006</v>
      </c>
      <c r="AA13" s="10">
        <v>70.510000000000005</v>
      </c>
      <c r="AB13" s="10">
        <v>71.27</v>
      </c>
      <c r="AC13" s="95">
        <v>2517000</v>
      </c>
      <c r="AD13" s="10">
        <v>71.27</v>
      </c>
      <c r="AE13" s="2">
        <f t="shared" si="0"/>
        <v>0.89000000000000057</v>
      </c>
      <c r="AF13" s="138">
        <f t="shared" si="1"/>
        <v>1.0062358276643923E-2</v>
      </c>
    </row>
    <row r="14" spans="1:32" x14ac:dyDescent="0.25">
      <c r="X14" s="133">
        <v>42599</v>
      </c>
      <c r="Y14" s="10">
        <v>70.510000000000005</v>
      </c>
      <c r="Z14" s="10">
        <v>70.87</v>
      </c>
      <c r="AA14" s="10">
        <v>70.22</v>
      </c>
      <c r="AB14" s="10">
        <v>70.56</v>
      </c>
      <c r="AC14" s="95">
        <v>3923300</v>
      </c>
      <c r="AD14" s="10">
        <v>70.56</v>
      </c>
      <c r="AE14" s="2">
        <f t="shared" si="0"/>
        <v>0.65000000000000568</v>
      </c>
      <c r="AF14" s="138">
        <f t="shared" si="1"/>
        <v>8.5106382978716866E-4</v>
      </c>
    </row>
    <row r="15" spans="1:32" x14ac:dyDescent="0.25">
      <c r="X15" s="133">
        <v>42598</v>
      </c>
      <c r="Y15" s="10">
        <v>70.569999999999993</v>
      </c>
      <c r="Z15" s="10">
        <v>70.989999999999995</v>
      </c>
      <c r="AA15" s="10">
        <v>70.37</v>
      </c>
      <c r="AB15" s="10">
        <v>70.5</v>
      </c>
      <c r="AC15" s="95">
        <v>2642300</v>
      </c>
      <c r="AD15" s="10">
        <v>70.5</v>
      </c>
      <c r="AE15" s="2">
        <f t="shared" si="0"/>
        <v>0.61999999999999034</v>
      </c>
      <c r="AF15" s="138">
        <f t="shared" si="1"/>
        <v>-7.6013513513514264E-3</v>
      </c>
    </row>
    <row r="16" spans="1:32" x14ac:dyDescent="0.25">
      <c r="X16" s="133">
        <v>42597</v>
      </c>
      <c r="Y16" s="10">
        <v>71.03</v>
      </c>
      <c r="Z16" s="10">
        <v>71.17</v>
      </c>
      <c r="AA16" s="10">
        <v>70.78</v>
      </c>
      <c r="AB16" s="10">
        <v>71.040000000000006</v>
      </c>
      <c r="AC16" s="95">
        <v>2096200</v>
      </c>
      <c r="AD16" s="10">
        <v>71.040000000000006</v>
      </c>
      <c r="AE16" s="2">
        <f t="shared" si="0"/>
        <v>0.39000000000000057</v>
      </c>
      <c r="AF16" s="138">
        <f t="shared" si="1"/>
        <v>-1.8266123366585951E-3</v>
      </c>
    </row>
    <row r="17" spans="1:32" x14ac:dyDescent="0.25">
      <c r="X17" s="133">
        <v>42594</v>
      </c>
      <c r="Y17" s="10">
        <v>71.16</v>
      </c>
      <c r="Z17" s="10">
        <v>71.45</v>
      </c>
      <c r="AA17" s="10">
        <v>71.010000000000005</v>
      </c>
      <c r="AB17" s="10">
        <v>71.17</v>
      </c>
      <c r="AC17" s="95">
        <v>1871300</v>
      </c>
      <c r="AD17" s="10">
        <v>71.17</v>
      </c>
      <c r="AE17" s="2">
        <f t="shared" si="0"/>
        <v>0.43999999999999773</v>
      </c>
      <c r="AF17" s="138">
        <f t="shared" si="1"/>
        <v>1.4070634585621189E-3</v>
      </c>
    </row>
    <row r="18" spans="1:32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42593</v>
      </c>
      <c r="Y18" s="10">
        <v>71.099999999999994</v>
      </c>
      <c r="Z18" s="10">
        <v>71.28</v>
      </c>
      <c r="AA18" s="10">
        <v>70.86</v>
      </c>
      <c r="AB18" s="10">
        <v>71.069999999999993</v>
      </c>
      <c r="AC18" s="95">
        <v>2212700</v>
      </c>
      <c r="AD18" s="10">
        <v>71.069999999999993</v>
      </c>
      <c r="AE18" s="2">
        <f t="shared" si="0"/>
        <v>0.42000000000000171</v>
      </c>
      <c r="AF18" s="138">
        <f t="shared" si="1"/>
        <v>1.4072614691795771E-4</v>
      </c>
    </row>
    <row r="19" spans="1:32" x14ac:dyDescent="0.25">
      <c r="X19" s="133">
        <v>42592</v>
      </c>
      <c r="Y19" s="10">
        <v>70.959999999999994</v>
      </c>
      <c r="Z19" s="10">
        <v>71.3</v>
      </c>
      <c r="AA19" s="10">
        <v>70.83</v>
      </c>
      <c r="AB19" s="10">
        <v>71.06</v>
      </c>
      <c r="AC19" s="95">
        <v>2189600</v>
      </c>
      <c r="AD19" s="10">
        <v>71.06</v>
      </c>
      <c r="AE19" s="2">
        <f t="shared" si="0"/>
        <v>0.46999999999999886</v>
      </c>
      <c r="AF19" s="138">
        <f t="shared" si="1"/>
        <v>1.8327928944028571E-3</v>
      </c>
    </row>
    <row r="20" spans="1:32" x14ac:dyDescent="0.25">
      <c r="X20" s="133">
        <v>42591</v>
      </c>
      <c r="Y20" s="10">
        <v>70.75</v>
      </c>
      <c r="Z20" s="10">
        <v>71.06</v>
      </c>
      <c r="AA20" s="10">
        <v>70.53</v>
      </c>
      <c r="AB20" s="10">
        <v>70.930000000000007</v>
      </c>
      <c r="AC20" s="95">
        <v>2333000</v>
      </c>
      <c r="AD20" s="10">
        <v>70.930000000000007</v>
      </c>
      <c r="AE20" s="2">
        <f t="shared" si="0"/>
        <v>0.53000000000000114</v>
      </c>
      <c r="AF20" s="138">
        <f t="shared" si="1"/>
        <v>4.2474869035822316E-3</v>
      </c>
    </row>
    <row r="21" spans="1:32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X21" s="133">
        <v>42590</v>
      </c>
      <c r="Y21" s="10">
        <v>70.489999999999995</v>
      </c>
      <c r="Z21" s="10">
        <v>70.88</v>
      </c>
      <c r="AA21" s="10">
        <v>70.150000000000006</v>
      </c>
      <c r="AB21" s="10">
        <v>70.63</v>
      </c>
      <c r="AC21" s="95">
        <v>2428700</v>
      </c>
      <c r="AD21" s="10">
        <v>70.63</v>
      </c>
      <c r="AE21" s="2">
        <f t="shared" si="0"/>
        <v>0.72999999999998977</v>
      </c>
      <c r="AF21" s="138">
        <f t="shared" si="1"/>
        <v>1.133947554925463E-3</v>
      </c>
    </row>
    <row r="22" spans="1:32" x14ac:dyDescent="0.25">
      <c r="B22" s="193"/>
      <c r="C22" s="10"/>
      <c r="D22" s="40"/>
      <c r="E22" s="40"/>
      <c r="F22" s="40"/>
      <c r="G22" s="40"/>
      <c r="H22" s="231"/>
      <c r="I22" s="40"/>
      <c r="X22" s="133">
        <v>42587</v>
      </c>
      <c r="Y22" s="10">
        <v>70.5</v>
      </c>
      <c r="Z22" s="10">
        <v>70.8</v>
      </c>
      <c r="AA22" s="10">
        <v>70.3</v>
      </c>
      <c r="AB22" s="10">
        <v>70.55</v>
      </c>
      <c r="AC22" s="95">
        <v>2539200</v>
      </c>
      <c r="AD22" s="10">
        <v>70.55</v>
      </c>
      <c r="AE22" s="2">
        <f t="shared" si="0"/>
        <v>0.5</v>
      </c>
      <c r="AF22" s="138">
        <f t="shared" si="1"/>
        <v>8.5118456518662455E-4</v>
      </c>
    </row>
    <row r="23" spans="1:32" x14ac:dyDescent="0.25">
      <c r="B23" s="193"/>
      <c r="C23" s="10"/>
      <c r="D23" s="40"/>
      <c r="E23" s="40"/>
      <c r="F23" s="40"/>
      <c r="G23" s="40"/>
      <c r="H23" s="231"/>
      <c r="I23" s="40"/>
      <c r="X23" s="133">
        <v>42586</v>
      </c>
      <c r="Y23" s="10">
        <v>70</v>
      </c>
      <c r="Z23" s="10">
        <v>70.510000000000005</v>
      </c>
      <c r="AA23" s="10">
        <v>69.92</v>
      </c>
      <c r="AB23" s="10">
        <v>70.489999999999995</v>
      </c>
      <c r="AC23" s="95">
        <v>4234700</v>
      </c>
      <c r="AD23" s="10">
        <v>70.489999999999995</v>
      </c>
      <c r="AE23" s="2">
        <f t="shared" si="0"/>
        <v>0.59000000000000341</v>
      </c>
      <c r="AF23" s="138">
        <f t="shared" si="1"/>
        <v>1.0174835196331333E-2</v>
      </c>
    </row>
    <row r="24" spans="1:32" x14ac:dyDescent="0.25">
      <c r="B24" s="193"/>
      <c r="C24" s="10"/>
      <c r="D24" s="40"/>
      <c r="E24" s="40"/>
      <c r="F24" s="40"/>
      <c r="G24" s="40"/>
      <c r="H24" s="231"/>
      <c r="I24" s="40"/>
      <c r="X24" s="133">
        <v>42585</v>
      </c>
      <c r="Y24" s="10">
        <v>71.12</v>
      </c>
      <c r="Z24" s="10">
        <v>71.14</v>
      </c>
      <c r="AA24" s="10">
        <v>69.23</v>
      </c>
      <c r="AB24" s="10">
        <v>69.78</v>
      </c>
      <c r="AC24" s="95">
        <v>5387400</v>
      </c>
      <c r="AD24" s="10">
        <v>69.78</v>
      </c>
      <c r="AE24" s="2">
        <f t="shared" si="0"/>
        <v>1.9099999999999966</v>
      </c>
      <c r="AF24" s="138">
        <f t="shared" si="1"/>
        <v>-1.6767648302099425E-2</v>
      </c>
    </row>
    <row r="25" spans="1:32" x14ac:dyDescent="0.25">
      <c r="B25" s="193"/>
      <c r="C25" s="10"/>
      <c r="D25" s="40"/>
      <c r="E25" s="40"/>
      <c r="F25" s="40"/>
      <c r="G25" s="40"/>
      <c r="H25" s="231"/>
      <c r="I25" s="40"/>
      <c r="X25" s="133">
        <v>42584</v>
      </c>
      <c r="Y25" s="10">
        <v>71.55</v>
      </c>
      <c r="Z25" s="10">
        <v>71.72</v>
      </c>
      <c r="AA25" s="10">
        <v>70.819999999999993</v>
      </c>
      <c r="AB25" s="10">
        <v>70.97</v>
      </c>
      <c r="AC25" s="95">
        <v>4370300</v>
      </c>
      <c r="AD25" s="10">
        <v>70.97</v>
      </c>
      <c r="AE25" s="2">
        <f t="shared" si="0"/>
        <v>0.90000000000000568</v>
      </c>
      <c r="AF25" s="138">
        <f t="shared" si="1"/>
        <v>-9.214016473544584E-3</v>
      </c>
    </row>
    <row r="26" spans="1:32" x14ac:dyDescent="0.25">
      <c r="X26" s="133">
        <v>42583</v>
      </c>
      <c r="Y26" s="10">
        <v>71.98</v>
      </c>
      <c r="Z26" s="10">
        <v>72.150000000000006</v>
      </c>
      <c r="AA26" s="10">
        <v>71.400000000000006</v>
      </c>
      <c r="AB26" s="10">
        <v>71.63</v>
      </c>
      <c r="AC26" s="95">
        <v>3417600</v>
      </c>
      <c r="AD26" s="10">
        <v>71.63</v>
      </c>
      <c r="AE26" s="2">
        <f t="shared" si="0"/>
        <v>0.75</v>
      </c>
      <c r="AF26" s="138">
        <f t="shared" si="1"/>
        <v>-3.6166365280290158E-3</v>
      </c>
    </row>
    <row r="27" spans="1:32" x14ac:dyDescent="0.25">
      <c r="X27" s="133">
        <v>42580</v>
      </c>
      <c r="Y27" s="10">
        <v>71.19</v>
      </c>
      <c r="Z27" s="10">
        <v>72.22</v>
      </c>
      <c r="AA27" s="10">
        <v>71.17</v>
      </c>
      <c r="AB27" s="10">
        <v>71.89</v>
      </c>
      <c r="AC27" s="95">
        <v>2728800</v>
      </c>
      <c r="AD27" s="10">
        <v>71.89</v>
      </c>
      <c r="AE27" s="2">
        <f t="shared" si="0"/>
        <v>1.0499999999999972</v>
      </c>
      <c r="AF27" s="138">
        <f t="shared" si="1"/>
        <v>7.7095598542191723E-3</v>
      </c>
    </row>
    <row r="28" spans="1:32" x14ac:dyDescent="0.25">
      <c r="L28" t="s">
        <v>223</v>
      </c>
      <c r="M28" s="2">
        <f>M37+K37-F37</f>
        <v>49.949999999999818</v>
      </c>
      <c r="X28" s="133">
        <v>42579</v>
      </c>
      <c r="Y28" s="10">
        <v>70.510000000000005</v>
      </c>
      <c r="Z28" s="10">
        <v>71.44</v>
      </c>
      <c r="AA28" s="10">
        <v>70.5</v>
      </c>
      <c r="AB28" s="10">
        <v>71.34</v>
      </c>
      <c r="AC28" s="95">
        <v>2724500</v>
      </c>
      <c r="AD28" s="10">
        <v>71.34</v>
      </c>
      <c r="AE28" s="2">
        <f t="shared" si="0"/>
        <v>0.93999999999999773</v>
      </c>
      <c r="AF28" s="138">
        <f t="shared" si="1"/>
        <v>1.1197732104890168E-2</v>
      </c>
    </row>
    <row r="29" spans="1:32" x14ac:dyDescent="0.25">
      <c r="A29" s="390" t="s">
        <v>1</v>
      </c>
      <c r="B29" s="390" t="s">
        <v>2</v>
      </c>
      <c r="C29" s="390" t="s">
        <v>4</v>
      </c>
      <c r="D29" s="392" t="s">
        <v>5</v>
      </c>
      <c r="E29" s="392" t="s">
        <v>94</v>
      </c>
      <c r="F29" s="392" t="s">
        <v>60</v>
      </c>
      <c r="G29" s="390" t="s">
        <v>3</v>
      </c>
      <c r="H29" s="390" t="s">
        <v>6</v>
      </c>
      <c r="I29" s="390" t="s">
        <v>7</v>
      </c>
      <c r="J29" s="390" t="s">
        <v>95</v>
      </c>
      <c r="K29" s="390" t="s">
        <v>61</v>
      </c>
      <c r="L29" s="390" t="s">
        <v>77</v>
      </c>
      <c r="M29" s="390" t="s">
        <v>38</v>
      </c>
      <c r="X29" s="133">
        <v>42578</v>
      </c>
      <c r="Y29" s="10">
        <v>71.48</v>
      </c>
      <c r="Z29" s="10">
        <v>71.59</v>
      </c>
      <c r="AA29" s="10">
        <v>70.400000000000006</v>
      </c>
      <c r="AB29" s="10">
        <v>70.55</v>
      </c>
      <c r="AC29" s="95">
        <v>4578300</v>
      </c>
      <c r="AD29" s="10">
        <v>70.55</v>
      </c>
      <c r="AE29" s="2">
        <f t="shared" si="0"/>
        <v>1.1899999999999977</v>
      </c>
      <c r="AF29" s="138">
        <f t="shared" si="1"/>
        <v>-1.0241301907968681E-2</v>
      </c>
    </row>
    <row r="30" spans="1:32" x14ac:dyDescent="0.25">
      <c r="A30" s="393" t="s">
        <v>179</v>
      </c>
      <c r="B30" s="395">
        <v>42376</v>
      </c>
      <c r="C30" s="384">
        <v>50</v>
      </c>
      <c r="D30" s="385">
        <v>55.15</v>
      </c>
      <c r="E30" s="385">
        <v>0</v>
      </c>
      <c r="F30" s="385">
        <f>C30*D30+E30</f>
        <v>2757.5</v>
      </c>
      <c r="G30" s="383">
        <v>42409</v>
      </c>
      <c r="H30" s="388">
        <v>50</v>
      </c>
      <c r="I30" s="385">
        <v>56.15</v>
      </c>
      <c r="J30" s="385">
        <v>0.05</v>
      </c>
      <c r="K30" s="384">
        <f>H30*I30-J30</f>
        <v>2807.45</v>
      </c>
      <c r="L30" s="383"/>
      <c r="M30" s="385"/>
      <c r="X30" s="133">
        <v>42577</v>
      </c>
      <c r="Y30" s="10">
        <v>71.650000000000006</v>
      </c>
      <c r="Z30" s="10">
        <v>72.510000000000005</v>
      </c>
      <c r="AA30" s="10">
        <v>71.19</v>
      </c>
      <c r="AB30" s="10">
        <v>71.28</v>
      </c>
      <c r="AC30" s="95">
        <v>2592100</v>
      </c>
      <c r="AD30" s="10">
        <v>71.28</v>
      </c>
      <c r="AE30" s="2">
        <f t="shared" si="0"/>
        <v>1.3200000000000074</v>
      </c>
      <c r="AF30" s="138">
        <f t="shared" si="1"/>
        <v>-5.7190682103500645E-3</v>
      </c>
    </row>
    <row r="31" spans="1:32" x14ac:dyDescent="0.25">
      <c r="A31" s="394" t="s">
        <v>71</v>
      </c>
      <c r="B31" s="395"/>
      <c r="C31" s="384"/>
      <c r="D31" s="385"/>
      <c r="E31" s="385"/>
      <c r="F31" s="385"/>
      <c r="G31" s="383"/>
      <c r="H31" s="384"/>
      <c r="I31" s="384"/>
      <c r="J31" s="384"/>
      <c r="K31" s="384"/>
      <c r="L31" s="384"/>
      <c r="M31" s="384"/>
      <c r="X31" s="133">
        <v>42576</v>
      </c>
      <c r="Y31" s="10">
        <v>71.209999999999994</v>
      </c>
      <c r="Z31" s="10">
        <v>71.72</v>
      </c>
      <c r="AA31" s="10">
        <v>71.150000000000006</v>
      </c>
      <c r="AB31" s="10">
        <v>71.69</v>
      </c>
      <c r="AC31" s="95">
        <v>2574700</v>
      </c>
      <c r="AD31" s="10">
        <v>71.69</v>
      </c>
      <c r="AE31" s="2">
        <f t="shared" si="0"/>
        <v>0.56999999999999318</v>
      </c>
      <c r="AF31" s="138">
        <f t="shared" si="1"/>
        <v>6.5992698680146233E-3</v>
      </c>
    </row>
    <row r="32" spans="1:32" x14ac:dyDescent="0.25">
      <c r="A32" s="384"/>
      <c r="B32" s="383"/>
      <c r="C32" s="384"/>
      <c r="D32" s="385"/>
      <c r="E32" s="385"/>
      <c r="F32" s="385"/>
      <c r="G32" s="384"/>
      <c r="H32" s="384"/>
      <c r="I32" s="384"/>
      <c r="J32" s="384"/>
      <c r="K32" s="384"/>
      <c r="L32" s="384"/>
      <c r="M32" s="384"/>
      <c r="X32" s="133">
        <v>42573</v>
      </c>
      <c r="Y32" s="10">
        <v>71.44</v>
      </c>
      <c r="Z32" s="10">
        <v>71.64</v>
      </c>
      <c r="AA32" s="10">
        <v>71.069999999999993</v>
      </c>
      <c r="AB32" s="10">
        <v>71.22</v>
      </c>
      <c r="AC32" s="95">
        <v>3079200</v>
      </c>
      <c r="AD32" s="10">
        <v>71.22</v>
      </c>
      <c r="AE32" s="2">
        <f t="shared" si="0"/>
        <v>0.57000000000000739</v>
      </c>
      <c r="AF32" s="138">
        <f t="shared" si="1"/>
        <v>1.4042971492767009E-4</v>
      </c>
    </row>
    <row r="33" spans="1:32" x14ac:dyDescent="0.25">
      <c r="A33" s="384"/>
      <c r="B33" s="383"/>
      <c r="C33" s="384"/>
      <c r="D33" s="385"/>
      <c r="E33" s="385"/>
      <c r="F33" s="385"/>
      <c r="G33" s="384"/>
      <c r="H33" s="384"/>
      <c r="I33" s="384"/>
      <c r="J33" s="384"/>
      <c r="K33" s="384"/>
      <c r="L33" s="384"/>
      <c r="M33" s="384"/>
      <c r="X33" s="133">
        <v>42572</v>
      </c>
      <c r="Y33" s="10">
        <v>71.709999999999994</v>
      </c>
      <c r="Z33" s="10">
        <v>71.72</v>
      </c>
      <c r="AA33" s="10">
        <v>70.989999999999995</v>
      </c>
      <c r="AB33" s="10">
        <v>71.209999999999994</v>
      </c>
      <c r="AC33" s="95">
        <v>3008800</v>
      </c>
      <c r="AD33" s="10">
        <v>71.209999999999994</v>
      </c>
      <c r="AE33" s="2">
        <f t="shared" si="0"/>
        <v>0.73000000000000398</v>
      </c>
      <c r="AF33" s="138">
        <f t="shared" si="1"/>
        <v>-6.8340306834031583E-3</v>
      </c>
    </row>
    <row r="34" spans="1:32" x14ac:dyDescent="0.25">
      <c r="A34" s="384"/>
      <c r="B34" s="384"/>
      <c r="C34" s="384"/>
      <c r="D34" s="385"/>
      <c r="E34" s="385"/>
      <c r="F34" s="385"/>
      <c r="G34" s="384"/>
      <c r="H34" s="384"/>
      <c r="I34" s="384"/>
      <c r="J34" s="384"/>
      <c r="K34" s="384"/>
      <c r="L34" s="384"/>
      <c r="M34" s="384"/>
      <c r="X34" s="133">
        <v>42571</v>
      </c>
      <c r="Y34" s="10">
        <v>72.650000000000006</v>
      </c>
      <c r="Z34" s="10">
        <v>72.7</v>
      </c>
      <c r="AA34" s="10">
        <v>71.64</v>
      </c>
      <c r="AB34" s="10">
        <v>71.7</v>
      </c>
      <c r="AC34" s="95">
        <v>2841000</v>
      </c>
      <c r="AD34" s="10">
        <v>71.7</v>
      </c>
      <c r="AE34" s="2">
        <f t="shared" si="0"/>
        <v>1.0600000000000023</v>
      </c>
      <c r="AF34" s="138">
        <f t="shared" si="1"/>
        <v>-1.2940528634361237E-2</v>
      </c>
    </row>
    <row r="35" spans="1:32" x14ac:dyDescent="0.25">
      <c r="A35" s="384"/>
      <c r="B35" s="384"/>
      <c r="C35" s="384"/>
      <c r="D35" s="385"/>
      <c r="E35" s="385"/>
      <c r="F35" s="385"/>
      <c r="G35" s="384"/>
      <c r="H35" s="384"/>
      <c r="I35" s="384"/>
      <c r="J35" s="384"/>
      <c r="K35" s="384"/>
      <c r="L35" s="384"/>
      <c r="M35" s="384"/>
      <c r="X35" s="133">
        <v>42570</v>
      </c>
      <c r="Y35" s="10">
        <v>72.209999999999994</v>
      </c>
      <c r="Z35" s="10">
        <v>72.66</v>
      </c>
      <c r="AA35" s="10">
        <v>72</v>
      </c>
      <c r="AB35" s="10">
        <v>72.64</v>
      </c>
      <c r="AC35" s="95">
        <v>1996200</v>
      </c>
      <c r="AD35" s="10">
        <v>72.64</v>
      </c>
      <c r="AE35" s="2">
        <f t="shared" si="0"/>
        <v>0.65999999999999659</v>
      </c>
      <c r="AF35" s="138">
        <f t="shared" si="1"/>
        <v>4.9806308799114074E-3</v>
      </c>
    </row>
    <row r="36" spans="1:32" x14ac:dyDescent="0.25">
      <c r="A36" s="384"/>
      <c r="B36" s="384"/>
      <c r="C36" s="384"/>
      <c r="D36" s="385"/>
      <c r="E36" s="385"/>
      <c r="F36" s="385"/>
      <c r="G36" s="384"/>
      <c r="H36" s="384"/>
      <c r="I36" s="384"/>
      <c r="J36" s="384"/>
      <c r="K36" s="384"/>
      <c r="L36" s="384"/>
      <c r="M36" s="384"/>
      <c r="X36" s="133">
        <v>42569</v>
      </c>
      <c r="Y36" s="10">
        <v>72.19</v>
      </c>
      <c r="Z36" s="10">
        <v>72.400000000000006</v>
      </c>
      <c r="AA36" s="10">
        <v>71.97</v>
      </c>
      <c r="AB36" s="10">
        <v>72.28</v>
      </c>
      <c r="AC36" s="95">
        <v>2217100</v>
      </c>
      <c r="AD36" s="10">
        <v>72.28</v>
      </c>
      <c r="AE36" s="2">
        <f t="shared" si="0"/>
        <v>0.43000000000000682</v>
      </c>
      <c r="AF36" s="138">
        <f t="shared" si="1"/>
        <v>3.6101083032491488E-3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>
        <v>42566</v>
      </c>
      <c r="Y37" s="10">
        <v>72.25</v>
      </c>
      <c r="Z37" s="10">
        <v>72.28</v>
      </c>
      <c r="AA37" s="10">
        <v>71.849999999999994</v>
      </c>
      <c r="AB37" s="10">
        <v>72.02</v>
      </c>
      <c r="AC37" s="95">
        <v>2848900</v>
      </c>
      <c r="AD37" s="10">
        <v>72.02</v>
      </c>
      <c r="AE37" s="2">
        <f t="shared" si="0"/>
        <v>0.43000000000000682</v>
      </c>
      <c r="AF37" s="138">
        <f t="shared" si="1"/>
        <v>-9.7100846164521748E-4</v>
      </c>
    </row>
    <row r="38" spans="1:32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X38" s="133">
        <v>42565</v>
      </c>
      <c r="Y38" s="10">
        <v>71.69</v>
      </c>
      <c r="Z38" s="10">
        <v>72.319999999999993</v>
      </c>
      <c r="AA38" s="10">
        <v>71.680000000000007</v>
      </c>
      <c r="AB38" s="10">
        <v>72.09</v>
      </c>
      <c r="AC38" s="95">
        <v>2689500</v>
      </c>
      <c r="AD38" s="10">
        <v>72.09</v>
      </c>
      <c r="AE38" s="2">
        <f t="shared" si="0"/>
        <v>0.63999999999998636</v>
      </c>
      <c r="AF38" s="138">
        <f t="shared" si="1"/>
        <v>2.085070892410501E-3</v>
      </c>
    </row>
    <row r="39" spans="1:32" x14ac:dyDescent="0.25">
      <c r="X39" s="133">
        <v>42564</v>
      </c>
      <c r="Y39" s="10">
        <v>71.489999999999995</v>
      </c>
      <c r="Z39" s="10">
        <v>71.97</v>
      </c>
      <c r="AA39" s="10">
        <v>71.36</v>
      </c>
      <c r="AB39" s="10">
        <v>71.94</v>
      </c>
      <c r="AC39" s="95">
        <v>2852100</v>
      </c>
      <c r="AD39" s="10">
        <v>71.94</v>
      </c>
      <c r="AE39" s="2">
        <f t="shared" si="0"/>
        <v>0.60999999999999943</v>
      </c>
      <c r="AF39" s="138">
        <f t="shared" si="1"/>
        <v>7.2808737048444261E-3</v>
      </c>
    </row>
    <row r="40" spans="1:32" x14ac:dyDescent="0.25">
      <c r="X40" s="133">
        <v>42563</v>
      </c>
      <c r="Y40" s="10">
        <v>71.47</v>
      </c>
      <c r="Z40" s="10">
        <v>71.81</v>
      </c>
      <c r="AA40" s="10">
        <v>71.12</v>
      </c>
      <c r="AB40" s="10">
        <v>71.42</v>
      </c>
      <c r="AC40" s="95">
        <v>3486500</v>
      </c>
      <c r="AD40" s="10">
        <v>71.42</v>
      </c>
      <c r="AE40" s="2">
        <f t="shared" si="0"/>
        <v>0.68999999999999773</v>
      </c>
      <c r="AF40" s="138">
        <f t="shared" si="1"/>
        <v>-5.4309984681799595E-3</v>
      </c>
    </row>
    <row r="41" spans="1:32" ht="20.25" thickBot="1" x14ac:dyDescent="0.35">
      <c r="O41" s="545" t="s">
        <v>78</v>
      </c>
      <c r="P41" s="545"/>
      <c r="X41" s="133">
        <v>42562</v>
      </c>
      <c r="Y41" s="10">
        <v>72.27</v>
      </c>
      <c r="Z41" s="10">
        <v>72.3</v>
      </c>
      <c r="AA41" s="10">
        <v>71.7</v>
      </c>
      <c r="AB41" s="10">
        <v>71.81</v>
      </c>
      <c r="AC41" s="95">
        <v>3559900</v>
      </c>
      <c r="AD41" s="10">
        <v>71.81</v>
      </c>
      <c r="AE41" s="2">
        <f t="shared" si="0"/>
        <v>0.59999999999999432</v>
      </c>
      <c r="AF41" s="138">
        <f t="shared" si="1"/>
        <v>-8.9704664642560328E-3</v>
      </c>
    </row>
    <row r="42" spans="1:32" ht="21" thickTop="1" thickBot="1" x14ac:dyDescent="0.35">
      <c r="O42" s="83">
        <v>1.1000000000000001</v>
      </c>
      <c r="P42" s="83">
        <f>O42*$Q$4</f>
        <v>77.990000000000009</v>
      </c>
      <c r="Q42" s="2"/>
      <c r="T42" s="91"/>
      <c r="X42" s="133">
        <v>42559</v>
      </c>
      <c r="Y42" s="10">
        <v>72.39</v>
      </c>
      <c r="Z42" s="10">
        <v>72.48</v>
      </c>
      <c r="AA42" s="10">
        <v>71.56</v>
      </c>
      <c r="AB42" s="10">
        <v>72.459999999999994</v>
      </c>
      <c r="AC42" s="95">
        <v>4234100</v>
      </c>
      <c r="AD42" s="10">
        <v>72.459999999999994</v>
      </c>
      <c r="AE42" s="2">
        <f t="shared" si="0"/>
        <v>0.92000000000000171</v>
      </c>
      <c r="AF42" s="138">
        <f t="shared" si="1"/>
        <v>6.1094140516522177E-3</v>
      </c>
    </row>
    <row r="43" spans="1:32" ht="15.75" thickTop="1" x14ac:dyDescent="0.25">
      <c r="O43" s="83">
        <v>1.0900000000000001</v>
      </c>
      <c r="P43" s="83">
        <f t="shared" ref="P43:P62" si="2">O43*$Q$4</f>
        <v>77.281000000000006</v>
      </c>
      <c r="Q43" s="2"/>
      <c r="T43" s="161" t="s">
        <v>98</v>
      </c>
      <c r="U43" s="161">
        <v>70.11</v>
      </c>
      <c r="X43" s="133">
        <v>42558</v>
      </c>
      <c r="Y43" s="10">
        <v>72.44</v>
      </c>
      <c r="Z43" s="10">
        <v>72.77</v>
      </c>
      <c r="AA43" s="10">
        <v>71.77</v>
      </c>
      <c r="AB43" s="10">
        <v>72.02</v>
      </c>
      <c r="AC43" s="95">
        <v>4383900</v>
      </c>
      <c r="AD43" s="10">
        <v>72.02</v>
      </c>
      <c r="AE43" s="2">
        <f t="shared" si="0"/>
        <v>1</v>
      </c>
      <c r="AF43" s="138" t="e">
        <f t="shared" si="1"/>
        <v>#DIV/0!</v>
      </c>
    </row>
    <row r="44" spans="1:32" x14ac:dyDescent="0.25">
      <c r="O44" s="83">
        <v>1.08</v>
      </c>
      <c r="P44" s="83">
        <f t="shared" si="2"/>
        <v>76.572000000000017</v>
      </c>
      <c r="Q44" s="2"/>
      <c r="T44" s="10" t="s">
        <v>99</v>
      </c>
      <c r="U44" s="10">
        <v>70.569999999999993</v>
      </c>
      <c r="X44" s="133">
        <v>42558</v>
      </c>
      <c r="Y44" s="10" t="s">
        <v>274</v>
      </c>
      <c r="Z44" s="10"/>
      <c r="AA44" s="10"/>
      <c r="AB44" s="10"/>
      <c r="AC44" s="95"/>
      <c r="AD44" s="10"/>
      <c r="AE44" s="2">
        <f t="shared" si="0"/>
        <v>0</v>
      </c>
      <c r="AF44" s="138">
        <f t="shared" si="1"/>
        <v>-1</v>
      </c>
    </row>
    <row r="45" spans="1:32" x14ac:dyDescent="0.25">
      <c r="O45" s="83">
        <v>1.07</v>
      </c>
      <c r="P45" s="83">
        <f t="shared" si="2"/>
        <v>75.863000000000014</v>
      </c>
      <c r="Q45" s="2"/>
      <c r="T45" s="10" t="s">
        <v>100</v>
      </c>
      <c r="U45" s="10" t="s">
        <v>557</v>
      </c>
      <c r="X45" s="133">
        <v>42557</v>
      </c>
      <c r="Y45" s="10">
        <v>72.27</v>
      </c>
      <c r="Z45" s="10">
        <v>72.95</v>
      </c>
      <c r="AA45" s="10">
        <v>71.86</v>
      </c>
      <c r="AB45" s="10">
        <v>72.56</v>
      </c>
      <c r="AC45" s="95">
        <v>7086800</v>
      </c>
      <c r="AD45" s="10">
        <v>72.08</v>
      </c>
      <c r="AE45" s="2">
        <f t="shared" si="0"/>
        <v>1.0900000000000034</v>
      </c>
      <c r="AF45" s="138">
        <f t="shared" si="1"/>
        <v>6.2822839592349133E-3</v>
      </c>
    </row>
    <row r="46" spans="1:32" x14ac:dyDescent="0.25">
      <c r="O46" s="83">
        <v>1.06</v>
      </c>
      <c r="P46" s="83">
        <f t="shared" si="2"/>
        <v>75.154000000000011</v>
      </c>
      <c r="Q46" s="2"/>
      <c r="T46" s="10" t="s">
        <v>101</v>
      </c>
      <c r="U46" s="10" t="s">
        <v>558</v>
      </c>
      <c r="X46" s="133">
        <v>42556</v>
      </c>
      <c r="Y46" s="10">
        <v>71.88</v>
      </c>
      <c r="Z46" s="10">
        <v>72.66</v>
      </c>
      <c r="AA46" s="10">
        <v>71.73</v>
      </c>
      <c r="AB46" s="10">
        <v>72.11</v>
      </c>
      <c r="AC46" s="95">
        <v>4806000</v>
      </c>
      <c r="AD46" s="10">
        <v>71.63</v>
      </c>
      <c r="AE46" s="2">
        <f t="shared" si="0"/>
        <v>0.92999999999999261</v>
      </c>
      <c r="AF46" s="138">
        <f t="shared" si="1"/>
        <v>2.378953260565364E-3</v>
      </c>
    </row>
    <row r="47" spans="1:32" x14ac:dyDescent="0.25">
      <c r="O47" s="83">
        <v>1.05</v>
      </c>
      <c r="P47" s="83">
        <f t="shared" si="2"/>
        <v>74.445000000000007</v>
      </c>
      <c r="Q47" s="2"/>
      <c r="T47" s="10" t="s">
        <v>102</v>
      </c>
      <c r="U47" s="10">
        <v>69.33</v>
      </c>
      <c r="X47" s="133">
        <v>42552</v>
      </c>
      <c r="Y47" s="10">
        <v>71.19</v>
      </c>
      <c r="Z47" s="10">
        <v>72.19</v>
      </c>
      <c r="AA47" s="10">
        <v>70.86</v>
      </c>
      <c r="AB47" s="10">
        <v>71.94</v>
      </c>
      <c r="AC47" s="95">
        <v>6075900</v>
      </c>
      <c r="AD47" s="10">
        <v>71.459999999999994</v>
      </c>
      <c r="AE47" s="2">
        <f t="shared" si="0"/>
        <v>1.3299999999999983</v>
      </c>
      <c r="AF47" s="138">
        <f t="shared" si="1"/>
        <v>8.6097388849681877E-3</v>
      </c>
    </row>
    <row r="48" spans="1:32" x14ac:dyDescent="0.25">
      <c r="O48" s="83">
        <v>1.04</v>
      </c>
      <c r="P48" s="83">
        <f t="shared" si="2"/>
        <v>73.736000000000004</v>
      </c>
      <c r="Q48" s="2"/>
      <c r="T48" s="10" t="s">
        <v>103</v>
      </c>
      <c r="U48" s="10">
        <v>0.57473200000000002</v>
      </c>
      <c r="X48" s="133">
        <v>42551</v>
      </c>
      <c r="Y48" s="10">
        <v>68</v>
      </c>
      <c r="Z48" s="10">
        <v>71.78</v>
      </c>
      <c r="AA48" s="10">
        <v>68</v>
      </c>
      <c r="AB48" s="10">
        <v>71.319999999999993</v>
      </c>
      <c r="AC48" s="95">
        <v>12380000</v>
      </c>
      <c r="AD48" s="10">
        <v>70.849999999999994</v>
      </c>
      <c r="AE48" s="2">
        <f t="shared" si="0"/>
        <v>3.7800000000000011</v>
      </c>
      <c r="AF48" s="138">
        <f t="shared" si="1"/>
        <v>5.1031004302032335E-2</v>
      </c>
    </row>
    <row r="49" spans="15:32" x14ac:dyDescent="0.25">
      <c r="O49" s="83">
        <v>1.03</v>
      </c>
      <c r="P49" s="83">
        <f t="shared" si="2"/>
        <v>73.027000000000001</v>
      </c>
      <c r="Q49" s="2"/>
      <c r="T49" s="10" t="s">
        <v>104</v>
      </c>
      <c r="U49" s="10" t="s">
        <v>370</v>
      </c>
      <c r="X49" s="133">
        <v>42550</v>
      </c>
      <c r="Y49" s="10">
        <v>66.17</v>
      </c>
      <c r="Z49" s="10">
        <v>67.91</v>
      </c>
      <c r="AA49" s="10">
        <v>65.64</v>
      </c>
      <c r="AB49" s="10">
        <v>67.86</v>
      </c>
      <c r="AC49" s="95">
        <v>7759700</v>
      </c>
      <c r="AD49" s="10">
        <v>67.41</v>
      </c>
      <c r="AE49" s="2">
        <f t="shared" si="0"/>
        <v>2.269999999999996</v>
      </c>
      <c r="AF49" s="138">
        <f t="shared" si="1"/>
        <v>3.1996325780771606E-2</v>
      </c>
    </row>
    <row r="50" spans="15:32" x14ac:dyDescent="0.25">
      <c r="O50" s="83">
        <v>1.02</v>
      </c>
      <c r="P50" s="83">
        <f t="shared" si="2"/>
        <v>72.318000000000012</v>
      </c>
      <c r="Q50" s="2"/>
      <c r="T50" s="10"/>
      <c r="U50" s="10"/>
      <c r="X50" s="133">
        <v>42549</v>
      </c>
      <c r="Y50" s="10">
        <v>66.25</v>
      </c>
      <c r="Z50" s="10">
        <v>66.25</v>
      </c>
      <c r="AA50" s="10">
        <v>65.16</v>
      </c>
      <c r="AB50" s="10">
        <v>65.760000000000005</v>
      </c>
      <c r="AC50" s="95">
        <v>4961400</v>
      </c>
      <c r="AD50" s="10">
        <v>65.319999999999993</v>
      </c>
      <c r="AE50" s="2">
        <f t="shared" si="0"/>
        <v>1.0900000000000034</v>
      </c>
      <c r="AF50" s="138">
        <f t="shared" si="1"/>
        <v>-6.5399239543727505E-3</v>
      </c>
    </row>
    <row r="51" spans="15:32" x14ac:dyDescent="0.25">
      <c r="O51" s="83">
        <v>1.01</v>
      </c>
      <c r="P51" s="83">
        <f t="shared" si="2"/>
        <v>71.609000000000009</v>
      </c>
      <c r="Q51" s="2"/>
      <c r="T51" s="10" t="s">
        <v>105</v>
      </c>
      <c r="U51" s="10" t="s">
        <v>559</v>
      </c>
      <c r="X51" s="133">
        <v>42548</v>
      </c>
      <c r="Y51" s="10">
        <v>65.83</v>
      </c>
      <c r="Z51" s="10">
        <v>66.400000000000006</v>
      </c>
      <c r="AA51" s="10">
        <v>65.63</v>
      </c>
      <c r="AB51" s="10">
        <v>66.19</v>
      </c>
      <c r="AC51" s="95">
        <v>4252300</v>
      </c>
      <c r="AD51" s="10">
        <v>65.75</v>
      </c>
      <c r="AE51" s="2">
        <f t="shared" si="0"/>
        <v>0.77000000000001023</v>
      </c>
      <c r="AF51" s="138">
        <f t="shared" si="1"/>
        <v>7.6103500761037779E-4</v>
      </c>
    </row>
    <row r="52" spans="15:32" x14ac:dyDescent="0.25">
      <c r="O52" s="83">
        <v>1</v>
      </c>
      <c r="P52" s="83">
        <f t="shared" si="2"/>
        <v>70.900000000000006</v>
      </c>
      <c r="Q52" s="2"/>
      <c r="T52" s="10" t="s">
        <v>106</v>
      </c>
      <c r="U52" s="10" t="s">
        <v>364</v>
      </c>
      <c r="X52" s="133">
        <v>42545</v>
      </c>
      <c r="Y52" s="10">
        <v>65.66</v>
      </c>
      <c r="Z52" s="10">
        <v>66.849999999999994</v>
      </c>
      <c r="AA52" s="10">
        <v>65.41</v>
      </c>
      <c r="AB52" s="10">
        <v>66.14</v>
      </c>
      <c r="AC52" s="95">
        <v>4836000</v>
      </c>
      <c r="AD52" s="10">
        <v>65.7</v>
      </c>
      <c r="AE52" s="2">
        <f t="shared" si="0"/>
        <v>1.4399999999999977</v>
      </c>
      <c r="AF52" s="138">
        <f t="shared" si="1"/>
        <v>-9.4979647218452756E-3</v>
      </c>
    </row>
    <row r="53" spans="15:32" x14ac:dyDescent="0.25">
      <c r="O53" s="83">
        <v>0.99</v>
      </c>
      <c r="P53" s="83">
        <f t="shared" si="2"/>
        <v>70.191000000000003</v>
      </c>
      <c r="Q53" s="2"/>
      <c r="T53" s="95" t="s">
        <v>107</v>
      </c>
      <c r="U53" s="95">
        <v>2446591</v>
      </c>
      <c r="X53" s="133">
        <v>42544</v>
      </c>
      <c r="Y53" s="10">
        <v>66.75</v>
      </c>
      <c r="Z53" s="10">
        <v>66.88</v>
      </c>
      <c r="AA53" s="10">
        <v>66.260000000000005</v>
      </c>
      <c r="AB53" s="10">
        <v>66.77</v>
      </c>
      <c r="AC53" s="95">
        <v>2107800</v>
      </c>
      <c r="AD53" s="10">
        <v>66.33</v>
      </c>
      <c r="AE53" s="2">
        <f t="shared" si="0"/>
        <v>0.61999999999999034</v>
      </c>
      <c r="AF53" s="138">
        <f t="shared" si="1"/>
        <v>5.6094602789569237E-3</v>
      </c>
    </row>
    <row r="54" spans="15:32" x14ac:dyDescent="0.25">
      <c r="O54" s="83">
        <v>0.98</v>
      </c>
      <c r="P54" s="83">
        <f t="shared" si="2"/>
        <v>69.481999999999999</v>
      </c>
      <c r="Q54" s="2"/>
      <c r="T54" s="95" t="s">
        <v>110</v>
      </c>
      <c r="U54" s="95">
        <v>3303450</v>
      </c>
      <c r="X54" s="133">
        <v>42543</v>
      </c>
      <c r="Y54" s="10">
        <v>66.59</v>
      </c>
      <c r="Z54" s="10">
        <v>66.790000000000006</v>
      </c>
      <c r="AA54" s="10">
        <v>66.2</v>
      </c>
      <c r="AB54" s="10">
        <v>66.400000000000006</v>
      </c>
      <c r="AC54" s="95">
        <v>2630200</v>
      </c>
      <c r="AD54" s="10">
        <v>65.959999999999994</v>
      </c>
      <c r="AE54" s="2">
        <f t="shared" si="0"/>
        <v>0.59000000000000341</v>
      </c>
      <c r="AF54" s="138">
        <f t="shared" si="1"/>
        <v>-1.815980629540026E-3</v>
      </c>
    </row>
    <row r="55" spans="15:32" x14ac:dyDescent="0.25">
      <c r="O55" s="83">
        <v>0.97</v>
      </c>
      <c r="P55" s="83">
        <f t="shared" si="2"/>
        <v>68.77300000000001</v>
      </c>
      <c r="T55" s="10" t="s">
        <v>108</v>
      </c>
      <c r="U55" s="10" t="s">
        <v>560</v>
      </c>
      <c r="X55" s="133">
        <v>42542</v>
      </c>
      <c r="Y55" s="10">
        <v>66.069999999999993</v>
      </c>
      <c r="Z55" s="10">
        <v>66.66</v>
      </c>
      <c r="AA55" s="10">
        <v>65.989999999999995</v>
      </c>
      <c r="AB55" s="10">
        <v>66.52</v>
      </c>
      <c r="AC55" s="95">
        <v>3132800</v>
      </c>
      <c r="AD55" s="10">
        <v>66.08</v>
      </c>
      <c r="AE55" s="2">
        <f t="shared" si="0"/>
        <v>0.67000000000000171</v>
      </c>
      <c r="AF55" s="138">
        <f t="shared" si="1"/>
        <v>9.7799511002445438E-3</v>
      </c>
    </row>
    <row r="56" spans="15:32" x14ac:dyDescent="0.25">
      <c r="O56" s="83">
        <v>0.96</v>
      </c>
      <c r="P56" s="83">
        <f t="shared" si="2"/>
        <v>68.064000000000007</v>
      </c>
      <c r="T56" s="10" t="s">
        <v>111</v>
      </c>
      <c r="U56" s="10">
        <v>25.61</v>
      </c>
      <c r="X56" s="133">
        <v>42541</v>
      </c>
      <c r="Y56" s="10">
        <v>65.97</v>
      </c>
      <c r="Z56" s="10">
        <v>66.41</v>
      </c>
      <c r="AA56" s="10">
        <v>65.87</v>
      </c>
      <c r="AB56" s="10">
        <v>65.88</v>
      </c>
      <c r="AC56" s="95">
        <v>2321600</v>
      </c>
      <c r="AD56" s="10">
        <v>65.44</v>
      </c>
      <c r="AE56" s="2">
        <f t="shared" si="0"/>
        <v>0.53999999999999204</v>
      </c>
      <c r="AF56" s="138">
        <f t="shared" si="1"/>
        <v>1.0708275967568071E-3</v>
      </c>
    </row>
    <row r="57" spans="15:32" x14ac:dyDescent="0.25">
      <c r="O57" s="83">
        <v>0.95</v>
      </c>
      <c r="P57" s="83">
        <f t="shared" si="2"/>
        <v>67.355000000000004</v>
      </c>
      <c r="T57" s="10" t="s">
        <v>112</v>
      </c>
      <c r="U57" s="10">
        <v>2.77</v>
      </c>
      <c r="X57" s="133">
        <v>42538</v>
      </c>
      <c r="Y57" s="10">
        <v>65.63</v>
      </c>
      <c r="Z57" s="10">
        <v>65.819999999999993</v>
      </c>
      <c r="AA57" s="10">
        <v>65.09</v>
      </c>
      <c r="AB57" s="10">
        <v>65.81</v>
      </c>
      <c r="AC57" s="95">
        <v>3331300</v>
      </c>
      <c r="AD57" s="10">
        <v>65.37</v>
      </c>
      <c r="AE57" s="2">
        <f t="shared" si="0"/>
        <v>0.72999999999998977</v>
      </c>
      <c r="AF57" s="138">
        <f t="shared" si="1"/>
        <v>4.5913682277309853E-4</v>
      </c>
    </row>
    <row r="58" spans="15:32" x14ac:dyDescent="0.25">
      <c r="O58" s="83">
        <v>0.94</v>
      </c>
      <c r="P58" s="83">
        <f t="shared" si="2"/>
        <v>66.646000000000001</v>
      </c>
      <c r="T58" s="10" t="s">
        <v>109</v>
      </c>
      <c r="U58" s="10" t="s">
        <v>590</v>
      </c>
      <c r="X58" s="133">
        <v>42537</v>
      </c>
      <c r="Y58" s="10">
        <v>64.84</v>
      </c>
      <c r="Z58" s="10">
        <v>65.790000000000006</v>
      </c>
      <c r="AA58" s="10">
        <v>64.77</v>
      </c>
      <c r="AB58" s="10">
        <v>65.78</v>
      </c>
      <c r="AC58" s="95">
        <v>2147100</v>
      </c>
      <c r="AD58" s="10">
        <v>65.34</v>
      </c>
      <c r="AE58" s="2">
        <f t="shared" si="0"/>
        <v>1.0200000000000102</v>
      </c>
      <c r="AF58" s="138">
        <f t="shared" si="1"/>
        <v>1.3651877133106005E-2</v>
      </c>
    </row>
    <row r="59" spans="15:32" x14ac:dyDescent="0.25">
      <c r="O59" s="83">
        <v>0.93</v>
      </c>
      <c r="P59" s="83">
        <f t="shared" si="2"/>
        <v>65.937000000000012</v>
      </c>
      <c r="X59" s="133">
        <v>42536</v>
      </c>
      <c r="Y59" s="10">
        <v>64.97</v>
      </c>
      <c r="Z59" s="10">
        <v>65.25</v>
      </c>
      <c r="AA59" s="10">
        <v>64.709999999999994</v>
      </c>
      <c r="AB59" s="10">
        <v>64.89</v>
      </c>
      <c r="AC59" s="95">
        <v>2042400</v>
      </c>
      <c r="AD59" s="10">
        <v>64.459999999999994</v>
      </c>
      <c r="AE59" s="2">
        <f t="shared" si="0"/>
        <v>0.54000000000000625</v>
      </c>
      <c r="AF59" s="138">
        <f t="shared" si="1"/>
        <v>-2.3216220399320253E-3</v>
      </c>
    </row>
    <row r="60" spans="15:32" x14ac:dyDescent="0.25">
      <c r="O60" s="83">
        <v>0.92</v>
      </c>
      <c r="P60" s="83">
        <f t="shared" si="2"/>
        <v>65.228000000000009</v>
      </c>
      <c r="X60" s="133">
        <v>42535</v>
      </c>
      <c r="Y60" s="10">
        <v>64.64</v>
      </c>
      <c r="Z60" s="10">
        <v>65.13</v>
      </c>
      <c r="AA60" s="10">
        <v>64.290000000000006</v>
      </c>
      <c r="AB60" s="10">
        <v>65.040000000000006</v>
      </c>
      <c r="AC60" s="95">
        <v>2671400</v>
      </c>
      <c r="AD60" s="10">
        <v>64.61</v>
      </c>
      <c r="AE60" s="2">
        <f t="shared" si="0"/>
        <v>0.8399999999999892</v>
      </c>
      <c r="AF60" s="138">
        <f t="shared" si="1"/>
        <v>2.9493945979508496E-3</v>
      </c>
    </row>
    <row r="61" spans="15:32" x14ac:dyDescent="0.25">
      <c r="O61" s="83">
        <v>0.91</v>
      </c>
      <c r="P61" s="83">
        <f t="shared" si="2"/>
        <v>64.519000000000005</v>
      </c>
      <c r="X61" s="133">
        <v>42534</v>
      </c>
      <c r="Y61" s="10">
        <v>65.02</v>
      </c>
      <c r="Z61" s="10">
        <v>65.489999999999995</v>
      </c>
      <c r="AA61" s="10">
        <v>64.73</v>
      </c>
      <c r="AB61" s="10">
        <v>64.849999999999994</v>
      </c>
      <c r="AC61" s="95">
        <v>2407800</v>
      </c>
      <c r="AD61" s="10">
        <v>64.42</v>
      </c>
      <c r="AE61" s="2">
        <f t="shared" si="0"/>
        <v>0.75999999999999091</v>
      </c>
      <c r="AF61" s="138">
        <f t="shared" si="1"/>
        <v>-8.6180363188673725E-3</v>
      </c>
    </row>
    <row r="62" spans="15:32" x14ac:dyDescent="0.25">
      <c r="O62" s="83">
        <v>0.9</v>
      </c>
      <c r="P62" s="83">
        <f t="shared" si="2"/>
        <v>63.810000000000009</v>
      </c>
      <c r="X62" s="133">
        <v>42531</v>
      </c>
      <c r="Y62" s="10">
        <v>65.06</v>
      </c>
      <c r="Z62" s="10">
        <v>65.5</v>
      </c>
      <c r="AA62" s="10">
        <v>65.010000000000005</v>
      </c>
      <c r="AB62" s="10">
        <v>65.41</v>
      </c>
      <c r="AC62" s="95">
        <v>2677100</v>
      </c>
      <c r="AD62" s="10">
        <v>64.98</v>
      </c>
      <c r="AE62" s="2">
        <f t="shared" si="0"/>
        <v>0.48999999999999488</v>
      </c>
      <c r="AF62" s="138">
        <f t="shared" si="1"/>
        <v>1.0784162686798826E-3</v>
      </c>
    </row>
    <row r="63" spans="15:32" x14ac:dyDescent="0.25">
      <c r="X63" s="133">
        <v>42530</v>
      </c>
      <c r="Y63" s="10">
        <v>64.430000000000007</v>
      </c>
      <c r="Z63" s="10">
        <v>65.39</v>
      </c>
      <c r="AA63" s="10">
        <v>64.349999999999994</v>
      </c>
      <c r="AB63" s="10">
        <v>65.34</v>
      </c>
      <c r="AC63" s="95">
        <v>2460600</v>
      </c>
      <c r="AD63" s="10">
        <v>64.91</v>
      </c>
      <c r="AE63" s="2">
        <f t="shared" si="0"/>
        <v>1.0400000000000063</v>
      </c>
      <c r="AF63" s="138">
        <f t="shared" si="1"/>
        <v>1.4377246444756908E-2</v>
      </c>
    </row>
    <row r="64" spans="15:32" x14ac:dyDescent="0.25">
      <c r="X64" s="133">
        <v>42529</v>
      </c>
      <c r="Y64" s="10">
        <v>64</v>
      </c>
      <c r="Z64" s="10">
        <v>64.489999999999995</v>
      </c>
      <c r="AA64" s="10">
        <v>63.83</v>
      </c>
      <c r="AB64" s="10">
        <v>64.42</v>
      </c>
      <c r="AC64" s="95">
        <v>2323200</v>
      </c>
      <c r="AD64" s="10">
        <v>63.99</v>
      </c>
      <c r="AE64" s="2">
        <f t="shared" si="0"/>
        <v>0.65999999999999659</v>
      </c>
      <c r="AF64" s="138">
        <f t="shared" si="1"/>
        <v>6.1320754716980286E-3</v>
      </c>
    </row>
    <row r="65" spans="24:32" x14ac:dyDescent="0.25">
      <c r="X65" s="133">
        <v>42528</v>
      </c>
      <c r="Y65" s="10">
        <v>63.68</v>
      </c>
      <c r="Z65" s="10">
        <v>64.17</v>
      </c>
      <c r="AA65" s="10">
        <v>63.63</v>
      </c>
      <c r="AB65" s="10">
        <v>64.02</v>
      </c>
      <c r="AC65" s="95">
        <v>2000500</v>
      </c>
      <c r="AD65" s="10">
        <v>63.6</v>
      </c>
      <c r="AE65" s="2">
        <f t="shared" si="0"/>
        <v>0.53999999999999915</v>
      </c>
      <c r="AF65" s="138">
        <f t="shared" si="1"/>
        <v>6.966434452184922E-3</v>
      </c>
    </row>
    <row r="66" spans="24:32" x14ac:dyDescent="0.25">
      <c r="X66" s="133">
        <v>42527</v>
      </c>
      <c r="Y66" s="10">
        <v>63.66</v>
      </c>
      <c r="Z66" s="10">
        <v>63.89</v>
      </c>
      <c r="AA66" s="10">
        <v>63.27</v>
      </c>
      <c r="AB66" s="10">
        <v>63.58</v>
      </c>
      <c r="AC66" s="95">
        <v>1649200</v>
      </c>
      <c r="AD66" s="10">
        <v>63.16</v>
      </c>
      <c r="AE66" s="2">
        <f t="shared" si="0"/>
        <v>0.61999999999999744</v>
      </c>
      <c r="AF66" s="138">
        <f t="shared" si="1"/>
        <v>-1.7385806859492314E-3</v>
      </c>
    </row>
    <row r="67" spans="24:32" x14ac:dyDescent="0.25">
      <c r="X67" s="133">
        <v>42524</v>
      </c>
      <c r="Y67" s="10">
        <v>63.2</v>
      </c>
      <c r="Z67" s="10">
        <v>63.84</v>
      </c>
      <c r="AA67" s="10">
        <v>63.19</v>
      </c>
      <c r="AB67" s="10">
        <v>63.69</v>
      </c>
      <c r="AC67" s="95">
        <v>1979900</v>
      </c>
      <c r="AD67" s="10">
        <v>63.27</v>
      </c>
      <c r="AE67" s="2">
        <f>Z67-AA67</f>
        <v>0.65000000000000568</v>
      </c>
      <c r="AF67" s="138">
        <f>AD67/AD68-1</f>
        <v>7.3236745741123155E-3</v>
      </c>
    </row>
    <row r="68" spans="24:32" x14ac:dyDescent="0.25">
      <c r="X68" s="133">
        <v>42523</v>
      </c>
      <c r="Y68" s="10">
        <v>63.07</v>
      </c>
      <c r="Z68" s="10">
        <v>63.26</v>
      </c>
      <c r="AA68" s="10">
        <v>62.84</v>
      </c>
      <c r="AB68" s="10">
        <v>63.23</v>
      </c>
      <c r="AC68" s="95">
        <v>1593600</v>
      </c>
      <c r="AD68" s="10">
        <v>62.81</v>
      </c>
      <c r="AE68" s="2">
        <f>Z68-AA68</f>
        <v>0.4199999999999946</v>
      </c>
      <c r="AF68" s="138" t="e">
        <f>AD68/AD69-1</f>
        <v>#DIV/0!</v>
      </c>
    </row>
    <row r="69" spans="24:32" x14ac:dyDescent="0.25">
      <c r="X69" s="133" t="s">
        <v>122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98" priority="7">
      <formula>F22&gt;0</formula>
    </cfRule>
    <cfRule type="expression" dxfId="97" priority="8">
      <formula>F22&lt;0</formula>
    </cfRule>
  </conditionalFormatting>
  <conditionalFormatting sqref="H22:H25">
    <cfRule type="expression" dxfId="96" priority="5">
      <formula>H22&gt;0</formula>
    </cfRule>
    <cfRule type="expression" dxfId="95" priority="6">
      <formula>H22&lt;0</formula>
    </cfRule>
  </conditionalFormatting>
  <conditionalFormatting sqref="Q8">
    <cfRule type="expression" dxfId="94" priority="1">
      <formula>Q8&gt;0</formula>
    </cfRule>
    <cfRule type="expression" dxfId="93" priority="2">
      <formula>Q8&lt;0</formula>
    </cfRule>
  </conditionalFormatting>
  <conditionalFormatting sqref="Q7">
    <cfRule type="expression" dxfId="92" priority="3">
      <formula>Q7&gt;0</formula>
    </cfRule>
    <cfRule type="expression" dxfId="91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8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42615</v>
      </c>
      <c r="X2" s="10">
        <v>31.88</v>
      </c>
      <c r="Y2" s="10">
        <v>32.200000000000003</v>
      </c>
      <c r="Z2" s="10">
        <v>31.85</v>
      </c>
      <c r="AA2" s="10">
        <v>32.159999999999997</v>
      </c>
      <c r="AB2" s="95">
        <v>10810800</v>
      </c>
      <c r="AC2" s="10">
        <v>32.159999999999997</v>
      </c>
      <c r="AD2" s="2">
        <f>Y2-Z2</f>
        <v>0.35000000000000142</v>
      </c>
      <c r="AE2" s="138">
        <f>AC2/AC3-1</f>
        <v>1.1320754716980908E-2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32.119999999999997</v>
      </c>
      <c r="W3" s="133">
        <v>42614</v>
      </c>
      <c r="X3" s="10">
        <v>31.86</v>
      </c>
      <c r="Y3" s="10">
        <v>32.549999999999997</v>
      </c>
      <c r="Z3" s="10">
        <v>31.34</v>
      </c>
      <c r="AA3" s="10">
        <v>31.8</v>
      </c>
      <c r="AB3" s="95">
        <v>14898800</v>
      </c>
      <c r="AC3" s="10">
        <v>31.8</v>
      </c>
      <c r="AD3" s="2">
        <f t="shared" ref="AD3:AD66" si="0">Y3-Z3</f>
        <v>1.2099999999999973</v>
      </c>
      <c r="AE3" s="138">
        <f t="shared" ref="AE3:AE66" si="1">AC3/AC4-1</f>
        <v>-3.7593984962406291E-3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32.119999999999997</v>
      </c>
      <c r="W4" s="133">
        <v>42613</v>
      </c>
      <c r="X4" s="10">
        <v>31.67</v>
      </c>
      <c r="Y4" s="10">
        <v>31.94</v>
      </c>
      <c r="Z4" s="10">
        <v>31.65</v>
      </c>
      <c r="AA4" s="10">
        <v>31.92</v>
      </c>
      <c r="AB4" s="95">
        <v>9625600</v>
      </c>
      <c r="AC4" s="10">
        <v>31.92</v>
      </c>
      <c r="AD4" s="2">
        <f t="shared" si="0"/>
        <v>0.2900000000000027</v>
      </c>
      <c r="AE4" s="138">
        <f t="shared" si="1"/>
        <v>7.8939059046416737E-3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42612</v>
      </c>
      <c r="X5" s="10">
        <v>31.81</v>
      </c>
      <c r="Y5" s="10">
        <v>32</v>
      </c>
      <c r="Z5" s="10">
        <v>31.23</v>
      </c>
      <c r="AA5" s="10">
        <v>31.67</v>
      </c>
      <c r="AB5" s="95">
        <v>10748700</v>
      </c>
      <c r="AC5" s="10">
        <v>31.67</v>
      </c>
      <c r="AD5" s="2">
        <f t="shared" si="0"/>
        <v>0.76999999999999957</v>
      </c>
      <c r="AE5" s="138">
        <f t="shared" si="1"/>
        <v>-4.4011317195848942E-3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42611</v>
      </c>
      <c r="X6" s="10">
        <v>31.78</v>
      </c>
      <c r="Y6" s="10">
        <v>31.96</v>
      </c>
      <c r="Z6" s="10">
        <v>31.57</v>
      </c>
      <c r="AA6" s="10">
        <v>31.81</v>
      </c>
      <c r="AB6" s="95">
        <v>7708300</v>
      </c>
      <c r="AC6" s="10">
        <v>31.81</v>
      </c>
      <c r="AD6" s="2">
        <f t="shared" si="0"/>
        <v>0.39000000000000057</v>
      </c>
      <c r="AE6" s="138">
        <f t="shared" si="1"/>
        <v>8.8804313352361941E-3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187</v>
      </c>
      <c r="Q7" s="2">
        <f>Q10+Q8</f>
        <v>36.819999999999709</v>
      </c>
      <c r="R7">
        <v>0</v>
      </c>
      <c r="W7" s="133">
        <v>42608</v>
      </c>
      <c r="X7" s="10">
        <v>31.67</v>
      </c>
      <c r="Y7" s="10">
        <v>31.82</v>
      </c>
      <c r="Z7" s="10">
        <v>31.42</v>
      </c>
      <c r="AA7" s="10">
        <v>31.53</v>
      </c>
      <c r="AB7" s="95">
        <v>10436200</v>
      </c>
      <c r="AC7" s="10">
        <v>31.53</v>
      </c>
      <c r="AD7" s="2">
        <f t="shared" si="0"/>
        <v>0.39999999999999858</v>
      </c>
      <c r="AE7" s="138">
        <f t="shared" si="1"/>
        <v>-3.1705770450218829E-4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42607</v>
      </c>
      <c r="X8" s="10">
        <v>31.71</v>
      </c>
      <c r="Y8" s="10">
        <v>31.75</v>
      </c>
      <c r="Z8" s="10">
        <v>31.36</v>
      </c>
      <c r="AA8" s="10">
        <v>31.54</v>
      </c>
      <c r="AB8" s="95">
        <v>15930800</v>
      </c>
      <c r="AC8" s="10">
        <v>31.54</v>
      </c>
      <c r="AD8" s="2">
        <f t="shared" si="0"/>
        <v>0.39000000000000057</v>
      </c>
      <c r="AE8" s="138">
        <f t="shared" si="1"/>
        <v>-7.5519194461926009E-3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33">
        <v>42606</v>
      </c>
      <c r="X9" s="10">
        <v>31.84</v>
      </c>
      <c r="Y9" s="10">
        <v>32.090000000000003</v>
      </c>
      <c r="Z9" s="10">
        <v>31.76</v>
      </c>
      <c r="AA9" s="10">
        <v>31.78</v>
      </c>
      <c r="AB9" s="95">
        <v>8179500</v>
      </c>
      <c r="AC9" s="10">
        <v>31.78</v>
      </c>
      <c r="AD9" s="2">
        <f t="shared" si="0"/>
        <v>0.33000000000000185</v>
      </c>
      <c r="AE9" s="138">
        <f t="shared" si="1"/>
        <v>-3.7617554858933033E-3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223</v>
      </c>
      <c r="P10" s="34"/>
      <c r="Q10" s="2">
        <f>M29</f>
        <v>36.819999999999709</v>
      </c>
      <c r="W10" s="133">
        <v>42605</v>
      </c>
      <c r="X10" s="10">
        <v>31.97</v>
      </c>
      <c r="Y10" s="10">
        <v>32.049999999999997</v>
      </c>
      <c r="Z10" s="10">
        <v>31.87</v>
      </c>
      <c r="AA10" s="10">
        <v>31.9</v>
      </c>
      <c r="AB10" s="95">
        <v>10961100</v>
      </c>
      <c r="AC10" s="10">
        <v>31.9</v>
      </c>
      <c r="AD10" s="2">
        <f t="shared" si="0"/>
        <v>0.17999999999999616</v>
      </c>
      <c r="AE10" s="138">
        <f t="shared" si="1"/>
        <v>9.4132412927505626E-4</v>
      </c>
    </row>
    <row r="11" spans="1:31" x14ac:dyDescent="0.25">
      <c r="O11" s="11" t="s">
        <v>184</v>
      </c>
      <c r="P11" s="34"/>
      <c r="Q11" s="138">
        <f>VALUE(TRIM(CLEAN(MID(U58, FIND("(", U58)+1, 5))))</f>
        <v>4.7300000000000002E-2</v>
      </c>
      <c r="W11" s="133">
        <v>42604</v>
      </c>
      <c r="X11" s="10">
        <v>31.79</v>
      </c>
      <c r="Y11" s="10">
        <v>31.95</v>
      </c>
      <c r="Z11" s="10">
        <v>31.7</v>
      </c>
      <c r="AA11" s="10">
        <v>31.87</v>
      </c>
      <c r="AB11" s="95">
        <v>8306000</v>
      </c>
      <c r="AC11" s="10">
        <v>31.87</v>
      </c>
      <c r="AD11" s="2">
        <f t="shared" si="0"/>
        <v>0.25</v>
      </c>
      <c r="AE11" s="138">
        <f t="shared" si="1"/>
        <v>1.2566760917374076E-3</v>
      </c>
    </row>
    <row r="12" spans="1:31" x14ac:dyDescent="0.25">
      <c r="W12" s="133">
        <v>42601</v>
      </c>
      <c r="X12" s="10">
        <v>31.48</v>
      </c>
      <c r="Y12" s="10">
        <v>31.89</v>
      </c>
      <c r="Z12" s="10">
        <v>31.4</v>
      </c>
      <c r="AA12" s="10">
        <v>31.83</v>
      </c>
      <c r="AB12" s="95">
        <v>8809700</v>
      </c>
      <c r="AC12" s="10">
        <v>31.83</v>
      </c>
      <c r="AD12" s="2">
        <f t="shared" si="0"/>
        <v>0.49000000000000199</v>
      </c>
      <c r="AE12" s="138">
        <f t="shared" si="1"/>
        <v>8.8748019017432789E-3</v>
      </c>
    </row>
    <row r="13" spans="1:31" x14ac:dyDescent="0.25">
      <c r="W13" s="133">
        <v>42600</v>
      </c>
      <c r="X13" s="10">
        <v>31.8</v>
      </c>
      <c r="Y13" s="10">
        <v>31.86</v>
      </c>
      <c r="Z13" s="10">
        <v>31.48</v>
      </c>
      <c r="AA13" s="10">
        <v>31.55</v>
      </c>
      <c r="AB13" s="95">
        <v>14089900</v>
      </c>
      <c r="AC13" s="10">
        <v>31.55</v>
      </c>
      <c r="AD13" s="2">
        <f t="shared" si="0"/>
        <v>0.37999999999999901</v>
      </c>
      <c r="AE13" s="138">
        <f t="shared" si="1"/>
        <v>-9.4191522762951951E-3</v>
      </c>
    </row>
    <row r="14" spans="1:31" x14ac:dyDescent="0.25">
      <c r="W14" s="133">
        <v>42599</v>
      </c>
      <c r="X14" s="10">
        <v>31.71</v>
      </c>
      <c r="Y14" s="10">
        <v>31.88</v>
      </c>
      <c r="Z14" s="10">
        <v>31.55</v>
      </c>
      <c r="AA14" s="10">
        <v>31.85</v>
      </c>
      <c r="AB14" s="95">
        <v>8392400</v>
      </c>
      <c r="AC14" s="10">
        <v>31.85</v>
      </c>
      <c r="AD14" s="2">
        <f t="shared" si="0"/>
        <v>0.32999999999999829</v>
      </c>
      <c r="AE14" s="138">
        <f t="shared" si="1"/>
        <v>4.4150110375276164E-3</v>
      </c>
    </row>
    <row r="15" spans="1:31" x14ac:dyDescent="0.25">
      <c r="W15" s="133">
        <v>42598</v>
      </c>
      <c r="X15" s="10">
        <v>31.81</v>
      </c>
      <c r="Y15" s="10">
        <v>31.85</v>
      </c>
      <c r="Z15" s="10">
        <v>31.61</v>
      </c>
      <c r="AA15" s="10">
        <v>31.71</v>
      </c>
      <c r="AB15" s="95">
        <v>9888500</v>
      </c>
      <c r="AC15" s="10">
        <v>31.71</v>
      </c>
      <c r="AD15" s="2">
        <f t="shared" si="0"/>
        <v>0.24000000000000199</v>
      </c>
      <c r="AE15" s="138">
        <f t="shared" si="1"/>
        <v>-4.7080979284368496E-3</v>
      </c>
    </row>
    <row r="16" spans="1:31" x14ac:dyDescent="0.25">
      <c r="W16" s="133">
        <v>42597</v>
      </c>
      <c r="X16" s="10">
        <v>31.59</v>
      </c>
      <c r="Y16" s="10">
        <v>31.89</v>
      </c>
      <c r="Z16" s="10">
        <v>31.55</v>
      </c>
      <c r="AA16" s="10">
        <v>31.86</v>
      </c>
      <c r="AB16" s="95">
        <v>9345300</v>
      </c>
      <c r="AC16" s="10">
        <v>31.86</v>
      </c>
      <c r="AD16" s="2">
        <f t="shared" si="0"/>
        <v>0.33999999999999986</v>
      </c>
      <c r="AE16" s="138">
        <f t="shared" si="1"/>
        <v>9.1859360152042324E-3</v>
      </c>
    </row>
    <row r="17" spans="1:31" x14ac:dyDescent="0.25">
      <c r="W17" s="133">
        <v>42594</v>
      </c>
      <c r="X17" s="10">
        <v>31.6</v>
      </c>
      <c r="Y17" s="10">
        <v>31.75</v>
      </c>
      <c r="Z17" s="10">
        <v>31.55</v>
      </c>
      <c r="AA17" s="10">
        <v>31.57</v>
      </c>
      <c r="AB17" s="95">
        <v>9843700</v>
      </c>
      <c r="AC17" s="10">
        <v>31.57</v>
      </c>
      <c r="AD17" s="2">
        <f t="shared" si="0"/>
        <v>0.19999999999999929</v>
      </c>
      <c r="AE17" s="138">
        <f t="shared" si="1"/>
        <v>-5.6692913385826271E-3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42593</v>
      </c>
      <c r="X18" s="10">
        <v>31.43</v>
      </c>
      <c r="Y18" s="10">
        <v>31.79</v>
      </c>
      <c r="Z18" s="10">
        <v>31.36</v>
      </c>
      <c r="AA18" s="10">
        <v>31.75</v>
      </c>
      <c r="AB18" s="95">
        <v>13210800</v>
      </c>
      <c r="AC18" s="10">
        <v>31.75</v>
      </c>
      <c r="AD18" s="2">
        <f t="shared" si="0"/>
        <v>0.42999999999999972</v>
      </c>
      <c r="AE18" s="138">
        <f t="shared" si="1"/>
        <v>1.6000000000000014E-2</v>
      </c>
    </row>
    <row r="19" spans="1:31" x14ac:dyDescent="0.25">
      <c r="W19" s="133">
        <v>42592</v>
      </c>
      <c r="X19" s="10">
        <v>31.03</v>
      </c>
      <c r="Y19" s="10">
        <v>31.27</v>
      </c>
      <c r="Z19" s="10">
        <v>30.96</v>
      </c>
      <c r="AA19" s="10">
        <v>31.25</v>
      </c>
      <c r="AB19" s="95">
        <v>10833700</v>
      </c>
      <c r="AC19" s="10">
        <v>31.25</v>
      </c>
      <c r="AD19" s="2">
        <f t="shared" si="0"/>
        <v>0.30999999999999872</v>
      </c>
      <c r="AE19" s="138">
        <f t="shared" si="1"/>
        <v>5.7933698101062525E-3</v>
      </c>
    </row>
    <row r="20" spans="1:31" x14ac:dyDescent="0.25">
      <c r="W20" s="133">
        <v>42591</v>
      </c>
      <c r="X20" s="10">
        <v>30.91</v>
      </c>
      <c r="Y20" s="10">
        <v>31.25</v>
      </c>
      <c r="Z20" s="10">
        <v>30.83</v>
      </c>
      <c r="AA20" s="10">
        <v>31.07</v>
      </c>
      <c r="AB20" s="95">
        <v>13691100</v>
      </c>
      <c r="AC20" s="10">
        <v>31.07</v>
      </c>
      <c r="AD20" s="2">
        <f t="shared" si="0"/>
        <v>0.42000000000000171</v>
      </c>
      <c r="AE20" s="138">
        <f t="shared" si="1"/>
        <v>6.1528497409326643E-3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133">
        <v>42590</v>
      </c>
      <c r="X21" s="10">
        <v>30.92</v>
      </c>
      <c r="Y21" s="10">
        <v>31.06</v>
      </c>
      <c r="Z21" s="10">
        <v>30.8</v>
      </c>
      <c r="AA21" s="10">
        <v>30.88</v>
      </c>
      <c r="AB21" s="95">
        <v>10470900</v>
      </c>
      <c r="AC21" s="10">
        <v>30.88</v>
      </c>
      <c r="AD21" s="2">
        <f t="shared" si="0"/>
        <v>0.25999999999999801</v>
      </c>
      <c r="AE21" s="138">
        <f t="shared" si="1"/>
        <v>2.5974025974024872E-3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42587</v>
      </c>
      <c r="X22" s="10">
        <v>30.51</v>
      </c>
      <c r="Y22" s="10">
        <v>30.89</v>
      </c>
      <c r="Z22" s="10">
        <v>30.5</v>
      </c>
      <c r="AA22" s="10">
        <v>30.8</v>
      </c>
      <c r="AB22" s="95">
        <v>13135900</v>
      </c>
      <c r="AC22" s="10">
        <v>30.8</v>
      </c>
      <c r="AD22" s="2">
        <f t="shared" si="0"/>
        <v>0.39000000000000057</v>
      </c>
      <c r="AE22" s="138">
        <f t="shared" si="1"/>
        <v>1.5161502966380969E-2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42586</v>
      </c>
      <c r="X23" s="10">
        <v>30.24</v>
      </c>
      <c r="Y23" s="10">
        <v>30.53</v>
      </c>
      <c r="Z23" s="10">
        <v>30.23</v>
      </c>
      <c r="AA23" s="10">
        <v>30.34</v>
      </c>
      <c r="AB23" s="95">
        <v>8660900</v>
      </c>
      <c r="AC23" s="10">
        <v>30.34</v>
      </c>
      <c r="AD23" s="2">
        <f t="shared" si="0"/>
        <v>0.30000000000000071</v>
      </c>
      <c r="AE23" s="138">
        <f t="shared" si="1"/>
        <v>3.3068783068783691E-3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42585</v>
      </c>
      <c r="X24" s="10">
        <v>30</v>
      </c>
      <c r="Y24" s="10">
        <v>30.25</v>
      </c>
      <c r="Z24" s="10">
        <v>29.91</v>
      </c>
      <c r="AA24" s="10">
        <v>30.24</v>
      </c>
      <c r="AB24" s="95">
        <v>14504200</v>
      </c>
      <c r="AC24" s="10">
        <v>30.24</v>
      </c>
      <c r="AD24" s="2">
        <f t="shared" si="0"/>
        <v>0.33999999999999986</v>
      </c>
      <c r="AE24" s="138">
        <f t="shared" si="1"/>
        <v>1.0357500835282307E-2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42584</v>
      </c>
      <c r="X25" s="10">
        <v>31.03</v>
      </c>
      <c r="Y25" s="10">
        <v>31.08</v>
      </c>
      <c r="Z25" s="10">
        <v>29.82</v>
      </c>
      <c r="AA25" s="10">
        <v>29.93</v>
      </c>
      <c r="AB25" s="95">
        <v>24346900</v>
      </c>
      <c r="AC25" s="10">
        <v>29.93</v>
      </c>
      <c r="AD25" s="2">
        <f t="shared" si="0"/>
        <v>1.259999999999998</v>
      </c>
      <c r="AE25" s="138">
        <f t="shared" si="1"/>
        <v>-4.3769968051118213E-2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42583</v>
      </c>
      <c r="X26" s="10">
        <v>31.54</v>
      </c>
      <c r="Y26" s="10">
        <v>31.62</v>
      </c>
      <c r="Z26" s="10">
        <v>31.2</v>
      </c>
      <c r="AA26" s="10">
        <v>31.3</v>
      </c>
      <c r="AB26" s="95">
        <v>11190600</v>
      </c>
      <c r="AC26" s="10">
        <v>31.3</v>
      </c>
      <c r="AD26" s="2">
        <f t="shared" si="0"/>
        <v>0.42000000000000171</v>
      </c>
      <c r="AE26" s="138">
        <f t="shared" si="1"/>
        <v>-7.609384908053185E-3</v>
      </c>
    </row>
    <row r="27" spans="1:31" x14ac:dyDescent="0.25">
      <c r="W27" s="133">
        <v>42580</v>
      </c>
      <c r="X27" s="10">
        <v>30.79</v>
      </c>
      <c r="Y27" s="10">
        <v>31.55</v>
      </c>
      <c r="Z27" s="10">
        <v>30.78</v>
      </c>
      <c r="AA27" s="10">
        <v>31.54</v>
      </c>
      <c r="AB27" s="95">
        <v>16150500</v>
      </c>
      <c r="AC27" s="10">
        <v>31.54</v>
      </c>
      <c r="AD27" s="2">
        <f t="shared" si="0"/>
        <v>0.76999999999999957</v>
      </c>
      <c r="AE27" s="138">
        <f t="shared" si="1"/>
        <v>1.7747660535656795E-2</v>
      </c>
    </row>
    <row r="28" spans="1:31" x14ac:dyDescent="0.25">
      <c r="W28" s="133">
        <v>42579</v>
      </c>
      <c r="X28" s="10">
        <v>31.05</v>
      </c>
      <c r="Y28" s="10">
        <v>31.2</v>
      </c>
      <c r="Z28" s="10">
        <v>30.65</v>
      </c>
      <c r="AA28" s="10">
        <v>30.99</v>
      </c>
      <c r="AB28" s="95">
        <v>20363900</v>
      </c>
      <c r="AC28" s="10">
        <v>30.99</v>
      </c>
      <c r="AD28" s="2">
        <f t="shared" si="0"/>
        <v>0.55000000000000071</v>
      </c>
      <c r="AE28" s="138">
        <f t="shared" si="1"/>
        <v>-3.216739537788893E-2</v>
      </c>
    </row>
    <row r="29" spans="1:31" x14ac:dyDescent="0.25">
      <c r="L29" t="s">
        <v>223</v>
      </c>
      <c r="M29" s="2">
        <f>M47+K47-F47</f>
        <v>36.819999999999709</v>
      </c>
      <c r="W29" s="133">
        <v>42578</v>
      </c>
      <c r="X29" s="10">
        <v>32.18</v>
      </c>
      <c r="Y29" s="10">
        <v>32.29</v>
      </c>
      <c r="Z29" s="10">
        <v>31.97</v>
      </c>
      <c r="AA29" s="10">
        <v>32.020000000000003</v>
      </c>
      <c r="AB29" s="95">
        <v>9159500</v>
      </c>
      <c r="AC29" s="10">
        <v>32.020000000000003</v>
      </c>
      <c r="AD29" s="2">
        <f t="shared" si="0"/>
        <v>0.32000000000000028</v>
      </c>
      <c r="AE29" s="138">
        <f t="shared" si="1"/>
        <v>-4.0435458786934886E-3</v>
      </c>
    </row>
    <row r="30" spans="1:31" x14ac:dyDescent="0.25">
      <c r="A30" s="390" t="s">
        <v>1</v>
      </c>
      <c r="B30" s="390" t="s">
        <v>2</v>
      </c>
      <c r="C30" s="390" t="s">
        <v>4</v>
      </c>
      <c r="D30" s="392" t="s">
        <v>5</v>
      </c>
      <c r="E30" s="392"/>
      <c r="F30" s="392" t="s">
        <v>60</v>
      </c>
      <c r="G30" s="390" t="s">
        <v>3</v>
      </c>
      <c r="H30" s="390" t="s">
        <v>6</v>
      </c>
      <c r="I30" s="390" t="s">
        <v>7</v>
      </c>
      <c r="J30" s="390"/>
      <c r="K30" s="390" t="s">
        <v>61</v>
      </c>
      <c r="L30" s="390" t="s">
        <v>77</v>
      </c>
      <c r="M30" s="390" t="s">
        <v>38</v>
      </c>
      <c r="W30" s="133">
        <v>42577</v>
      </c>
      <c r="X30" s="10">
        <v>31.98</v>
      </c>
      <c r="Y30" s="10">
        <v>32.22</v>
      </c>
      <c r="Z30" s="10">
        <v>31.89</v>
      </c>
      <c r="AA30" s="10">
        <v>32.15</v>
      </c>
      <c r="AB30" s="95">
        <v>9462000</v>
      </c>
      <c r="AC30" s="10">
        <v>32.15</v>
      </c>
      <c r="AD30" s="2">
        <f t="shared" si="0"/>
        <v>0.32999999999999829</v>
      </c>
      <c r="AE30" s="138">
        <f t="shared" si="1"/>
        <v>2.8072364316904519E-3</v>
      </c>
    </row>
    <row r="31" spans="1:31" x14ac:dyDescent="0.25">
      <c r="A31" s="393" t="s">
        <v>56</v>
      </c>
      <c r="B31" s="562">
        <v>42220</v>
      </c>
      <c r="C31" s="384">
        <v>40</v>
      </c>
      <c r="D31" s="385">
        <v>31.78</v>
      </c>
      <c r="E31" s="385"/>
      <c r="F31" s="385">
        <f>C31*D31</f>
        <v>1271.2</v>
      </c>
      <c r="G31" s="383">
        <v>42235</v>
      </c>
      <c r="H31" s="384">
        <v>100</v>
      </c>
      <c r="I31" s="385">
        <v>31.5</v>
      </c>
      <c r="J31" s="384">
        <v>0.06</v>
      </c>
      <c r="K31" s="384">
        <f>H31*I31-J31</f>
        <v>3149.94</v>
      </c>
      <c r="L31" s="383">
        <v>42276</v>
      </c>
      <c r="M31" s="385">
        <v>14.4</v>
      </c>
      <c r="W31" s="133">
        <v>42576</v>
      </c>
      <c r="X31" s="10">
        <v>32.19</v>
      </c>
      <c r="Y31" s="10">
        <v>32.36</v>
      </c>
      <c r="Z31" s="10">
        <v>31.96</v>
      </c>
      <c r="AA31" s="10">
        <v>32.06</v>
      </c>
      <c r="AB31" s="95">
        <v>11324900</v>
      </c>
      <c r="AC31" s="10">
        <v>32.06</v>
      </c>
      <c r="AD31" s="2">
        <f t="shared" si="0"/>
        <v>0.39999999999999858</v>
      </c>
      <c r="AE31" s="138">
        <f t="shared" si="1"/>
        <v>-3.1094527363182412E-3</v>
      </c>
    </row>
    <row r="32" spans="1:31" x14ac:dyDescent="0.25">
      <c r="A32" s="394" t="s">
        <v>71</v>
      </c>
      <c r="B32" s="562"/>
      <c r="C32" s="384">
        <v>60</v>
      </c>
      <c r="D32" s="385">
        <v>31.78</v>
      </c>
      <c r="E32" s="385"/>
      <c r="F32" s="385">
        <f>C32*D32</f>
        <v>1906.8000000000002</v>
      </c>
      <c r="G32" s="383">
        <v>42284</v>
      </c>
      <c r="H32" s="384">
        <v>40</v>
      </c>
      <c r="I32" s="384">
        <v>31.55</v>
      </c>
      <c r="J32" s="384">
        <v>0.02</v>
      </c>
      <c r="K32" s="384">
        <f>H32*I32-J32</f>
        <v>1261.98</v>
      </c>
      <c r="L32" s="384"/>
      <c r="M32" s="384"/>
      <c r="W32" s="133">
        <v>42573</v>
      </c>
      <c r="X32" s="10">
        <v>32.1</v>
      </c>
      <c r="Y32" s="10">
        <v>32.24</v>
      </c>
      <c r="Z32" s="10">
        <v>31.72</v>
      </c>
      <c r="AA32" s="10">
        <v>32.159999999999997</v>
      </c>
      <c r="AB32" s="95">
        <v>13305400</v>
      </c>
      <c r="AC32" s="10">
        <v>32.159999999999997</v>
      </c>
      <c r="AD32" s="2">
        <f t="shared" si="0"/>
        <v>0.52000000000000313</v>
      </c>
      <c r="AE32" s="138">
        <f t="shared" si="1"/>
        <v>4.0586949734622291E-3</v>
      </c>
    </row>
    <row r="33" spans="1:31" x14ac:dyDescent="0.25">
      <c r="A33" s="384"/>
      <c r="B33" s="383">
        <v>42221</v>
      </c>
      <c r="C33" s="384">
        <v>10</v>
      </c>
      <c r="D33" s="385">
        <v>31.45</v>
      </c>
      <c r="E33" s="385"/>
      <c r="F33" s="385">
        <f>C33*D33</f>
        <v>314.5</v>
      </c>
      <c r="G33" s="384"/>
      <c r="H33" s="384"/>
      <c r="I33" s="384"/>
      <c r="J33" s="384"/>
      <c r="K33" s="384"/>
      <c r="L33" s="384"/>
      <c r="M33" s="384"/>
      <c r="W33" s="133">
        <v>42572</v>
      </c>
      <c r="X33" s="10">
        <v>31.49</v>
      </c>
      <c r="Y33" s="10">
        <v>32.869999999999997</v>
      </c>
      <c r="Z33" s="10">
        <v>31.49</v>
      </c>
      <c r="AA33" s="10">
        <v>32.03</v>
      </c>
      <c r="AB33" s="95">
        <v>36218500</v>
      </c>
      <c r="AC33" s="10">
        <v>32.03</v>
      </c>
      <c r="AD33" s="2">
        <f t="shared" si="0"/>
        <v>1.379999999999999</v>
      </c>
      <c r="AE33" s="138">
        <f t="shared" si="1"/>
        <v>1.7148301047951842E-2</v>
      </c>
    </row>
    <row r="34" spans="1:31" x14ac:dyDescent="0.25">
      <c r="A34" s="384"/>
      <c r="B34" s="383">
        <v>42233</v>
      </c>
      <c r="C34" s="384">
        <v>30</v>
      </c>
      <c r="D34" s="385">
        <v>29.9</v>
      </c>
      <c r="E34" s="385"/>
      <c r="F34" s="385">
        <f>C34*D34</f>
        <v>897</v>
      </c>
      <c r="G34" s="384"/>
      <c r="H34" s="384"/>
      <c r="I34" s="384"/>
      <c r="J34" s="384"/>
      <c r="K34" s="384"/>
      <c r="L34" s="384"/>
      <c r="M34" s="384"/>
      <c r="W34" s="133">
        <v>42571</v>
      </c>
      <c r="X34" s="10">
        <v>31.42</v>
      </c>
      <c r="Y34" s="10">
        <v>31.58</v>
      </c>
      <c r="Z34" s="10">
        <v>31.07</v>
      </c>
      <c r="AA34" s="10">
        <v>31.49</v>
      </c>
      <c r="AB34" s="95">
        <v>20923000</v>
      </c>
      <c r="AC34" s="10">
        <v>31.49</v>
      </c>
      <c r="AD34" s="2">
        <f t="shared" si="0"/>
        <v>0.50999999999999801</v>
      </c>
      <c r="AE34" s="138">
        <f t="shared" si="1"/>
        <v>7.6799999999999091E-3</v>
      </c>
    </row>
    <row r="35" spans="1:31" x14ac:dyDescent="0.25">
      <c r="A35" s="384"/>
      <c r="B35" s="384"/>
      <c r="C35" s="384"/>
      <c r="D35" s="385"/>
      <c r="E35" s="385"/>
      <c r="F35" s="385"/>
      <c r="G35" s="384"/>
      <c r="H35" s="384"/>
      <c r="I35" s="384"/>
      <c r="J35" s="384"/>
      <c r="K35" s="384"/>
      <c r="L35" s="384"/>
      <c r="M35" s="384"/>
      <c r="W35" s="133">
        <v>42570</v>
      </c>
      <c r="X35" s="10">
        <v>30.7</v>
      </c>
      <c r="Y35" s="10">
        <v>31.27</v>
      </c>
      <c r="Z35" s="10">
        <v>30.7</v>
      </c>
      <c r="AA35" s="10">
        <v>31.25</v>
      </c>
      <c r="AB35" s="95">
        <v>17164100</v>
      </c>
      <c r="AC35" s="10">
        <v>31.25</v>
      </c>
      <c r="AD35" s="2">
        <f t="shared" si="0"/>
        <v>0.57000000000000028</v>
      </c>
      <c r="AE35" s="138">
        <f t="shared" si="1"/>
        <v>1.2309685779073432E-2</v>
      </c>
    </row>
    <row r="36" spans="1:31" x14ac:dyDescent="0.25">
      <c r="A36" s="384"/>
      <c r="B36" s="384"/>
      <c r="C36" s="384"/>
      <c r="D36" s="385"/>
      <c r="E36" s="385"/>
      <c r="F36" s="385"/>
      <c r="G36" s="384"/>
      <c r="H36" s="384"/>
      <c r="I36" s="384"/>
      <c r="J36" s="384"/>
      <c r="K36" s="384"/>
      <c r="L36" s="384"/>
      <c r="M36" s="384"/>
      <c r="W36" s="133">
        <v>42569</v>
      </c>
      <c r="X36" s="10">
        <v>30.75</v>
      </c>
      <c r="Y36" s="10">
        <v>31.1</v>
      </c>
      <c r="Z36" s="10">
        <v>30.61</v>
      </c>
      <c r="AA36" s="10">
        <v>30.87</v>
      </c>
      <c r="AB36" s="95">
        <v>8732300</v>
      </c>
      <c r="AC36" s="10">
        <v>30.87</v>
      </c>
      <c r="AD36" s="2">
        <f t="shared" si="0"/>
        <v>0.49000000000000199</v>
      </c>
      <c r="AE36" s="138">
        <f t="shared" si="1"/>
        <v>3.2499187520311779E-3</v>
      </c>
    </row>
    <row r="37" spans="1:31" x14ac:dyDescent="0.25">
      <c r="A37" s="384"/>
      <c r="B37" s="384"/>
      <c r="C37" s="384"/>
      <c r="D37" s="385"/>
      <c r="E37" s="385"/>
      <c r="F37" s="385"/>
      <c r="G37" s="384"/>
      <c r="H37" s="384"/>
      <c r="I37" s="384"/>
      <c r="J37" s="384"/>
      <c r="K37" s="384"/>
      <c r="L37" s="384"/>
      <c r="M37" s="384"/>
      <c r="W37" s="133">
        <v>42566</v>
      </c>
      <c r="X37" s="10">
        <v>30.82</v>
      </c>
      <c r="Y37" s="10">
        <v>30.98</v>
      </c>
      <c r="Z37" s="10">
        <v>30.57</v>
      </c>
      <c r="AA37" s="10">
        <v>30.77</v>
      </c>
      <c r="AB37" s="95">
        <v>8429500</v>
      </c>
      <c r="AC37" s="10">
        <v>30.77</v>
      </c>
      <c r="AD37" s="2">
        <f t="shared" si="0"/>
        <v>0.41000000000000014</v>
      </c>
      <c r="AE37" s="138">
        <f t="shared" si="1"/>
        <v>3.2509752925879987E-4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42565</v>
      </c>
      <c r="X38" s="10">
        <v>30.88</v>
      </c>
      <c r="Y38" s="10">
        <v>31.05</v>
      </c>
      <c r="Z38" s="10">
        <v>30.6</v>
      </c>
      <c r="AA38" s="10">
        <v>30.76</v>
      </c>
      <c r="AB38" s="95">
        <v>11306400</v>
      </c>
      <c r="AC38" s="10">
        <v>30.76</v>
      </c>
      <c r="AD38" s="2">
        <f t="shared" si="0"/>
        <v>0.44999999999999929</v>
      </c>
      <c r="AE38" s="138">
        <f t="shared" si="1"/>
        <v>4.2442050277506915E-3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42564</v>
      </c>
      <c r="X39" s="10">
        <v>30.63</v>
      </c>
      <c r="Y39" s="10">
        <v>30.69</v>
      </c>
      <c r="Z39" s="10">
        <v>30.22</v>
      </c>
      <c r="AA39" s="10">
        <v>30.63</v>
      </c>
      <c r="AB39" s="95">
        <v>13303600</v>
      </c>
      <c r="AC39" s="10">
        <v>30.63</v>
      </c>
      <c r="AD39" s="2">
        <f t="shared" si="0"/>
        <v>0.47000000000000242</v>
      </c>
      <c r="AE39" s="138">
        <f t="shared" si="1"/>
        <v>9.8039215686274161E-4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42563</v>
      </c>
      <c r="X40" s="10">
        <v>30.45</v>
      </c>
      <c r="Y40" s="10">
        <v>30.85</v>
      </c>
      <c r="Z40" s="10">
        <v>30.39</v>
      </c>
      <c r="AA40" s="10">
        <v>30.6</v>
      </c>
      <c r="AB40" s="95">
        <v>16786300</v>
      </c>
      <c r="AC40" s="10">
        <v>30.6</v>
      </c>
      <c r="AD40" s="2">
        <f t="shared" si="0"/>
        <v>0.46000000000000085</v>
      </c>
      <c r="AE40" s="138">
        <f t="shared" si="1"/>
        <v>1.5599070693660844E-2</v>
      </c>
    </row>
    <row r="41" spans="1:31" ht="20.25" thickBot="1" x14ac:dyDescent="0.3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545" t="s">
        <v>78</v>
      </c>
      <c r="P41" s="545"/>
      <c r="W41" s="133">
        <v>42562</v>
      </c>
      <c r="X41" s="10">
        <v>29.79</v>
      </c>
      <c r="Y41" s="10">
        <v>30.27</v>
      </c>
      <c r="Z41" s="10">
        <v>29.74</v>
      </c>
      <c r="AA41" s="10">
        <v>30.13</v>
      </c>
      <c r="AB41" s="95">
        <v>13870300</v>
      </c>
      <c r="AC41" s="10">
        <v>30.13</v>
      </c>
      <c r="AD41" s="2">
        <f t="shared" si="0"/>
        <v>0.53000000000000114</v>
      </c>
      <c r="AE41" s="138">
        <f t="shared" si="1"/>
        <v>1.5846257585974355E-2</v>
      </c>
    </row>
    <row r="42" spans="1:31" ht="21" thickTop="1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83">
        <v>1.1000000000000001</v>
      </c>
      <c r="P42" s="83">
        <f>O42*$Q$4</f>
        <v>35.332000000000001</v>
      </c>
      <c r="Q42" s="2"/>
      <c r="T42" s="91" t="s">
        <v>113</v>
      </c>
      <c r="W42" s="133">
        <v>42559</v>
      </c>
      <c r="X42" s="10">
        <v>29.27</v>
      </c>
      <c r="Y42" s="10">
        <v>29.87</v>
      </c>
      <c r="Z42" s="10">
        <v>29.27</v>
      </c>
      <c r="AA42" s="10">
        <v>29.66</v>
      </c>
      <c r="AB42" s="95">
        <v>16659400</v>
      </c>
      <c r="AC42" s="10">
        <v>29.66</v>
      </c>
      <c r="AD42" s="2">
        <f t="shared" si="0"/>
        <v>0.60000000000000142</v>
      </c>
      <c r="AE42" s="138">
        <f t="shared" si="1"/>
        <v>3.2011134307585287E-2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1.0900000000000001</v>
      </c>
      <c r="P43" s="83">
        <f t="shared" ref="P43:P62" si="2">O43*$Q$4</f>
        <v>35.010800000000003</v>
      </c>
      <c r="Q43" s="2"/>
      <c r="T43" s="161" t="s">
        <v>98</v>
      </c>
      <c r="U43" s="161">
        <v>31.8</v>
      </c>
      <c r="W43" s="133">
        <v>42558</v>
      </c>
      <c r="X43" s="10">
        <v>28.49</v>
      </c>
      <c r="Y43" s="10">
        <v>29.06</v>
      </c>
      <c r="Z43" s="10">
        <v>28.42</v>
      </c>
      <c r="AA43" s="10">
        <v>28.74</v>
      </c>
      <c r="AB43" s="95">
        <v>10842300</v>
      </c>
      <c r="AC43" s="10">
        <v>28.74</v>
      </c>
      <c r="AD43" s="2">
        <f t="shared" si="0"/>
        <v>0.63999999999999702</v>
      </c>
      <c r="AE43" s="138">
        <f t="shared" si="1"/>
        <v>1.1971830985915588E-2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1.08</v>
      </c>
      <c r="P44" s="83">
        <f t="shared" si="2"/>
        <v>34.689599999999999</v>
      </c>
      <c r="Q44" s="2"/>
      <c r="T44" s="10" t="s">
        <v>99</v>
      </c>
      <c r="U44" s="10">
        <v>31.88</v>
      </c>
      <c r="W44" s="133">
        <v>42557</v>
      </c>
      <c r="X44" s="10">
        <v>28</v>
      </c>
      <c r="Y44" s="10">
        <v>28.41</v>
      </c>
      <c r="Z44" s="10">
        <v>27.52</v>
      </c>
      <c r="AA44" s="10">
        <v>28.4</v>
      </c>
      <c r="AB44" s="95">
        <v>14631400</v>
      </c>
      <c r="AC44" s="10">
        <v>28.4</v>
      </c>
      <c r="AD44" s="2">
        <f t="shared" si="0"/>
        <v>0.89000000000000057</v>
      </c>
      <c r="AE44" s="138">
        <f t="shared" si="1"/>
        <v>8.1647142350016466E-3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1.07</v>
      </c>
      <c r="P45" s="83">
        <f t="shared" si="2"/>
        <v>34.368400000000001</v>
      </c>
      <c r="Q45" s="2"/>
      <c r="T45" s="10" t="s">
        <v>100</v>
      </c>
      <c r="U45" s="10" t="s">
        <v>468</v>
      </c>
      <c r="W45" s="133">
        <v>42556</v>
      </c>
      <c r="X45" s="10">
        <v>28.64</v>
      </c>
      <c r="Y45" s="10">
        <v>28.68</v>
      </c>
      <c r="Z45" s="10">
        <v>28.04</v>
      </c>
      <c r="AA45" s="10">
        <v>28.17</v>
      </c>
      <c r="AB45" s="95">
        <v>12178200</v>
      </c>
      <c r="AC45" s="10">
        <v>28.17</v>
      </c>
      <c r="AD45" s="2">
        <f t="shared" si="0"/>
        <v>0.64000000000000057</v>
      </c>
      <c r="AE45" s="138">
        <f t="shared" si="1"/>
        <v>-2.4922118380062308E-2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1.06</v>
      </c>
      <c r="P46" s="83">
        <f t="shared" si="2"/>
        <v>34.047199999999997</v>
      </c>
      <c r="Q46" s="2"/>
      <c r="T46" s="10" t="s">
        <v>101</v>
      </c>
      <c r="U46" s="10" t="s">
        <v>469</v>
      </c>
      <c r="W46" s="133">
        <v>42552</v>
      </c>
      <c r="X46" s="10">
        <v>28.69</v>
      </c>
      <c r="Y46" s="10">
        <v>28.98</v>
      </c>
      <c r="Z46" s="10">
        <v>28.36</v>
      </c>
      <c r="AA46" s="10">
        <v>28.89</v>
      </c>
      <c r="AB46" s="95">
        <v>15157900</v>
      </c>
      <c r="AC46" s="10">
        <v>28.89</v>
      </c>
      <c r="AD46" s="2">
        <f t="shared" si="0"/>
        <v>0.62000000000000099</v>
      </c>
      <c r="AE46" s="138">
        <f t="shared" si="1"/>
        <v>2.0848056537102533E-2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33.725999999999999</v>
      </c>
      <c r="Q47" s="2"/>
      <c r="T47" s="10" t="s">
        <v>102</v>
      </c>
      <c r="U47" s="10">
        <v>36.53</v>
      </c>
      <c r="W47" s="133">
        <v>42551</v>
      </c>
      <c r="X47" s="10">
        <v>28.18</v>
      </c>
      <c r="Y47" s="10">
        <v>29.66</v>
      </c>
      <c r="Z47" s="10">
        <v>27.7</v>
      </c>
      <c r="AA47" s="10">
        <v>28.3</v>
      </c>
      <c r="AB47" s="95">
        <v>15360600</v>
      </c>
      <c r="AC47" s="10">
        <v>28.3</v>
      </c>
      <c r="AD47" s="2">
        <f t="shared" si="0"/>
        <v>1.9600000000000009</v>
      </c>
      <c r="AE47" s="138">
        <f t="shared" si="1"/>
        <v>4.6148384806532494E-3</v>
      </c>
    </row>
    <row r="48" spans="1:31" x14ac:dyDescent="0.25">
      <c r="O48" s="83">
        <v>1.04</v>
      </c>
      <c r="P48" s="83">
        <f t="shared" si="2"/>
        <v>33.404800000000002</v>
      </c>
      <c r="Q48" s="2"/>
      <c r="T48" s="10" t="s">
        <v>103</v>
      </c>
      <c r="U48" s="10">
        <v>1.6615899999999999</v>
      </c>
      <c r="W48" s="133">
        <v>42550</v>
      </c>
      <c r="X48" s="10">
        <v>28</v>
      </c>
      <c r="Y48" s="10">
        <v>28.2</v>
      </c>
      <c r="Z48" s="10">
        <v>27.6</v>
      </c>
      <c r="AA48" s="10">
        <v>28.17</v>
      </c>
      <c r="AB48" s="95">
        <v>10644100</v>
      </c>
      <c r="AC48" s="10">
        <v>28.17</v>
      </c>
      <c r="AD48" s="2">
        <f t="shared" si="0"/>
        <v>0.59999999999999787</v>
      </c>
      <c r="AE48" s="138">
        <f t="shared" si="1"/>
        <v>1.5501081470800315E-2</v>
      </c>
    </row>
    <row r="49" spans="15:31" x14ac:dyDescent="0.25">
      <c r="O49" s="83">
        <v>1.03</v>
      </c>
      <c r="P49" s="83">
        <f t="shared" si="2"/>
        <v>33.083599999999997</v>
      </c>
      <c r="Q49" s="2"/>
      <c r="T49" s="10" t="s">
        <v>123</v>
      </c>
      <c r="U49" s="10" t="s">
        <v>304</v>
      </c>
      <c r="W49" s="133">
        <v>42549</v>
      </c>
      <c r="X49" s="10">
        <v>27.93</v>
      </c>
      <c r="Y49" s="10">
        <v>27.98</v>
      </c>
      <c r="Z49" s="10">
        <v>27.4</v>
      </c>
      <c r="AA49" s="10">
        <v>27.74</v>
      </c>
      <c r="AB49" s="95">
        <v>14061400</v>
      </c>
      <c r="AC49" s="10">
        <v>27.74</v>
      </c>
      <c r="AD49" s="2">
        <f t="shared" si="0"/>
        <v>0.58000000000000185</v>
      </c>
      <c r="AE49" s="138">
        <f t="shared" si="1"/>
        <v>8.3605961468555812E-3</v>
      </c>
    </row>
    <row r="50" spans="15:31" x14ac:dyDescent="0.25">
      <c r="O50" s="83">
        <v>1.02</v>
      </c>
      <c r="P50" s="83">
        <f t="shared" si="2"/>
        <v>32.7624</v>
      </c>
      <c r="Q50" s="2"/>
      <c r="T50" s="10"/>
      <c r="U50" s="10"/>
      <c r="W50" s="133">
        <v>42548</v>
      </c>
      <c r="X50" s="10">
        <v>28.09</v>
      </c>
      <c r="Y50" s="10">
        <v>28.1</v>
      </c>
      <c r="Z50" s="10">
        <v>27.34</v>
      </c>
      <c r="AA50" s="10">
        <v>27.51</v>
      </c>
      <c r="AB50" s="95">
        <v>18634200</v>
      </c>
      <c r="AC50" s="10">
        <v>27.51</v>
      </c>
      <c r="AD50" s="2">
        <f t="shared" si="0"/>
        <v>0.76000000000000156</v>
      </c>
      <c r="AE50" s="138">
        <f t="shared" si="1"/>
        <v>-2.9629629629629672E-2</v>
      </c>
    </row>
    <row r="51" spans="15:31" x14ac:dyDescent="0.25">
      <c r="O51" s="83">
        <v>1.01</v>
      </c>
      <c r="P51" s="83">
        <f t="shared" si="2"/>
        <v>32.441199999999995</v>
      </c>
      <c r="Q51" s="2"/>
      <c r="T51" s="10" t="s">
        <v>105</v>
      </c>
      <c r="U51" s="10" t="s">
        <v>470</v>
      </c>
      <c r="W51" s="133">
        <v>42545</v>
      </c>
      <c r="X51" s="10">
        <v>28.58</v>
      </c>
      <c r="Y51" s="10">
        <v>29.04</v>
      </c>
      <c r="Z51" s="10">
        <v>28.25</v>
      </c>
      <c r="AA51" s="10">
        <v>28.35</v>
      </c>
      <c r="AB51" s="95">
        <v>30181100</v>
      </c>
      <c r="AC51" s="10">
        <v>28.35</v>
      </c>
      <c r="AD51" s="2">
        <f t="shared" si="0"/>
        <v>0.78999999999999915</v>
      </c>
      <c r="AE51" s="138">
        <f t="shared" si="1"/>
        <v>-4.9295774647887258E-2</v>
      </c>
    </row>
    <row r="52" spans="15:31" x14ac:dyDescent="0.25">
      <c r="O52" s="83">
        <v>1</v>
      </c>
      <c r="P52" s="83">
        <f t="shared" si="2"/>
        <v>32.119999999999997</v>
      </c>
      <c r="Q52" s="2"/>
      <c r="T52" s="10" t="s">
        <v>106</v>
      </c>
      <c r="U52" s="10" t="s">
        <v>359</v>
      </c>
      <c r="W52" s="133">
        <v>42544</v>
      </c>
      <c r="X52" s="10">
        <v>29.59</v>
      </c>
      <c r="Y52" s="10">
        <v>29.85</v>
      </c>
      <c r="Z52" s="10">
        <v>29.55</v>
      </c>
      <c r="AA52" s="10">
        <v>29.82</v>
      </c>
      <c r="AB52" s="95">
        <v>9598100</v>
      </c>
      <c r="AC52" s="10">
        <v>29.82</v>
      </c>
      <c r="AD52" s="2">
        <f t="shared" si="0"/>
        <v>0.30000000000000071</v>
      </c>
      <c r="AE52" s="138">
        <f t="shared" si="1"/>
        <v>1.7053206002728416E-2</v>
      </c>
    </row>
    <row r="53" spans="15:31" x14ac:dyDescent="0.25">
      <c r="O53" s="83">
        <v>0.99</v>
      </c>
      <c r="P53" s="83">
        <f t="shared" si="2"/>
        <v>31.798799999999996</v>
      </c>
      <c r="Q53" s="2"/>
      <c r="T53" s="10" t="s">
        <v>107</v>
      </c>
      <c r="U53" s="95">
        <v>10828387</v>
      </c>
      <c r="W53" s="133">
        <v>42543</v>
      </c>
      <c r="X53" s="10">
        <v>29.34</v>
      </c>
      <c r="Y53" s="10">
        <v>29.59</v>
      </c>
      <c r="Z53" s="10">
        <v>29.27</v>
      </c>
      <c r="AA53" s="10">
        <v>29.32</v>
      </c>
      <c r="AB53" s="95">
        <v>8717200</v>
      </c>
      <c r="AC53" s="10">
        <v>29.32</v>
      </c>
      <c r="AD53" s="2">
        <f t="shared" si="0"/>
        <v>0.32000000000000028</v>
      </c>
      <c r="AE53" s="138">
        <f t="shared" si="1"/>
        <v>-6.4384954252796334E-3</v>
      </c>
    </row>
    <row r="54" spans="15:31" x14ac:dyDescent="0.25">
      <c r="O54" s="83">
        <v>0.98</v>
      </c>
      <c r="P54" s="83">
        <f t="shared" si="2"/>
        <v>31.477599999999995</v>
      </c>
      <c r="Q54" s="2"/>
      <c r="T54" s="10" t="s">
        <v>110</v>
      </c>
      <c r="U54" s="95">
        <v>12974200</v>
      </c>
      <c r="W54" s="133">
        <v>42542</v>
      </c>
      <c r="X54" s="10">
        <v>29.64</v>
      </c>
      <c r="Y54" s="10">
        <v>29.77</v>
      </c>
      <c r="Z54" s="10">
        <v>29.43</v>
      </c>
      <c r="AA54" s="10">
        <v>29.51</v>
      </c>
      <c r="AB54" s="95">
        <v>10318000</v>
      </c>
      <c r="AC54" s="10">
        <v>29.51</v>
      </c>
      <c r="AD54" s="2">
        <f t="shared" si="0"/>
        <v>0.33999999999999986</v>
      </c>
      <c r="AE54" s="138">
        <f t="shared" si="1"/>
        <v>-4.7217537942663146E-3</v>
      </c>
    </row>
    <row r="55" spans="15:31" x14ac:dyDescent="0.25">
      <c r="O55" s="83">
        <v>0.97</v>
      </c>
      <c r="P55" s="83">
        <f t="shared" si="2"/>
        <v>31.156399999999998</v>
      </c>
      <c r="T55" s="10" t="s">
        <v>108</v>
      </c>
      <c r="U55" s="10" t="s">
        <v>471</v>
      </c>
      <c r="W55" s="133">
        <v>42541</v>
      </c>
      <c r="X55" s="10">
        <v>29.62</v>
      </c>
      <c r="Y55" s="10">
        <v>30.03</v>
      </c>
      <c r="Z55" s="10">
        <v>29.59</v>
      </c>
      <c r="AA55" s="10">
        <v>29.65</v>
      </c>
      <c r="AB55" s="95">
        <v>12329100</v>
      </c>
      <c r="AC55" s="10">
        <v>29.65</v>
      </c>
      <c r="AD55" s="2">
        <f t="shared" si="0"/>
        <v>0.44000000000000128</v>
      </c>
      <c r="AE55" s="138">
        <f t="shared" si="1"/>
        <v>1.436879917892564E-2</v>
      </c>
    </row>
    <row r="56" spans="15:31" x14ac:dyDescent="0.25">
      <c r="O56" s="83">
        <v>0.96</v>
      </c>
      <c r="P56" s="83">
        <f t="shared" si="2"/>
        <v>30.835199999999997</v>
      </c>
      <c r="T56" s="10" t="s">
        <v>111</v>
      </c>
      <c r="U56" s="10">
        <v>4.12</v>
      </c>
      <c r="W56" s="133">
        <v>42538</v>
      </c>
      <c r="X56" s="10">
        <v>29.14</v>
      </c>
      <c r="Y56" s="10">
        <v>29.43</v>
      </c>
      <c r="Z56" s="10">
        <v>29.06</v>
      </c>
      <c r="AA56" s="10">
        <v>29.23</v>
      </c>
      <c r="AB56" s="95">
        <v>12707400</v>
      </c>
      <c r="AC56" s="10">
        <v>29.23</v>
      </c>
      <c r="AD56" s="2">
        <f t="shared" si="0"/>
        <v>0.37000000000000099</v>
      </c>
      <c r="AE56" s="138">
        <f t="shared" si="1"/>
        <v>7.2363886974500247E-3</v>
      </c>
    </row>
    <row r="57" spans="15:31" x14ac:dyDescent="0.25">
      <c r="O57" s="83">
        <v>0.95</v>
      </c>
      <c r="P57" s="83">
        <f t="shared" si="2"/>
        <v>30.513999999999996</v>
      </c>
      <c r="T57" s="10" t="s">
        <v>112</v>
      </c>
      <c r="U57" s="10">
        <v>7.81</v>
      </c>
      <c r="W57" s="133">
        <v>42537</v>
      </c>
      <c r="X57" s="10">
        <v>28.67</v>
      </c>
      <c r="Y57" s="10">
        <v>29.07</v>
      </c>
      <c r="Z57" s="10">
        <v>28.5</v>
      </c>
      <c r="AA57" s="10">
        <v>29.02</v>
      </c>
      <c r="AB57" s="95">
        <v>9654400</v>
      </c>
      <c r="AC57" s="10">
        <v>29.02</v>
      </c>
      <c r="AD57" s="2">
        <f t="shared" si="0"/>
        <v>0.57000000000000028</v>
      </c>
      <c r="AE57" s="138">
        <f t="shared" si="1"/>
        <v>5.5440055440054703E-3</v>
      </c>
    </row>
    <row r="58" spans="15:31" x14ac:dyDescent="0.25">
      <c r="O58" s="83">
        <v>0.94</v>
      </c>
      <c r="P58" s="83">
        <f t="shared" si="2"/>
        <v>30.192799999999995</v>
      </c>
      <c r="T58" s="10" t="s">
        <v>109</v>
      </c>
      <c r="U58" s="10" t="s">
        <v>579</v>
      </c>
      <c r="W58" s="133">
        <v>42536</v>
      </c>
      <c r="X58" s="10">
        <v>28.98</v>
      </c>
      <c r="Y58" s="10">
        <v>29.22</v>
      </c>
      <c r="Z58" s="10">
        <v>28.79</v>
      </c>
      <c r="AA58" s="10">
        <v>28.86</v>
      </c>
      <c r="AB58" s="95">
        <v>8479900</v>
      </c>
      <c r="AC58" s="10">
        <v>28.86</v>
      </c>
      <c r="AD58" s="2">
        <f t="shared" si="0"/>
        <v>0.42999999999999972</v>
      </c>
      <c r="AE58" s="138">
        <f t="shared" si="1"/>
        <v>1.0405827263266776E-3</v>
      </c>
    </row>
    <row r="59" spans="15:31" x14ac:dyDescent="0.25">
      <c r="O59" s="83">
        <v>0.93</v>
      </c>
      <c r="P59" s="83">
        <f t="shared" si="2"/>
        <v>29.871600000000001</v>
      </c>
      <c r="W59" s="133">
        <v>42535</v>
      </c>
      <c r="X59" s="10">
        <v>29.07</v>
      </c>
      <c r="Y59" s="10">
        <v>29.31</v>
      </c>
      <c r="Z59" s="10">
        <v>28.65</v>
      </c>
      <c r="AA59" s="10">
        <v>28.83</v>
      </c>
      <c r="AB59" s="95">
        <v>10751700</v>
      </c>
      <c r="AC59" s="10">
        <v>28.83</v>
      </c>
      <c r="AD59" s="2">
        <f t="shared" si="0"/>
        <v>0.66000000000000014</v>
      </c>
      <c r="AE59" s="138">
        <f t="shared" si="1"/>
        <v>-8.5969738651994199E-3</v>
      </c>
    </row>
    <row r="60" spans="15:31" x14ac:dyDescent="0.25">
      <c r="O60" s="83">
        <v>0.92</v>
      </c>
      <c r="P60" s="83">
        <f t="shared" si="2"/>
        <v>29.5504</v>
      </c>
      <c r="W60" s="133">
        <v>42534</v>
      </c>
      <c r="X60" s="10">
        <v>28.85</v>
      </c>
      <c r="Y60" s="10">
        <v>29.4</v>
      </c>
      <c r="Z60" s="10">
        <v>28.8</v>
      </c>
      <c r="AA60" s="10">
        <v>29.08</v>
      </c>
      <c r="AB60" s="95">
        <v>13871300</v>
      </c>
      <c r="AC60" s="10">
        <v>29.08</v>
      </c>
      <c r="AD60" s="2">
        <f t="shared" si="0"/>
        <v>0.59999999999999787</v>
      </c>
      <c r="AE60" s="138">
        <f t="shared" si="1"/>
        <v>6.8823124569861172E-4</v>
      </c>
    </row>
    <row r="61" spans="15:31" x14ac:dyDescent="0.25">
      <c r="O61" s="83">
        <v>0.91</v>
      </c>
      <c r="P61" s="83">
        <f t="shared" si="2"/>
        <v>29.229199999999999</v>
      </c>
      <c r="W61" s="133">
        <v>42531</v>
      </c>
      <c r="X61" s="10">
        <v>29.22</v>
      </c>
      <c r="Y61" s="10">
        <v>29.34</v>
      </c>
      <c r="Z61" s="10">
        <v>28.98</v>
      </c>
      <c r="AA61" s="10">
        <v>29.06</v>
      </c>
      <c r="AB61" s="95">
        <v>10740400</v>
      </c>
      <c r="AC61" s="10">
        <v>29.06</v>
      </c>
      <c r="AD61" s="2">
        <f t="shared" si="0"/>
        <v>0.35999999999999943</v>
      </c>
      <c r="AE61" s="138">
        <f t="shared" si="1"/>
        <v>-1.021798365122617E-2</v>
      </c>
    </row>
    <row r="62" spans="15:31" x14ac:dyDescent="0.25">
      <c r="O62" s="83">
        <v>0.9</v>
      </c>
      <c r="P62" s="83">
        <f t="shared" si="2"/>
        <v>28.907999999999998</v>
      </c>
      <c r="W62" s="133">
        <v>42530</v>
      </c>
      <c r="X62" s="10">
        <v>29.48</v>
      </c>
      <c r="Y62" s="10">
        <v>29.5</v>
      </c>
      <c r="Z62" s="10">
        <v>29.16</v>
      </c>
      <c r="AA62" s="10">
        <v>29.36</v>
      </c>
      <c r="AB62" s="95">
        <v>11907500</v>
      </c>
      <c r="AC62" s="10">
        <v>29.36</v>
      </c>
      <c r="AD62" s="2">
        <f t="shared" si="0"/>
        <v>0.33999999999999986</v>
      </c>
      <c r="AE62" s="138">
        <f t="shared" si="1"/>
        <v>-7.1017923571187191E-3</v>
      </c>
    </row>
    <row r="63" spans="15:31" x14ac:dyDescent="0.25">
      <c r="W63" s="133">
        <v>42529</v>
      </c>
      <c r="X63" s="10">
        <v>30</v>
      </c>
      <c r="Y63" s="10">
        <v>30.03</v>
      </c>
      <c r="Z63" s="10">
        <v>29.52</v>
      </c>
      <c r="AA63" s="10">
        <v>29.57</v>
      </c>
      <c r="AB63" s="95">
        <v>12990900</v>
      </c>
      <c r="AC63" s="10">
        <v>29.57</v>
      </c>
      <c r="AD63" s="2">
        <f t="shared" si="0"/>
        <v>0.51000000000000156</v>
      </c>
      <c r="AE63" s="138" t="e">
        <f t="shared" si="1"/>
        <v>#DIV/0!</v>
      </c>
    </row>
    <row r="64" spans="15:31" x14ac:dyDescent="0.25">
      <c r="W64" s="133">
        <v>42529</v>
      </c>
      <c r="X64" s="10" t="s">
        <v>194</v>
      </c>
      <c r="Y64" s="10"/>
      <c r="Z64" s="10"/>
      <c r="AA64" s="10"/>
      <c r="AB64" s="95"/>
      <c r="AC64" s="10"/>
      <c r="AD64" s="2">
        <f t="shared" si="0"/>
        <v>0</v>
      </c>
      <c r="AE64" s="138">
        <f t="shared" si="1"/>
        <v>-1</v>
      </c>
    </row>
    <row r="65" spans="23:31" x14ac:dyDescent="0.25">
      <c r="W65" s="133">
        <v>42528</v>
      </c>
      <c r="X65" s="10">
        <v>30.16</v>
      </c>
      <c r="Y65" s="10">
        <v>30.38</v>
      </c>
      <c r="Z65" s="10">
        <v>29.95</v>
      </c>
      <c r="AA65" s="10">
        <v>30.23</v>
      </c>
      <c r="AB65" s="95">
        <v>14425700</v>
      </c>
      <c r="AC65" s="10">
        <v>29.85</v>
      </c>
      <c r="AD65" s="2">
        <f t="shared" si="0"/>
        <v>0.42999999999999972</v>
      </c>
      <c r="AE65" s="138">
        <f t="shared" si="1"/>
        <v>8.1053698074975422E-3</v>
      </c>
    </row>
    <row r="66" spans="23:31" x14ac:dyDescent="0.25">
      <c r="W66" s="133">
        <v>42527</v>
      </c>
      <c r="X66" s="10">
        <v>29.85</v>
      </c>
      <c r="Y66" s="10">
        <v>30.04</v>
      </c>
      <c r="Z66" s="10">
        <v>29.72</v>
      </c>
      <c r="AA66" s="10">
        <v>29.99</v>
      </c>
      <c r="AB66" s="95">
        <v>10985800</v>
      </c>
      <c r="AC66" s="10">
        <v>29.61</v>
      </c>
      <c r="AD66" s="2">
        <f t="shared" si="0"/>
        <v>0.32000000000000028</v>
      </c>
      <c r="AE66" s="138">
        <f t="shared" si="1"/>
        <v>1.300034211426615E-2</v>
      </c>
    </row>
    <row r="67" spans="23:31" x14ac:dyDescent="0.25">
      <c r="W67" s="133">
        <v>42524</v>
      </c>
      <c r="X67" s="10">
        <v>30.09</v>
      </c>
      <c r="Y67" s="10">
        <v>30.15</v>
      </c>
      <c r="Z67" s="10">
        <v>29.51</v>
      </c>
      <c r="AA67" s="10">
        <v>29.6</v>
      </c>
      <c r="AB67" s="95">
        <v>18549600</v>
      </c>
      <c r="AC67" s="10">
        <v>29.23</v>
      </c>
      <c r="AD67" s="2">
        <f>Y67-Z67</f>
        <v>0.63999999999999702</v>
      </c>
      <c r="AE67" s="138">
        <f>AC67/AC68-1</f>
        <v>-2.1753681392235547E-2</v>
      </c>
    </row>
    <row r="68" spans="23:31" x14ac:dyDescent="0.25">
      <c r="W68" s="133">
        <v>42523</v>
      </c>
      <c r="X68" s="10">
        <v>30.13</v>
      </c>
      <c r="Y68" s="10">
        <v>30.46</v>
      </c>
      <c r="Z68" s="10">
        <v>30.05</v>
      </c>
      <c r="AA68" s="10">
        <v>30.26</v>
      </c>
      <c r="AB68" s="95">
        <v>12649300</v>
      </c>
      <c r="AC68" s="10">
        <v>29.88</v>
      </c>
      <c r="AD68" s="2">
        <f>Y68-Z68</f>
        <v>0.41000000000000014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90" priority="7">
      <formula>F22&gt;0</formula>
    </cfRule>
    <cfRule type="expression" dxfId="89" priority="8">
      <formula>F22&lt;0</formula>
    </cfRule>
  </conditionalFormatting>
  <conditionalFormatting sqref="H22:H26">
    <cfRule type="expression" dxfId="88" priority="5">
      <formula>H22&gt;0</formula>
    </cfRule>
    <cfRule type="expression" dxfId="87" priority="6">
      <formula>H22&lt;0</formula>
    </cfRule>
  </conditionalFormatting>
  <conditionalFormatting sqref="Q8">
    <cfRule type="expression" dxfId="86" priority="1">
      <formula>Q8&gt;0</formula>
    </cfRule>
    <cfRule type="expression" dxfId="85" priority="2">
      <formula>Q8&lt;0</formula>
    </cfRule>
  </conditionalFormatting>
  <conditionalFormatting sqref="Q7">
    <cfRule type="expression" dxfId="84" priority="3">
      <formula>Q7&gt;0</formula>
    </cfRule>
    <cfRule type="expression" dxfId="83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8.710937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42615</v>
      </c>
      <c r="X2" s="10">
        <v>151.22999999999999</v>
      </c>
      <c r="Y2" s="10">
        <v>151.84</v>
      </c>
      <c r="Z2" s="10">
        <v>150.66999999999999</v>
      </c>
      <c r="AA2" s="10">
        <v>151.18</v>
      </c>
      <c r="AB2" s="95">
        <v>1099100</v>
      </c>
      <c r="AC2" s="10">
        <v>151.18</v>
      </c>
      <c r="AD2" s="2"/>
      <c r="AE2" s="138"/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151</v>
      </c>
      <c r="W3" s="133">
        <v>42614</v>
      </c>
      <c r="X3" s="10">
        <v>152.65</v>
      </c>
      <c r="Y3" s="10">
        <v>152.83000000000001</v>
      </c>
      <c r="Z3" s="10">
        <v>150.4</v>
      </c>
      <c r="AA3" s="10">
        <v>150.94999999999999</v>
      </c>
      <c r="AB3" s="95">
        <v>1306000</v>
      </c>
      <c r="AC3" s="10">
        <v>150.94999999999999</v>
      </c>
      <c r="AD3" s="2"/>
      <c r="AE3" s="138"/>
      <c r="AI3" t="s">
        <v>175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151</v>
      </c>
      <c r="W4" s="133">
        <v>42613</v>
      </c>
      <c r="X4" s="10">
        <v>153.16999999999999</v>
      </c>
      <c r="Y4" s="10">
        <v>153.4</v>
      </c>
      <c r="Z4" s="10">
        <v>151.56</v>
      </c>
      <c r="AA4" s="10">
        <v>152.19</v>
      </c>
      <c r="AB4" s="95">
        <v>1053800</v>
      </c>
      <c r="AC4" s="10">
        <v>152.19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0</v>
      </c>
      <c r="W5" s="133">
        <v>42612</v>
      </c>
      <c r="X5" s="10">
        <v>153.80000000000001</v>
      </c>
      <c r="Y5" s="10">
        <v>154.04</v>
      </c>
      <c r="Z5" s="10">
        <v>152.06</v>
      </c>
      <c r="AA5" s="10">
        <v>153.16</v>
      </c>
      <c r="AB5" s="95">
        <v>966500</v>
      </c>
      <c r="AC5" s="10">
        <v>153.16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42611</v>
      </c>
      <c r="X6" s="10">
        <v>152.28</v>
      </c>
      <c r="Y6" s="10">
        <v>154.11000000000001</v>
      </c>
      <c r="Z6" s="10">
        <v>152.16999999999999</v>
      </c>
      <c r="AA6" s="10">
        <v>153.51</v>
      </c>
      <c r="AB6" s="95">
        <v>986700</v>
      </c>
      <c r="AC6" s="10">
        <v>153.51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187</v>
      </c>
      <c r="Q7" s="2">
        <f>Q10+Q8</f>
        <v>171.47000000000003</v>
      </c>
      <c r="R7">
        <v>0</v>
      </c>
      <c r="W7" s="133">
        <v>42608</v>
      </c>
      <c r="X7" s="10">
        <v>151.91999999999999</v>
      </c>
      <c r="Y7" s="10">
        <v>153.05000000000001</v>
      </c>
      <c r="Z7" s="10">
        <v>151.44999999999999</v>
      </c>
      <c r="AA7" s="10">
        <v>152.36000000000001</v>
      </c>
      <c r="AB7" s="95">
        <v>1158300</v>
      </c>
      <c r="AC7" s="10">
        <v>152.36000000000001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190</v>
      </c>
      <c r="P8" s="34"/>
      <c r="Q8" s="2">
        <f>K18+M18-F18+Q2*Q4</f>
        <v>0</v>
      </c>
      <c r="W8" s="133">
        <v>42607</v>
      </c>
      <c r="X8" s="10">
        <v>151.29</v>
      </c>
      <c r="Y8" s="10">
        <v>152.38999999999999</v>
      </c>
      <c r="Z8" s="10">
        <v>150.75</v>
      </c>
      <c r="AA8" s="10">
        <v>151.35</v>
      </c>
      <c r="AB8" s="95">
        <v>1358100</v>
      </c>
      <c r="AC8" s="10">
        <v>151.35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224</v>
      </c>
      <c r="Q9" s="138">
        <f>IF(Q2=0, 0, Q8/Q6)</f>
        <v>0</v>
      </c>
      <c r="W9" s="133">
        <v>42606</v>
      </c>
      <c r="X9" s="10">
        <v>154.36000000000001</v>
      </c>
      <c r="Y9" s="10">
        <v>154.5</v>
      </c>
      <c r="Z9" s="10">
        <v>150.78</v>
      </c>
      <c r="AA9" s="10">
        <v>151.26</v>
      </c>
      <c r="AB9" s="95">
        <v>1513700</v>
      </c>
      <c r="AC9" s="10">
        <v>151.26</v>
      </c>
      <c r="AD9" s="2"/>
      <c r="AE9" s="138"/>
    </row>
    <row r="10" spans="1:43" x14ac:dyDescent="0.25">
      <c r="O10" s="11" t="s">
        <v>223</v>
      </c>
      <c r="P10" s="34"/>
      <c r="Q10" s="2">
        <f>M34</f>
        <v>171.47000000000003</v>
      </c>
      <c r="W10" s="133">
        <v>42605</v>
      </c>
      <c r="X10" s="10">
        <v>154.56</v>
      </c>
      <c r="Y10" s="10">
        <v>156.19</v>
      </c>
      <c r="Z10" s="10">
        <v>154.16999999999999</v>
      </c>
      <c r="AA10" s="10">
        <v>154.55000000000001</v>
      </c>
      <c r="AB10" s="95">
        <v>1064700</v>
      </c>
      <c r="AC10" s="10">
        <v>154.55000000000001</v>
      </c>
      <c r="AD10" s="2"/>
      <c r="AE10" s="138"/>
    </row>
    <row r="11" spans="1:43" x14ac:dyDescent="0.25">
      <c r="O11" s="11" t="s">
        <v>184</v>
      </c>
      <c r="P11" s="34"/>
      <c r="Q11" s="138">
        <f>IF(U58="N/A (N/A)", 0, VALUE(TRIM(CLEAN(MID(U58, FIND("(", U58)+1, 5)))))</f>
        <v>4.0000000000000001E-3</v>
      </c>
      <c r="W11" s="133">
        <v>42604</v>
      </c>
      <c r="X11" s="10">
        <v>153.68</v>
      </c>
      <c r="Y11" s="10">
        <v>154.27000000000001</v>
      </c>
      <c r="Z11" s="10">
        <v>153.28</v>
      </c>
      <c r="AA11" s="10">
        <v>153.99</v>
      </c>
      <c r="AB11" s="95">
        <v>705900</v>
      </c>
      <c r="AC11" s="10">
        <v>153.99</v>
      </c>
      <c r="AD11" s="2"/>
      <c r="AE11" s="138"/>
    </row>
    <row r="12" spans="1:43" x14ac:dyDescent="0.25">
      <c r="W12" s="133">
        <v>42601</v>
      </c>
      <c r="X12" s="10">
        <v>152.88</v>
      </c>
      <c r="Y12" s="10">
        <v>153.81</v>
      </c>
      <c r="Z12" s="10">
        <v>152.5</v>
      </c>
      <c r="AA12" s="10">
        <v>153.58000000000001</v>
      </c>
      <c r="AB12" s="95">
        <v>1498000</v>
      </c>
      <c r="AC12" s="10">
        <v>153.58000000000001</v>
      </c>
      <c r="AD12" s="2"/>
      <c r="AE12" s="138"/>
    </row>
    <row r="13" spans="1:43" x14ac:dyDescent="0.25">
      <c r="W13" s="133">
        <v>42600</v>
      </c>
      <c r="X13" s="10">
        <v>154.22</v>
      </c>
      <c r="Y13" s="10">
        <v>154.47</v>
      </c>
      <c r="Z13" s="10">
        <v>152.74</v>
      </c>
      <c r="AA13" s="10">
        <v>153.35</v>
      </c>
      <c r="AB13" s="95">
        <v>2155800</v>
      </c>
      <c r="AC13" s="10">
        <v>153.35</v>
      </c>
      <c r="AD13" s="2"/>
      <c r="AE13" s="138"/>
    </row>
    <row r="14" spans="1:43" x14ac:dyDescent="0.25">
      <c r="W14" s="133">
        <v>42599</v>
      </c>
      <c r="X14" s="10">
        <v>155.46</v>
      </c>
      <c r="Y14" s="10">
        <v>155.54</v>
      </c>
      <c r="Z14" s="10">
        <v>153.66999999999999</v>
      </c>
      <c r="AA14" s="10">
        <v>154.66999999999999</v>
      </c>
      <c r="AB14" s="95">
        <v>916400</v>
      </c>
      <c r="AC14" s="10">
        <v>154.66999999999999</v>
      </c>
      <c r="AD14" s="2"/>
      <c r="AE14" s="138"/>
    </row>
    <row r="15" spans="1:43" x14ac:dyDescent="0.25">
      <c r="W15" s="133">
        <v>42598</v>
      </c>
      <c r="X15" s="10">
        <v>155.62</v>
      </c>
      <c r="Y15" s="10">
        <v>155.96</v>
      </c>
      <c r="Z15" s="10">
        <v>154.97</v>
      </c>
      <c r="AA15" s="10">
        <v>154.97</v>
      </c>
      <c r="AB15" s="95">
        <v>861300</v>
      </c>
      <c r="AC15" s="10">
        <v>154.97</v>
      </c>
      <c r="AD15" s="2"/>
      <c r="AE15" s="138"/>
    </row>
    <row r="16" spans="1:43" x14ac:dyDescent="0.25">
      <c r="W16" s="133">
        <v>42597</v>
      </c>
      <c r="X16" s="10">
        <v>155.69</v>
      </c>
      <c r="Y16" s="10">
        <v>156.46</v>
      </c>
      <c r="Z16" s="10">
        <v>155.29</v>
      </c>
      <c r="AA16" s="10">
        <v>155.97</v>
      </c>
      <c r="AB16" s="95">
        <v>959100</v>
      </c>
      <c r="AC16" s="10">
        <v>155.97</v>
      </c>
      <c r="AD16" s="2"/>
      <c r="AE16" s="138"/>
    </row>
    <row r="17" spans="1:31" x14ac:dyDescent="0.25">
      <c r="W17" s="133">
        <v>42594</v>
      </c>
      <c r="X17" s="10">
        <v>156.77000000000001</v>
      </c>
      <c r="Y17" s="10">
        <v>156.84</v>
      </c>
      <c r="Z17" s="10">
        <v>155.05000000000001</v>
      </c>
      <c r="AA17" s="10">
        <v>155.49</v>
      </c>
      <c r="AB17" s="95">
        <v>864700</v>
      </c>
      <c r="AC17" s="10">
        <v>155.49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42593</v>
      </c>
      <c r="X18" s="10">
        <v>156.24</v>
      </c>
      <c r="Y18" s="10">
        <v>157.55000000000001</v>
      </c>
      <c r="Z18" s="10">
        <v>155.84</v>
      </c>
      <c r="AA18" s="10">
        <v>157.46</v>
      </c>
      <c r="AB18" s="95">
        <v>781100</v>
      </c>
      <c r="AC18" s="10">
        <v>157.46</v>
      </c>
      <c r="AD18" s="2"/>
      <c r="AE18" s="138"/>
    </row>
    <row r="19" spans="1:31" x14ac:dyDescent="0.25">
      <c r="W19" s="133">
        <v>42592</v>
      </c>
      <c r="X19" s="10">
        <v>156.79</v>
      </c>
      <c r="Y19" s="10">
        <v>157.37</v>
      </c>
      <c r="Z19" s="10">
        <v>155.6</v>
      </c>
      <c r="AA19" s="10">
        <v>156.01</v>
      </c>
      <c r="AB19" s="95">
        <v>687300</v>
      </c>
      <c r="AC19" s="10">
        <v>156.01</v>
      </c>
      <c r="AD19" s="2"/>
      <c r="AE19" s="138"/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4" t="s">
        <v>161</v>
      </c>
      <c r="W20" s="133">
        <v>42591</v>
      </c>
      <c r="X20" s="10">
        <v>156.54</v>
      </c>
      <c r="Y20" s="10">
        <v>157.25</v>
      </c>
      <c r="Z20" s="10">
        <v>156.25</v>
      </c>
      <c r="AA20" s="10">
        <v>156.68</v>
      </c>
      <c r="AB20" s="95">
        <v>584900</v>
      </c>
      <c r="AC20" s="10">
        <v>156.68</v>
      </c>
      <c r="AD20" s="2"/>
      <c r="AE20" s="138"/>
    </row>
    <row r="21" spans="1:31" x14ac:dyDescent="0.25">
      <c r="B21" s="193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31">
        <f>(E21-D21)/D21</f>
        <v>2.0647773279352202E-2</v>
      </c>
      <c r="I21" s="40"/>
      <c r="W21" s="133">
        <v>42590</v>
      </c>
      <c r="X21" s="10">
        <v>157.44</v>
      </c>
      <c r="Y21" s="10">
        <v>157.81</v>
      </c>
      <c r="Z21" s="10">
        <v>156.16</v>
      </c>
      <c r="AA21" s="10">
        <v>156.52000000000001</v>
      </c>
      <c r="AB21" s="95">
        <v>833800</v>
      </c>
      <c r="AC21" s="10">
        <v>156.52000000000001</v>
      </c>
      <c r="AD21" s="2"/>
      <c r="AE21" s="138"/>
    </row>
    <row r="22" spans="1:31" x14ac:dyDescent="0.25">
      <c r="B22" s="193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31">
        <f>(E22-D22)/D22</f>
        <v>6.4291497975708489E-2</v>
      </c>
      <c r="I22" s="40"/>
      <c r="W22" s="133">
        <v>42587</v>
      </c>
      <c r="X22" s="10">
        <v>157.32</v>
      </c>
      <c r="Y22" s="10">
        <v>157.81</v>
      </c>
      <c r="Z22" s="10">
        <v>156.82</v>
      </c>
      <c r="AA22" s="10">
        <v>157.51</v>
      </c>
      <c r="AB22" s="95">
        <v>935600</v>
      </c>
      <c r="AC22" s="10">
        <v>157.51</v>
      </c>
      <c r="AD22" s="2"/>
      <c r="AE22" s="138"/>
    </row>
    <row r="23" spans="1:31" x14ac:dyDescent="0.25">
      <c r="B23" s="193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31">
        <f>(E23-D23)/D23</f>
        <v>9.5384615384615387E-2</v>
      </c>
      <c r="I23" s="40"/>
      <c r="W23" s="133">
        <v>42586</v>
      </c>
      <c r="X23" s="10">
        <v>156.62</v>
      </c>
      <c r="Y23" s="10">
        <v>157.69</v>
      </c>
      <c r="Z23" s="10">
        <v>156.25</v>
      </c>
      <c r="AA23" s="10">
        <v>156.41999999999999</v>
      </c>
      <c r="AB23" s="95">
        <v>893300</v>
      </c>
      <c r="AC23" s="10">
        <v>156.41999999999999</v>
      </c>
      <c r="AD23" s="2"/>
      <c r="AE23" s="138"/>
    </row>
    <row r="24" spans="1:31" x14ac:dyDescent="0.25">
      <c r="B24" s="193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31">
        <f>(E24-D24)/D24</f>
        <v>0.11838056680161947</v>
      </c>
      <c r="I24" s="40"/>
      <c r="W24" s="133">
        <v>42585</v>
      </c>
      <c r="X24" s="10">
        <v>156.83000000000001</v>
      </c>
      <c r="Y24" s="10">
        <v>156.83000000000001</v>
      </c>
      <c r="Z24" s="10">
        <v>155.66999999999999</v>
      </c>
      <c r="AA24" s="10">
        <v>156</v>
      </c>
      <c r="AB24" s="95">
        <v>1039700</v>
      </c>
      <c r="AC24" s="10">
        <v>156</v>
      </c>
      <c r="AD24" s="2"/>
      <c r="AE24" s="138"/>
    </row>
    <row r="25" spans="1:31" x14ac:dyDescent="0.25">
      <c r="B25" s="193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32"/>
      <c r="I25" s="40"/>
      <c r="W25" s="133">
        <v>42584</v>
      </c>
      <c r="X25" s="10">
        <v>159.53</v>
      </c>
      <c r="Y25" s="10">
        <v>159.79</v>
      </c>
      <c r="Z25" s="10">
        <v>155.88999999999999</v>
      </c>
      <c r="AA25" s="10">
        <v>156.44</v>
      </c>
      <c r="AB25" s="95">
        <v>1711300</v>
      </c>
      <c r="AC25" s="10">
        <v>156.44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42583</v>
      </c>
      <c r="X26" s="10">
        <v>158.75</v>
      </c>
      <c r="Y26" s="10">
        <v>160.68</v>
      </c>
      <c r="Z26" s="10">
        <v>158.57</v>
      </c>
      <c r="AA26" s="10">
        <v>159.56</v>
      </c>
      <c r="AB26" s="95">
        <v>1794000</v>
      </c>
      <c r="AC26" s="10">
        <v>159.56</v>
      </c>
      <c r="AD26" s="2"/>
      <c r="AE26" s="138"/>
    </row>
    <row r="27" spans="1:31" x14ac:dyDescent="0.25">
      <c r="B27" s="193"/>
      <c r="C27" s="10"/>
      <c r="D27" s="40"/>
      <c r="E27" s="40"/>
      <c r="F27" s="40"/>
      <c r="G27" s="40"/>
      <c r="H27" s="232"/>
      <c r="I27" s="40"/>
      <c r="W27" s="133">
        <v>42580</v>
      </c>
      <c r="X27" s="10">
        <v>158.94</v>
      </c>
      <c r="Y27" s="10">
        <v>159.99</v>
      </c>
      <c r="Z27" s="10">
        <v>158.38</v>
      </c>
      <c r="AA27" s="10">
        <v>158.84</v>
      </c>
      <c r="AB27" s="95">
        <v>1438600</v>
      </c>
      <c r="AC27" s="10">
        <v>158.84</v>
      </c>
      <c r="AD27" s="2"/>
      <c r="AE27" s="138"/>
    </row>
    <row r="28" spans="1:31" x14ac:dyDescent="0.25">
      <c r="B28" s="193"/>
      <c r="C28" s="10"/>
      <c r="D28" s="40"/>
      <c r="E28" s="40"/>
      <c r="F28" s="40"/>
      <c r="G28" s="40"/>
      <c r="H28" s="232"/>
      <c r="I28" s="40"/>
      <c r="W28" s="133">
        <v>42579</v>
      </c>
      <c r="X28" s="10">
        <v>157.16</v>
      </c>
      <c r="Y28" s="10">
        <v>159.26</v>
      </c>
      <c r="Z28" s="10">
        <v>156.56</v>
      </c>
      <c r="AA28" s="10">
        <v>158.82</v>
      </c>
      <c r="AB28" s="95">
        <v>1654700</v>
      </c>
      <c r="AC28" s="10">
        <v>158.82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2"/>
      <c r="I29" s="40"/>
      <c r="W29" s="133">
        <v>42578</v>
      </c>
      <c r="X29" s="10">
        <v>159.38999999999999</v>
      </c>
      <c r="Y29" s="10">
        <v>159.5</v>
      </c>
      <c r="Z29" s="10">
        <v>157.47999999999999</v>
      </c>
      <c r="AA29" s="10">
        <v>158.9</v>
      </c>
      <c r="AB29" s="95">
        <v>1536800</v>
      </c>
      <c r="AC29" s="10">
        <v>158.9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2"/>
      <c r="I30" s="40"/>
      <c r="W30" s="133">
        <v>42577</v>
      </c>
      <c r="X30" s="10">
        <v>157</v>
      </c>
      <c r="Y30" s="10">
        <v>159.13</v>
      </c>
      <c r="Z30" s="10">
        <v>156.30000000000001</v>
      </c>
      <c r="AA30" s="10">
        <v>158.88999999999999</v>
      </c>
      <c r="AB30" s="95">
        <v>1508200</v>
      </c>
      <c r="AC30" s="10">
        <v>158.88999999999999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42576</v>
      </c>
      <c r="X31" s="10">
        <v>157</v>
      </c>
      <c r="Y31" s="10">
        <v>157.56</v>
      </c>
      <c r="Z31" s="10">
        <v>156.29</v>
      </c>
      <c r="AA31" s="10">
        <v>156.97999999999999</v>
      </c>
      <c r="AB31" s="95">
        <v>1119400</v>
      </c>
      <c r="AC31" s="10">
        <v>156.97999999999999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42573</v>
      </c>
      <c r="X32" s="10">
        <v>156.82</v>
      </c>
      <c r="Y32" s="10">
        <v>157.37</v>
      </c>
      <c r="Z32" s="10">
        <v>156.02000000000001</v>
      </c>
      <c r="AA32" s="10">
        <v>156.88999999999999</v>
      </c>
      <c r="AB32" s="95">
        <v>901900</v>
      </c>
      <c r="AC32" s="10">
        <v>156.88999999999999</v>
      </c>
      <c r="AD32" s="2"/>
      <c r="AE32" s="138"/>
    </row>
    <row r="33" spans="1:31" x14ac:dyDescent="0.25">
      <c r="W33" s="133">
        <v>42572</v>
      </c>
      <c r="X33" s="10">
        <v>157.53</v>
      </c>
      <c r="Y33" s="10">
        <v>157.79</v>
      </c>
      <c r="Z33" s="10">
        <v>155.72</v>
      </c>
      <c r="AA33" s="10">
        <v>156.19999999999999</v>
      </c>
      <c r="AB33" s="95">
        <v>1103200</v>
      </c>
      <c r="AC33" s="10">
        <v>156.19999999999999</v>
      </c>
      <c r="AD33" s="2"/>
      <c r="AE33" s="138"/>
    </row>
    <row r="34" spans="1:31" x14ac:dyDescent="0.25">
      <c r="L34" t="s">
        <v>223</v>
      </c>
      <c r="M34" s="2">
        <f>M45+K45-F45</f>
        <v>171.47000000000003</v>
      </c>
      <c r="W34" s="133">
        <v>42571</v>
      </c>
      <c r="X34" s="10">
        <v>156.79</v>
      </c>
      <c r="Y34" s="10">
        <v>158.1</v>
      </c>
      <c r="Z34" s="10">
        <v>156.54</v>
      </c>
      <c r="AA34" s="10">
        <v>157.69</v>
      </c>
      <c r="AB34" s="95">
        <v>686900</v>
      </c>
      <c r="AC34" s="10">
        <v>157.69</v>
      </c>
      <c r="AD34" s="2"/>
      <c r="AE34" s="138"/>
    </row>
    <row r="35" spans="1:31" x14ac:dyDescent="0.25">
      <c r="A35" s="390" t="s">
        <v>1</v>
      </c>
      <c r="B35" s="390" t="s">
        <v>2</v>
      </c>
      <c r="C35" s="390" t="s">
        <v>4</v>
      </c>
      <c r="D35" s="390" t="s">
        <v>5</v>
      </c>
      <c r="E35" s="392" t="s">
        <v>94</v>
      </c>
      <c r="F35" s="390" t="s">
        <v>60</v>
      </c>
      <c r="G35" s="390" t="s">
        <v>3</v>
      </c>
      <c r="H35" s="390" t="s">
        <v>6</v>
      </c>
      <c r="I35" s="390" t="s">
        <v>7</v>
      </c>
      <c r="J35" s="390" t="s">
        <v>95</v>
      </c>
      <c r="K35" s="390" t="s">
        <v>61</v>
      </c>
      <c r="L35" s="390" t="s">
        <v>77</v>
      </c>
      <c r="M35" s="390" t="s">
        <v>38</v>
      </c>
      <c r="W35" s="133">
        <v>42570</v>
      </c>
      <c r="X35" s="10">
        <v>156.27000000000001</v>
      </c>
      <c r="Y35" s="10">
        <v>156.94</v>
      </c>
      <c r="Z35" s="10">
        <v>155.56</v>
      </c>
      <c r="AA35" s="10">
        <v>156.63999999999999</v>
      </c>
      <c r="AB35" s="95">
        <v>679200</v>
      </c>
      <c r="AC35" s="10">
        <v>156.63999999999999</v>
      </c>
      <c r="AD35" s="2"/>
      <c r="AE35" s="138"/>
    </row>
    <row r="36" spans="1:31" x14ac:dyDescent="0.25">
      <c r="A36" s="393" t="s">
        <v>0</v>
      </c>
      <c r="B36" s="383">
        <v>42403</v>
      </c>
      <c r="C36" s="384">
        <v>10</v>
      </c>
      <c r="D36" s="385">
        <v>123.5</v>
      </c>
      <c r="E36" s="385">
        <v>0</v>
      </c>
      <c r="F36" s="385">
        <f>D36*C36+E36</f>
        <v>1235</v>
      </c>
      <c r="G36" s="383">
        <v>42436</v>
      </c>
      <c r="H36" s="388">
        <v>10</v>
      </c>
      <c r="I36" s="385">
        <v>140.65</v>
      </c>
      <c r="J36" s="385">
        <v>0.03</v>
      </c>
      <c r="K36" s="384">
        <f>I36*H36-J36</f>
        <v>1406.47</v>
      </c>
      <c r="L36" s="383"/>
      <c r="M36" s="385"/>
      <c r="W36" s="133">
        <v>42569</v>
      </c>
      <c r="X36" s="10">
        <v>156.65</v>
      </c>
      <c r="Y36" s="10">
        <v>157.32</v>
      </c>
      <c r="Z36" s="10">
        <v>156.06</v>
      </c>
      <c r="AA36" s="10">
        <v>157.05000000000001</v>
      </c>
      <c r="AB36" s="95">
        <v>1098900</v>
      </c>
      <c r="AC36" s="10">
        <v>157.05000000000001</v>
      </c>
      <c r="AD36" s="2"/>
      <c r="AE36" s="138"/>
    </row>
    <row r="37" spans="1:31" x14ac:dyDescent="0.25">
      <c r="A37" s="394" t="s">
        <v>71</v>
      </c>
      <c r="B37" s="383"/>
      <c r="C37" s="384"/>
      <c r="D37" s="385"/>
      <c r="E37" s="385"/>
      <c r="F37" s="385"/>
      <c r="G37" s="383"/>
      <c r="H37" s="388"/>
      <c r="I37" s="385"/>
      <c r="J37" s="385"/>
      <c r="K37" s="384"/>
      <c r="L37" s="383"/>
      <c r="M37" s="385"/>
      <c r="W37" s="133">
        <v>42566</v>
      </c>
      <c r="X37" s="10">
        <v>158.37</v>
      </c>
      <c r="Y37" s="10">
        <v>158.37</v>
      </c>
      <c r="Z37" s="10">
        <v>156.75</v>
      </c>
      <c r="AA37" s="10">
        <v>157.04</v>
      </c>
      <c r="AB37" s="95">
        <v>1628200</v>
      </c>
      <c r="AC37" s="10">
        <v>157.04</v>
      </c>
      <c r="AD37" s="2"/>
      <c r="AE37" s="138"/>
    </row>
    <row r="38" spans="1:31" x14ac:dyDescent="0.25">
      <c r="A38" s="384"/>
      <c r="B38" s="383"/>
      <c r="C38" s="384"/>
      <c r="D38" s="385"/>
      <c r="E38" s="385"/>
      <c r="F38" s="385"/>
      <c r="G38" s="383"/>
      <c r="H38" s="388"/>
      <c r="I38" s="384"/>
      <c r="J38" s="385"/>
      <c r="K38" s="384"/>
      <c r="L38" s="384"/>
      <c r="M38" s="384"/>
      <c r="W38" s="133">
        <v>42565</v>
      </c>
      <c r="X38" s="10">
        <v>156.6</v>
      </c>
      <c r="Y38" s="10">
        <v>158.07</v>
      </c>
      <c r="Z38" s="10">
        <v>155.69999999999999</v>
      </c>
      <c r="AA38" s="10">
        <v>157.72999999999999</v>
      </c>
      <c r="AB38" s="95">
        <v>2033500</v>
      </c>
      <c r="AC38" s="10">
        <v>157.72999999999999</v>
      </c>
      <c r="AD38" s="2"/>
      <c r="AE38" s="138"/>
    </row>
    <row r="39" spans="1:31" x14ac:dyDescent="0.25">
      <c r="A39" s="384"/>
      <c r="B39" s="383"/>
      <c r="C39" s="384"/>
      <c r="D39" s="385"/>
      <c r="E39" s="385"/>
      <c r="F39" s="385"/>
      <c r="G39" s="384"/>
      <c r="H39" s="388"/>
      <c r="I39" s="385"/>
      <c r="J39" s="385"/>
      <c r="K39" s="384"/>
      <c r="L39" s="384"/>
      <c r="M39" s="384"/>
      <c r="W39" s="133">
        <v>42564</v>
      </c>
      <c r="X39" s="10">
        <v>155.01</v>
      </c>
      <c r="Y39" s="10">
        <v>155.16999999999999</v>
      </c>
      <c r="Z39" s="10">
        <v>154.09</v>
      </c>
      <c r="AA39" s="10">
        <v>154.80000000000001</v>
      </c>
      <c r="AB39" s="95">
        <v>844200</v>
      </c>
      <c r="AC39" s="10">
        <v>154.80000000000001</v>
      </c>
      <c r="AD39" s="2"/>
      <c r="AE39" s="138"/>
    </row>
    <row r="40" spans="1:31" x14ac:dyDescent="0.25">
      <c r="A40" s="384"/>
      <c r="B40" s="383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42563</v>
      </c>
      <c r="X40" s="10">
        <v>153.22999999999999</v>
      </c>
      <c r="Y40" s="10">
        <v>154.77000000000001</v>
      </c>
      <c r="Z40" s="10">
        <v>152.44999999999999</v>
      </c>
      <c r="AA40" s="10">
        <v>154.38</v>
      </c>
      <c r="AB40" s="95">
        <v>1188000</v>
      </c>
      <c r="AC40" s="10">
        <v>154.38</v>
      </c>
      <c r="AD40" s="2"/>
      <c r="AE40" s="138"/>
    </row>
    <row r="41" spans="1:31" x14ac:dyDescent="0.25">
      <c r="A41" s="384"/>
      <c r="B41" s="383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W41" s="133">
        <v>42562</v>
      </c>
      <c r="X41" s="10">
        <v>153.07</v>
      </c>
      <c r="Y41" s="10">
        <v>153.65</v>
      </c>
      <c r="Z41" s="10">
        <v>152.01</v>
      </c>
      <c r="AA41" s="10">
        <v>152.34</v>
      </c>
      <c r="AB41" s="95">
        <v>959100</v>
      </c>
      <c r="AC41" s="10">
        <v>152.34</v>
      </c>
      <c r="AD41" s="2"/>
      <c r="AE41" s="138"/>
    </row>
    <row r="42" spans="1:31" ht="20.25" thickBot="1" x14ac:dyDescent="0.35">
      <c r="A42" s="384"/>
      <c r="B42" s="383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T42" s="91" t="s">
        <v>113</v>
      </c>
      <c r="W42" s="133">
        <v>42559</v>
      </c>
      <c r="X42" s="10">
        <v>150.47</v>
      </c>
      <c r="Y42" s="10">
        <v>153.41999999999999</v>
      </c>
      <c r="Z42" s="10">
        <v>150.36000000000001</v>
      </c>
      <c r="AA42" s="10">
        <v>152.69</v>
      </c>
      <c r="AB42" s="95">
        <v>1153700</v>
      </c>
      <c r="AC42" s="10">
        <v>152.69</v>
      </c>
      <c r="AD42" s="2"/>
      <c r="AE42" s="138"/>
    </row>
    <row r="43" spans="1:31" ht="15.75" thickTop="1" x14ac:dyDescent="0.25">
      <c r="A43" s="384"/>
      <c r="B43" s="383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T43" s="340" t="s">
        <v>98</v>
      </c>
      <c r="U43" s="340">
        <v>150.94999999999999</v>
      </c>
      <c r="W43" s="133">
        <v>42558</v>
      </c>
      <c r="X43" s="10">
        <v>148.84</v>
      </c>
      <c r="Y43" s="10">
        <v>149.72999999999999</v>
      </c>
      <c r="Z43" s="10">
        <v>148.44999999999999</v>
      </c>
      <c r="AA43" s="10">
        <v>149.06</v>
      </c>
      <c r="AB43" s="95">
        <v>1331900</v>
      </c>
      <c r="AC43" s="10">
        <v>149.06</v>
      </c>
      <c r="AD43" s="2"/>
      <c r="AE43" s="138"/>
    </row>
    <row r="44" spans="1:31" x14ac:dyDescent="0.25">
      <c r="A44" s="384"/>
      <c r="B44" s="384"/>
      <c r="C44" s="384"/>
      <c r="D44" s="384"/>
      <c r="E44" s="385"/>
      <c r="F44" s="384"/>
      <c r="G44" s="384"/>
      <c r="H44" s="384"/>
      <c r="I44" s="384"/>
      <c r="J44" s="384"/>
      <c r="K44" s="384"/>
      <c r="L44" s="384"/>
      <c r="M44" s="384"/>
      <c r="T44" s="100" t="s">
        <v>99</v>
      </c>
      <c r="U44" s="100">
        <v>151.22999999999999</v>
      </c>
      <c r="W44" s="133">
        <v>42557</v>
      </c>
      <c r="X44" s="10">
        <v>146.4</v>
      </c>
      <c r="Y44" s="10">
        <v>149.38</v>
      </c>
      <c r="Z44" s="10">
        <v>145.75</v>
      </c>
      <c r="AA44" s="10">
        <v>149.11000000000001</v>
      </c>
      <c r="AB44" s="95">
        <v>1869400</v>
      </c>
      <c r="AC44" s="10">
        <v>149.11000000000001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545" t="s">
        <v>78</v>
      </c>
      <c r="P45" s="545"/>
      <c r="T45" s="100" t="s">
        <v>100</v>
      </c>
      <c r="U45" s="100" t="s">
        <v>472</v>
      </c>
      <c r="W45" s="133">
        <v>42556</v>
      </c>
      <c r="X45" s="10">
        <v>148.19999999999999</v>
      </c>
      <c r="Y45" s="10">
        <v>148.74</v>
      </c>
      <c r="Z45" s="10">
        <v>146.63999999999999</v>
      </c>
      <c r="AA45" s="10">
        <v>147.25</v>
      </c>
      <c r="AB45" s="95">
        <v>1878200</v>
      </c>
      <c r="AC45" s="10">
        <v>147.25</v>
      </c>
      <c r="AD45" s="2"/>
      <c r="AE45" s="138"/>
    </row>
    <row r="46" spans="1:31" ht="15.75" thickTop="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1.1000000000000001</v>
      </c>
      <c r="P46" s="83">
        <f>O46*$Q$4</f>
        <v>166.10000000000002</v>
      </c>
      <c r="Q46" s="2"/>
      <c r="T46" s="100" t="s">
        <v>101</v>
      </c>
      <c r="U46" s="100" t="s">
        <v>473</v>
      </c>
      <c r="W46" s="133">
        <v>42552</v>
      </c>
      <c r="X46" s="10">
        <v>147.94</v>
      </c>
      <c r="Y46" s="10">
        <v>149.85</v>
      </c>
      <c r="Z46" s="10">
        <v>147.47</v>
      </c>
      <c r="AA46" s="10">
        <v>149.22999999999999</v>
      </c>
      <c r="AB46" s="95">
        <v>1433100</v>
      </c>
      <c r="AC46" s="10">
        <v>149.22999999999999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164.59</v>
      </c>
      <c r="Q47" s="2"/>
      <c r="T47" s="100" t="s">
        <v>102</v>
      </c>
      <c r="U47" s="100">
        <v>172.06</v>
      </c>
      <c r="W47" s="133">
        <v>42551</v>
      </c>
      <c r="X47" s="10">
        <v>145.59</v>
      </c>
      <c r="Y47" s="10">
        <v>147.78</v>
      </c>
      <c r="Z47" s="10">
        <v>145.13</v>
      </c>
      <c r="AA47" s="10">
        <v>147.76</v>
      </c>
      <c r="AB47" s="95">
        <v>2419800</v>
      </c>
      <c r="AC47" s="10">
        <v>147.76</v>
      </c>
      <c r="AD47" s="2"/>
      <c r="AE47" s="138"/>
    </row>
    <row r="48" spans="1:31" x14ac:dyDescent="0.25">
      <c r="O48" s="83">
        <v>1.08</v>
      </c>
      <c r="P48" s="83">
        <f t="shared" si="0"/>
        <v>163.08000000000001</v>
      </c>
      <c r="Q48" s="2"/>
      <c r="T48" s="100" t="s">
        <v>103</v>
      </c>
      <c r="U48" s="100">
        <v>0.98223099999999997</v>
      </c>
      <c r="W48" s="133">
        <v>42550</v>
      </c>
      <c r="X48" s="10">
        <v>144.47</v>
      </c>
      <c r="Y48" s="10">
        <v>145.65</v>
      </c>
      <c r="Z48" s="10">
        <v>143.09</v>
      </c>
      <c r="AA48" s="10">
        <v>145.16</v>
      </c>
      <c r="AB48" s="95">
        <v>1998800</v>
      </c>
      <c r="AC48" s="10">
        <v>145.16</v>
      </c>
      <c r="AD48" s="2"/>
      <c r="AE48" s="138"/>
    </row>
    <row r="49" spans="15:31" x14ac:dyDescent="0.25">
      <c r="O49" s="83">
        <v>1.07</v>
      </c>
      <c r="P49" s="83">
        <f t="shared" si="0"/>
        <v>161.57000000000002</v>
      </c>
      <c r="Q49" s="2"/>
      <c r="T49" s="100" t="s">
        <v>123</v>
      </c>
      <c r="U49" s="100" t="s">
        <v>304</v>
      </c>
      <c r="W49" s="133">
        <v>42549</v>
      </c>
      <c r="X49" s="10">
        <v>142.37</v>
      </c>
      <c r="Y49" s="10">
        <v>143.27000000000001</v>
      </c>
      <c r="Z49" s="10">
        <v>141.5</v>
      </c>
      <c r="AA49" s="10">
        <v>143.15</v>
      </c>
      <c r="AB49" s="95">
        <v>2075100</v>
      </c>
      <c r="AC49" s="10">
        <v>143.15</v>
      </c>
      <c r="AD49" s="2"/>
      <c r="AE49" s="138"/>
    </row>
    <row r="50" spans="15:31" x14ac:dyDescent="0.25">
      <c r="O50" s="83">
        <v>1.06</v>
      </c>
      <c r="P50" s="83">
        <f t="shared" si="0"/>
        <v>160.06</v>
      </c>
      <c r="Q50" s="2"/>
      <c r="T50" s="100"/>
      <c r="U50" s="100"/>
      <c r="W50" s="133">
        <v>42548</v>
      </c>
      <c r="X50" s="10">
        <v>143.84</v>
      </c>
      <c r="Y50" s="10">
        <v>144.65</v>
      </c>
      <c r="Z50" s="10">
        <v>140.21</v>
      </c>
      <c r="AA50" s="10">
        <v>140.93</v>
      </c>
      <c r="AB50" s="95">
        <v>2842400</v>
      </c>
      <c r="AC50" s="10">
        <v>140.93</v>
      </c>
      <c r="AD50" s="2"/>
      <c r="AE50" s="138"/>
    </row>
    <row r="51" spans="15:31" x14ac:dyDescent="0.25">
      <c r="O51" s="83">
        <v>1.05</v>
      </c>
      <c r="P51" s="83">
        <f t="shared" si="0"/>
        <v>158.55000000000001</v>
      </c>
      <c r="Q51" s="2"/>
      <c r="T51" s="100" t="s">
        <v>105</v>
      </c>
      <c r="U51" s="100" t="s">
        <v>474</v>
      </c>
      <c r="W51" s="133">
        <v>42545</v>
      </c>
      <c r="X51" s="10">
        <v>146.63</v>
      </c>
      <c r="Y51" s="10">
        <v>148.84</v>
      </c>
      <c r="Z51" s="10">
        <v>144.62</v>
      </c>
      <c r="AA51" s="10">
        <v>145.35</v>
      </c>
      <c r="AB51" s="95">
        <v>3149400</v>
      </c>
      <c r="AC51" s="10">
        <v>145.35</v>
      </c>
      <c r="AD51" s="2"/>
      <c r="AE51" s="138"/>
    </row>
    <row r="52" spans="15:31" x14ac:dyDescent="0.25">
      <c r="O52" s="83">
        <v>1.04</v>
      </c>
      <c r="P52" s="83">
        <f t="shared" si="0"/>
        <v>157.04</v>
      </c>
      <c r="Q52" s="2"/>
      <c r="T52" s="100" t="s">
        <v>106</v>
      </c>
      <c r="U52" s="100" t="s">
        <v>325</v>
      </c>
      <c r="W52" s="133">
        <v>42544</v>
      </c>
      <c r="X52" s="10">
        <v>151.5</v>
      </c>
      <c r="Y52" s="10">
        <v>152.19</v>
      </c>
      <c r="Z52" s="10">
        <v>150.80000000000001</v>
      </c>
      <c r="AA52" s="10">
        <v>152.13999999999999</v>
      </c>
      <c r="AB52" s="95">
        <v>1136900</v>
      </c>
      <c r="AC52" s="10">
        <v>152.13999999999999</v>
      </c>
      <c r="AD52" s="2"/>
      <c r="AE52" s="138"/>
    </row>
    <row r="53" spans="15:31" x14ac:dyDescent="0.25">
      <c r="O53" s="83">
        <v>1.03</v>
      </c>
      <c r="P53" s="83">
        <f t="shared" si="0"/>
        <v>155.53</v>
      </c>
      <c r="Q53" s="2"/>
      <c r="T53" s="100" t="s">
        <v>107</v>
      </c>
      <c r="U53" s="101">
        <v>1104239</v>
      </c>
      <c r="W53" s="133">
        <v>42543</v>
      </c>
      <c r="X53" s="10">
        <v>149.1</v>
      </c>
      <c r="Y53" s="10">
        <v>151.5</v>
      </c>
      <c r="Z53" s="10">
        <v>149.05000000000001</v>
      </c>
      <c r="AA53" s="10">
        <v>149.85</v>
      </c>
      <c r="AB53" s="95">
        <v>936000</v>
      </c>
      <c r="AC53" s="10">
        <v>149.85</v>
      </c>
      <c r="AD53" s="2"/>
      <c r="AE53" s="138"/>
    </row>
    <row r="54" spans="15:31" x14ac:dyDescent="0.25">
      <c r="O54" s="83">
        <v>1.02</v>
      </c>
      <c r="P54" s="83">
        <f t="shared" si="0"/>
        <v>154.02000000000001</v>
      </c>
      <c r="Q54" s="2"/>
      <c r="T54" s="100" t="s">
        <v>110</v>
      </c>
      <c r="U54" s="101">
        <v>1306040</v>
      </c>
      <c r="W54" s="133">
        <v>42542</v>
      </c>
      <c r="X54" s="10">
        <v>148.94999999999999</v>
      </c>
      <c r="Y54" s="10">
        <v>150.09</v>
      </c>
      <c r="Z54" s="10">
        <v>148.38999999999999</v>
      </c>
      <c r="AA54" s="10">
        <v>148.91</v>
      </c>
      <c r="AB54" s="95">
        <v>1257900</v>
      </c>
      <c r="AC54" s="10">
        <v>148.91</v>
      </c>
      <c r="AD54" s="2"/>
      <c r="AE54" s="138"/>
    </row>
    <row r="55" spans="15:31" x14ac:dyDescent="0.25">
      <c r="O55" s="83">
        <v>1.01</v>
      </c>
      <c r="P55" s="83">
        <f t="shared" si="0"/>
        <v>152.51</v>
      </c>
      <c r="Q55" s="2"/>
      <c r="T55" s="100" t="s">
        <v>108</v>
      </c>
      <c r="U55" s="100" t="s">
        <v>475</v>
      </c>
      <c r="W55" s="133">
        <v>42541</v>
      </c>
      <c r="X55" s="10">
        <v>147.72</v>
      </c>
      <c r="Y55" s="10">
        <v>149.19999999999999</v>
      </c>
      <c r="Z55" s="10">
        <v>147.55000000000001</v>
      </c>
      <c r="AA55" s="10">
        <v>148.37</v>
      </c>
      <c r="AB55" s="95">
        <v>1264400</v>
      </c>
      <c r="AC55" s="10">
        <v>148.37</v>
      </c>
      <c r="AD55" s="2"/>
      <c r="AE55" s="138"/>
    </row>
    <row r="56" spans="15:31" x14ac:dyDescent="0.25">
      <c r="O56" s="83">
        <v>1</v>
      </c>
      <c r="P56" s="83">
        <f t="shared" si="0"/>
        <v>151</v>
      </c>
      <c r="Q56" s="2"/>
      <c r="T56" s="100" t="s">
        <v>111</v>
      </c>
      <c r="U56" s="100">
        <v>30.24</v>
      </c>
      <c r="W56" s="133">
        <v>42538</v>
      </c>
      <c r="X56" s="10">
        <v>147.11000000000001</v>
      </c>
      <c r="Y56" s="10">
        <v>147.38</v>
      </c>
      <c r="Z56" s="10">
        <v>145.83000000000001</v>
      </c>
      <c r="AA56" s="10">
        <v>146.24</v>
      </c>
      <c r="AB56" s="95">
        <v>1418500</v>
      </c>
      <c r="AC56" s="10">
        <v>146.24</v>
      </c>
      <c r="AD56" s="2"/>
      <c r="AE56" s="138"/>
    </row>
    <row r="57" spans="15:31" x14ac:dyDescent="0.25">
      <c r="O57" s="83">
        <v>0.99</v>
      </c>
      <c r="P57" s="83">
        <f t="shared" si="0"/>
        <v>149.49</v>
      </c>
      <c r="Q57" s="2"/>
      <c r="T57" s="100" t="s">
        <v>112</v>
      </c>
      <c r="U57" s="100">
        <v>5</v>
      </c>
      <c r="W57" s="133">
        <v>42537</v>
      </c>
      <c r="X57" s="10">
        <v>146.63999999999999</v>
      </c>
      <c r="Y57" s="10">
        <v>147.4</v>
      </c>
      <c r="Z57" s="10">
        <v>145.22999999999999</v>
      </c>
      <c r="AA57" s="10">
        <v>147.22999999999999</v>
      </c>
      <c r="AB57" s="95">
        <v>1335100</v>
      </c>
      <c r="AC57" s="10">
        <v>147.22999999999999</v>
      </c>
      <c r="AD57" s="2"/>
      <c r="AE57" s="138"/>
    </row>
    <row r="58" spans="15:31" x14ac:dyDescent="0.25">
      <c r="O58" s="83">
        <v>0.98</v>
      </c>
      <c r="P58" s="83">
        <f t="shared" si="0"/>
        <v>147.97999999999999</v>
      </c>
      <c r="Q58" s="2"/>
      <c r="T58" s="100" t="s">
        <v>109</v>
      </c>
      <c r="U58" s="100" t="s">
        <v>580</v>
      </c>
      <c r="W58" s="133">
        <v>42536</v>
      </c>
      <c r="X58" s="10">
        <v>148.38999999999999</v>
      </c>
      <c r="Y58" s="10">
        <v>148.66</v>
      </c>
      <c r="Z58" s="10">
        <v>147.26</v>
      </c>
      <c r="AA58" s="10">
        <v>147.41</v>
      </c>
      <c r="AB58" s="95">
        <v>1131800</v>
      </c>
      <c r="AC58" s="10">
        <v>147.41</v>
      </c>
      <c r="AD58" s="2"/>
      <c r="AE58" s="138"/>
    </row>
    <row r="59" spans="15:31" x14ac:dyDescent="0.25">
      <c r="O59" s="83">
        <v>0.97</v>
      </c>
      <c r="P59" s="83">
        <f t="shared" si="0"/>
        <v>146.47</v>
      </c>
      <c r="W59" s="133">
        <v>42535</v>
      </c>
      <c r="X59" s="10">
        <v>149.74</v>
      </c>
      <c r="Y59" s="10">
        <v>149.82</v>
      </c>
      <c r="Z59" s="10">
        <v>147.12</v>
      </c>
      <c r="AA59" s="10">
        <v>147.97999999999999</v>
      </c>
      <c r="AB59" s="95">
        <v>1755900</v>
      </c>
      <c r="AC59" s="10">
        <v>147.97999999999999</v>
      </c>
      <c r="AD59" s="2"/>
      <c r="AE59" s="138"/>
    </row>
    <row r="60" spans="15:31" x14ac:dyDescent="0.25">
      <c r="O60" s="83">
        <v>0.96</v>
      </c>
      <c r="P60" s="83">
        <f t="shared" si="0"/>
        <v>144.96</v>
      </c>
      <c r="W60" s="133">
        <v>42534</v>
      </c>
      <c r="X60" s="10">
        <v>151.5</v>
      </c>
      <c r="Y60" s="10">
        <v>152.34</v>
      </c>
      <c r="Z60" s="10">
        <v>150.44</v>
      </c>
      <c r="AA60" s="10">
        <v>150.52000000000001</v>
      </c>
      <c r="AB60" s="95">
        <v>956800</v>
      </c>
      <c r="AC60" s="10">
        <v>150.52000000000001</v>
      </c>
      <c r="AD60" s="2"/>
      <c r="AE60" s="138"/>
    </row>
    <row r="61" spans="15:31" x14ac:dyDescent="0.25">
      <c r="O61" s="83">
        <v>0.95</v>
      </c>
      <c r="P61" s="83">
        <f t="shared" si="0"/>
        <v>143.44999999999999</v>
      </c>
      <c r="W61" s="133">
        <v>42534</v>
      </c>
      <c r="X61" s="10" t="s">
        <v>185</v>
      </c>
      <c r="Y61" s="10"/>
      <c r="Z61" s="10"/>
      <c r="AA61" s="10"/>
      <c r="AB61" s="95"/>
      <c r="AC61" s="10"/>
      <c r="AD61" s="2"/>
      <c r="AE61" s="138"/>
    </row>
    <row r="62" spans="15:31" x14ac:dyDescent="0.25">
      <c r="O62" s="83">
        <v>0.94</v>
      </c>
      <c r="P62" s="83">
        <f t="shared" si="0"/>
        <v>141.94</v>
      </c>
      <c r="W62" s="133">
        <v>42531</v>
      </c>
      <c r="X62" s="10">
        <v>153.04</v>
      </c>
      <c r="Y62" s="10">
        <v>153.28</v>
      </c>
      <c r="Z62" s="10">
        <v>151.41999999999999</v>
      </c>
      <c r="AA62" s="10">
        <v>151.80000000000001</v>
      </c>
      <c r="AB62" s="95">
        <v>1303100</v>
      </c>
      <c r="AC62" s="10">
        <v>151.65</v>
      </c>
      <c r="AD62" s="2"/>
      <c r="AE62" s="138"/>
    </row>
    <row r="63" spans="15:31" x14ac:dyDescent="0.25">
      <c r="O63" s="83">
        <v>0.93</v>
      </c>
      <c r="P63" s="83">
        <f t="shared" si="0"/>
        <v>140.43</v>
      </c>
      <c r="W63" s="133">
        <v>42530</v>
      </c>
      <c r="X63" s="10">
        <v>153.6</v>
      </c>
      <c r="Y63" s="10">
        <v>154.81</v>
      </c>
      <c r="Z63" s="10">
        <v>153.01</v>
      </c>
      <c r="AA63" s="10">
        <v>154.15</v>
      </c>
      <c r="AB63" s="95">
        <v>1002600</v>
      </c>
      <c r="AC63" s="10">
        <v>154</v>
      </c>
      <c r="AD63" s="2"/>
      <c r="AE63" s="138"/>
    </row>
    <row r="64" spans="15:31" x14ac:dyDescent="0.25">
      <c r="O64" s="83">
        <v>0.92</v>
      </c>
      <c r="P64" s="83">
        <f t="shared" si="0"/>
        <v>138.92000000000002</v>
      </c>
      <c r="W64" s="133">
        <v>42529</v>
      </c>
      <c r="X64" s="10">
        <v>152.96</v>
      </c>
      <c r="Y64" s="10">
        <v>154.30000000000001</v>
      </c>
      <c r="Z64" s="10">
        <v>151.99</v>
      </c>
      <c r="AA64" s="10">
        <v>154.13999999999999</v>
      </c>
      <c r="AB64" s="95">
        <v>1395000</v>
      </c>
      <c r="AC64" s="10">
        <v>153.99</v>
      </c>
      <c r="AD64" s="2"/>
      <c r="AE64" s="138"/>
    </row>
    <row r="65" spans="15:31" x14ac:dyDescent="0.25">
      <c r="O65" s="83">
        <v>0.91</v>
      </c>
      <c r="P65" s="83">
        <f t="shared" si="0"/>
        <v>137.41</v>
      </c>
      <c r="W65" s="133">
        <v>42528</v>
      </c>
      <c r="X65" s="10">
        <v>153.19999999999999</v>
      </c>
      <c r="Y65" s="10">
        <v>153.61000000000001</v>
      </c>
      <c r="Z65" s="10">
        <v>152.53</v>
      </c>
      <c r="AA65" s="10">
        <v>152.69</v>
      </c>
      <c r="AB65" s="95">
        <v>1415600</v>
      </c>
      <c r="AC65" s="10">
        <v>152.54</v>
      </c>
      <c r="AD65" s="2"/>
      <c r="AE65" s="138"/>
    </row>
    <row r="66" spans="15:31" x14ac:dyDescent="0.25">
      <c r="O66" s="83">
        <v>0.9</v>
      </c>
      <c r="P66" s="83">
        <f t="shared" si="0"/>
        <v>135.9</v>
      </c>
      <c r="W66" s="133">
        <v>42527</v>
      </c>
      <c r="X66" s="10">
        <v>152.80000000000001</v>
      </c>
      <c r="Y66" s="10">
        <v>153.9</v>
      </c>
      <c r="Z66" s="10">
        <v>152.03</v>
      </c>
      <c r="AA66" s="10">
        <v>153.19</v>
      </c>
      <c r="AB66" s="95">
        <v>1015000</v>
      </c>
      <c r="AC66" s="10">
        <v>153.04</v>
      </c>
      <c r="AD66" s="2"/>
      <c r="AE66" s="138"/>
    </row>
    <row r="67" spans="15:31" x14ac:dyDescent="0.25">
      <c r="W67" s="133">
        <v>42524</v>
      </c>
      <c r="X67" s="10">
        <v>152.71</v>
      </c>
      <c r="Y67" s="10">
        <v>153.28</v>
      </c>
      <c r="Z67" s="10">
        <v>151.29</v>
      </c>
      <c r="AA67" s="10">
        <v>152.87</v>
      </c>
      <c r="AB67" s="95">
        <v>831700</v>
      </c>
      <c r="AC67" s="10">
        <v>152.72</v>
      </c>
      <c r="AD67" s="2"/>
      <c r="AE67" s="138"/>
    </row>
    <row r="68" spans="15:31" x14ac:dyDescent="0.25">
      <c r="W68" s="133">
        <v>42523</v>
      </c>
      <c r="X68" s="10">
        <v>152.58000000000001</v>
      </c>
      <c r="Y68" s="10">
        <v>153.69999999999999</v>
      </c>
      <c r="Z68" s="10">
        <v>152.31</v>
      </c>
      <c r="AA68" s="10">
        <v>153.55000000000001</v>
      </c>
      <c r="AB68" s="95">
        <v>809600</v>
      </c>
      <c r="AC68" s="10">
        <v>153.4</v>
      </c>
      <c r="AD68" s="2"/>
      <c r="AE68" s="138"/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82" priority="11">
      <formula>F25&gt;0</formula>
    </cfRule>
    <cfRule type="expression" dxfId="81" priority="12">
      <formula>F25&lt;0</formula>
    </cfRule>
  </conditionalFormatting>
  <conditionalFormatting sqref="H25:H32">
    <cfRule type="expression" dxfId="80" priority="9">
      <formula>H25&gt;0</formula>
    </cfRule>
    <cfRule type="expression" dxfId="79" priority="10">
      <formula>H25&lt;0</formula>
    </cfRule>
  </conditionalFormatting>
  <conditionalFormatting sqref="F21:F24">
    <cfRule type="expression" dxfId="78" priority="7">
      <formula>F21&gt;0</formula>
    </cfRule>
    <cfRule type="expression" dxfId="77" priority="8">
      <formula>F21&lt;0</formula>
    </cfRule>
  </conditionalFormatting>
  <conditionalFormatting sqref="H21:H24">
    <cfRule type="expression" dxfId="76" priority="5">
      <formula>H21&gt;0</formula>
    </cfRule>
    <cfRule type="expression" dxfId="75" priority="6">
      <formula>H21&lt;0</formula>
    </cfRule>
  </conditionalFormatting>
  <conditionalFormatting sqref="Q8">
    <cfRule type="expression" dxfId="74" priority="1">
      <formula>Q8&gt;0</formula>
    </cfRule>
    <cfRule type="expression" dxfId="73" priority="2">
      <formula>Q8&lt;0</formula>
    </cfRule>
  </conditionalFormatting>
  <conditionalFormatting sqref="Q7">
    <cfRule type="expression" dxfId="72" priority="3">
      <formula>Q7&gt;0</formula>
    </cfRule>
    <cfRule type="expression" dxfId="71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42615</v>
      </c>
      <c r="X2" s="10">
        <v>34.08</v>
      </c>
      <c r="Y2" s="10">
        <v>34.14</v>
      </c>
      <c r="Z2" s="10">
        <v>33.799999999999997</v>
      </c>
      <c r="AA2" s="10">
        <v>33.950000000000003</v>
      </c>
      <c r="AB2" s="95">
        <v>266800</v>
      </c>
      <c r="AC2" s="10">
        <v>33.950000000000003</v>
      </c>
      <c r="AD2" s="2">
        <f>Y2-Z2</f>
        <v>0.34000000000000341</v>
      </c>
      <c r="AE2" s="138">
        <f>AC2/AC3-1</f>
        <v>7.4183976261128493E-3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33.51</v>
      </c>
      <c r="W3" s="133">
        <v>42614</v>
      </c>
      <c r="X3" s="10">
        <v>33.92</v>
      </c>
      <c r="Y3" s="10">
        <v>33.99</v>
      </c>
      <c r="Z3" s="10">
        <v>33.270000000000003</v>
      </c>
      <c r="AA3" s="10">
        <v>33.700000000000003</v>
      </c>
      <c r="AB3" s="95">
        <v>559700</v>
      </c>
      <c r="AC3" s="10">
        <v>33.700000000000003</v>
      </c>
      <c r="AD3" s="2">
        <f t="shared" ref="AD3:AD66" si="0">Y3-Z3</f>
        <v>0.71999999999999886</v>
      </c>
      <c r="AE3" s="138">
        <f t="shared" ref="AE3:AE66" si="1">AC3/AC4-1</f>
        <v>-5.0191910245053206E-3</v>
      </c>
      <c r="AI3" t="s">
        <v>175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33.51</v>
      </c>
      <c r="W4" s="133">
        <v>42613</v>
      </c>
      <c r="X4" s="10">
        <v>34.25</v>
      </c>
      <c r="Y4" s="10">
        <v>34.47</v>
      </c>
      <c r="Z4" s="10">
        <v>33.619999999999997</v>
      </c>
      <c r="AA4" s="10">
        <v>33.869999999999997</v>
      </c>
      <c r="AB4" s="95">
        <v>547900</v>
      </c>
      <c r="AC4" s="10">
        <v>33.869999999999997</v>
      </c>
      <c r="AD4" s="2">
        <f t="shared" si="0"/>
        <v>0.85000000000000142</v>
      </c>
      <c r="AE4" s="138">
        <f t="shared" si="1"/>
        <v>-1.4834205933682565E-2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42612</v>
      </c>
      <c r="X5" s="10">
        <v>34.270000000000003</v>
      </c>
      <c r="Y5" s="10">
        <v>34.57</v>
      </c>
      <c r="Z5" s="10">
        <v>34.25</v>
      </c>
      <c r="AA5" s="10">
        <v>34.380000000000003</v>
      </c>
      <c r="AB5" s="95">
        <v>327100</v>
      </c>
      <c r="AC5" s="10">
        <v>34.380000000000003</v>
      </c>
      <c r="AD5" s="2">
        <f t="shared" si="0"/>
        <v>0.32000000000000028</v>
      </c>
      <c r="AE5" s="138">
        <f t="shared" si="1"/>
        <v>0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42611</v>
      </c>
      <c r="X6" s="10">
        <v>34.21</v>
      </c>
      <c r="Y6" s="10">
        <v>34.5</v>
      </c>
      <c r="Z6" s="10">
        <v>34.200000000000003</v>
      </c>
      <c r="AA6" s="10">
        <v>34.380000000000003</v>
      </c>
      <c r="AB6" s="95">
        <v>350800</v>
      </c>
      <c r="AC6" s="10">
        <v>34.380000000000003</v>
      </c>
      <c r="AD6" s="2">
        <f t="shared" si="0"/>
        <v>0.29999999999999716</v>
      </c>
      <c r="AE6" s="138">
        <f t="shared" si="1"/>
        <v>6.7349926793558446E-3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187</v>
      </c>
      <c r="Q7" s="2">
        <f>Q10+Q8</f>
        <v>529.88000000000284</v>
      </c>
      <c r="R7">
        <v>0</v>
      </c>
      <c r="W7" s="133">
        <v>42608</v>
      </c>
      <c r="X7" s="10">
        <v>34.32</v>
      </c>
      <c r="Y7" s="10">
        <v>34.619999999999997</v>
      </c>
      <c r="Z7" s="10">
        <v>34.01</v>
      </c>
      <c r="AA7" s="10">
        <v>34.15</v>
      </c>
      <c r="AB7" s="95">
        <v>337500</v>
      </c>
      <c r="AC7" s="10">
        <v>34.15</v>
      </c>
      <c r="AD7" s="2">
        <f t="shared" si="0"/>
        <v>0.60999999999999943</v>
      </c>
      <c r="AE7" s="138">
        <f t="shared" si="1"/>
        <v>-1.4619883040937198E-3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42607</v>
      </c>
      <c r="X8" s="10">
        <v>33.82</v>
      </c>
      <c r="Y8" s="10">
        <v>34.380000000000003</v>
      </c>
      <c r="Z8" s="10">
        <v>33.81</v>
      </c>
      <c r="AA8" s="10">
        <v>34.200000000000003</v>
      </c>
      <c r="AB8" s="95">
        <v>455400</v>
      </c>
      <c r="AC8" s="10">
        <v>34.200000000000003</v>
      </c>
      <c r="AD8" s="2">
        <f t="shared" si="0"/>
        <v>0.57000000000000028</v>
      </c>
      <c r="AE8" s="138">
        <f t="shared" si="1"/>
        <v>3.815673613149384E-3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33">
        <v>42606</v>
      </c>
      <c r="X9" s="10">
        <v>34.17</v>
      </c>
      <c r="Y9" s="10">
        <v>34.409999999999997</v>
      </c>
      <c r="Z9" s="10">
        <v>34.01</v>
      </c>
      <c r="AA9" s="10">
        <v>34.07</v>
      </c>
      <c r="AB9" s="95">
        <v>472900</v>
      </c>
      <c r="AC9" s="10">
        <v>34.07</v>
      </c>
      <c r="AD9" s="2">
        <f t="shared" si="0"/>
        <v>0.39999999999999858</v>
      </c>
      <c r="AE9" s="138">
        <f t="shared" si="1"/>
        <v>-6.7055393586005207E-3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223</v>
      </c>
      <c r="P10" s="34"/>
      <c r="Q10" s="2">
        <f>M36</f>
        <v>529.88000000000284</v>
      </c>
      <c r="W10" s="133">
        <v>42605</v>
      </c>
      <c r="X10" s="10">
        <v>33.82</v>
      </c>
      <c r="Y10" s="10">
        <v>34.380000000000003</v>
      </c>
      <c r="Z10" s="10">
        <v>33.82</v>
      </c>
      <c r="AA10" s="10">
        <v>34.299999999999997</v>
      </c>
      <c r="AB10" s="95">
        <v>491200</v>
      </c>
      <c r="AC10" s="10">
        <v>34.299999999999997</v>
      </c>
      <c r="AD10" s="2">
        <f t="shared" si="0"/>
        <v>0.56000000000000227</v>
      </c>
      <c r="AE10" s="138">
        <f t="shared" si="1"/>
        <v>1.9619500594530326E-2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3.09E-2</v>
      </c>
      <c r="W11" s="133">
        <v>42604</v>
      </c>
      <c r="X11" s="10">
        <v>33.24</v>
      </c>
      <c r="Y11" s="10">
        <v>33.659999999999997</v>
      </c>
      <c r="Z11" s="10">
        <v>33.229999999999997</v>
      </c>
      <c r="AA11" s="10">
        <v>33.64</v>
      </c>
      <c r="AB11" s="95">
        <v>266900</v>
      </c>
      <c r="AC11" s="10">
        <v>33.64</v>
      </c>
      <c r="AD11" s="2">
        <f t="shared" si="0"/>
        <v>0.42999999999999972</v>
      </c>
      <c r="AE11" s="138">
        <f t="shared" si="1"/>
        <v>-2.3724792408066353E-3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42601</v>
      </c>
      <c r="X12" s="10">
        <v>33.36</v>
      </c>
      <c r="Y12" s="10">
        <v>33.81</v>
      </c>
      <c r="Z12" s="10">
        <v>33.159999999999997</v>
      </c>
      <c r="AA12" s="10">
        <v>33.72</v>
      </c>
      <c r="AB12" s="95">
        <v>281600</v>
      </c>
      <c r="AC12" s="10">
        <v>33.72</v>
      </c>
      <c r="AD12" s="2">
        <f t="shared" si="0"/>
        <v>0.65000000000000568</v>
      </c>
      <c r="AE12" s="138">
        <f t="shared" si="1"/>
        <v>3.5714285714285587E-3</v>
      </c>
    </row>
    <row r="13" spans="1:43" x14ac:dyDescent="0.25">
      <c r="W13" s="133">
        <v>42600</v>
      </c>
      <c r="X13" s="10">
        <v>33.590000000000003</v>
      </c>
      <c r="Y13" s="10">
        <v>33.72</v>
      </c>
      <c r="Z13" s="10">
        <v>33.5</v>
      </c>
      <c r="AA13" s="10">
        <v>33.6</v>
      </c>
      <c r="AB13" s="95">
        <v>328700</v>
      </c>
      <c r="AC13" s="10">
        <v>33.6</v>
      </c>
      <c r="AD13" s="2">
        <f t="shared" si="0"/>
        <v>0.21999999999999886</v>
      </c>
      <c r="AE13" s="138">
        <f t="shared" si="1"/>
        <v>-8.9206066012492702E-4</v>
      </c>
    </row>
    <row r="14" spans="1:43" x14ac:dyDescent="0.25">
      <c r="W14" s="133">
        <v>42599</v>
      </c>
      <c r="X14" s="10">
        <v>33.5</v>
      </c>
      <c r="Y14" s="10">
        <v>33.67</v>
      </c>
      <c r="Z14" s="10">
        <v>33.33</v>
      </c>
      <c r="AA14" s="10">
        <v>33.630000000000003</v>
      </c>
      <c r="AB14" s="95">
        <v>324900</v>
      </c>
      <c r="AC14" s="10">
        <v>33.630000000000003</v>
      </c>
      <c r="AD14" s="2">
        <f t="shared" si="0"/>
        <v>0.34000000000000341</v>
      </c>
      <c r="AE14" s="138">
        <f t="shared" si="1"/>
        <v>2.6833631484795006E-3</v>
      </c>
    </row>
    <row r="15" spans="1:43" x14ac:dyDescent="0.25">
      <c r="W15" s="133">
        <v>42598</v>
      </c>
      <c r="X15" s="10">
        <v>33.700000000000003</v>
      </c>
      <c r="Y15" s="10">
        <v>33.770000000000003</v>
      </c>
      <c r="Z15" s="10">
        <v>33.42</v>
      </c>
      <c r="AA15" s="10">
        <v>33.54</v>
      </c>
      <c r="AB15" s="95">
        <v>251900</v>
      </c>
      <c r="AC15" s="10">
        <v>33.54</v>
      </c>
      <c r="AD15" s="2">
        <f t="shared" si="0"/>
        <v>0.35000000000000142</v>
      </c>
      <c r="AE15" s="138">
        <f t="shared" si="1"/>
        <v>-5.3380782918149849E-3</v>
      </c>
    </row>
    <row r="16" spans="1:43" x14ac:dyDescent="0.25">
      <c r="W16" s="133">
        <v>42597</v>
      </c>
      <c r="X16" s="10">
        <v>33.659999999999997</v>
      </c>
      <c r="Y16" s="10">
        <v>33.840000000000003</v>
      </c>
      <c r="Z16" s="10">
        <v>33.53</v>
      </c>
      <c r="AA16" s="10">
        <v>33.72</v>
      </c>
      <c r="AB16" s="95">
        <v>416800</v>
      </c>
      <c r="AC16" s="10">
        <v>33.72</v>
      </c>
      <c r="AD16" s="2">
        <f t="shared" si="0"/>
        <v>0.31000000000000227</v>
      </c>
      <c r="AE16" s="138">
        <f t="shared" si="1"/>
        <v>5.966587112171684E-3</v>
      </c>
    </row>
    <row r="17" spans="1:31" x14ac:dyDescent="0.25">
      <c r="W17" s="133">
        <v>42594</v>
      </c>
      <c r="X17" s="10">
        <v>33.74</v>
      </c>
      <c r="Y17" s="10">
        <v>33.89</v>
      </c>
      <c r="Z17" s="10">
        <v>33.43</v>
      </c>
      <c r="AA17" s="10">
        <v>33.520000000000003</v>
      </c>
      <c r="AB17" s="95">
        <v>300900</v>
      </c>
      <c r="AC17" s="10">
        <v>33.520000000000003</v>
      </c>
      <c r="AD17" s="2">
        <f t="shared" si="0"/>
        <v>0.46000000000000085</v>
      </c>
      <c r="AE17" s="138">
        <f t="shared" si="1"/>
        <v>-1.0625737898465104E-2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42593</v>
      </c>
      <c r="X18" s="10">
        <v>33.659999999999997</v>
      </c>
      <c r="Y18" s="10">
        <v>34.06</v>
      </c>
      <c r="Z18" s="10">
        <v>33.659999999999997</v>
      </c>
      <c r="AA18" s="10">
        <v>33.880000000000003</v>
      </c>
      <c r="AB18" s="95">
        <v>398400</v>
      </c>
      <c r="AC18" s="10">
        <v>33.880000000000003</v>
      </c>
      <c r="AD18" s="2">
        <f t="shared" si="0"/>
        <v>0.40000000000000568</v>
      </c>
      <c r="AE18" s="138" t="e">
        <f t="shared" si="1"/>
        <v>#DIV/0!</v>
      </c>
    </row>
    <row r="19" spans="1:31" x14ac:dyDescent="0.25">
      <c r="W19" s="133">
        <v>42593</v>
      </c>
      <c r="X19" s="10" t="s">
        <v>142</v>
      </c>
      <c r="Y19" s="10"/>
      <c r="Z19" s="10"/>
      <c r="AA19" s="10"/>
      <c r="AB19" s="95"/>
      <c r="AC19" s="10"/>
      <c r="AD19" s="2">
        <f t="shared" si="0"/>
        <v>0</v>
      </c>
      <c r="AE19" s="138">
        <f t="shared" si="1"/>
        <v>-1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4" t="s">
        <v>161</v>
      </c>
      <c r="W20" s="133">
        <v>42592</v>
      </c>
      <c r="X20" s="10">
        <v>34.01</v>
      </c>
      <c r="Y20" s="10">
        <v>34.07</v>
      </c>
      <c r="Z20" s="10">
        <v>33.67</v>
      </c>
      <c r="AA20" s="10">
        <v>33.729999999999997</v>
      </c>
      <c r="AB20" s="95">
        <v>319300</v>
      </c>
      <c r="AC20" s="10">
        <v>33.47</v>
      </c>
      <c r="AD20" s="2">
        <f t="shared" si="0"/>
        <v>0.39999999999999858</v>
      </c>
      <c r="AE20" s="138">
        <f t="shared" si="1"/>
        <v>-4.4616299821534922E-3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42591</v>
      </c>
      <c r="X21" s="10">
        <v>34.049999999999997</v>
      </c>
      <c r="Y21" s="10">
        <v>34.21</v>
      </c>
      <c r="Z21" s="10">
        <v>33.79</v>
      </c>
      <c r="AA21" s="10">
        <v>33.880000000000003</v>
      </c>
      <c r="AB21" s="95">
        <v>346800</v>
      </c>
      <c r="AC21" s="10">
        <v>33.619999999999997</v>
      </c>
      <c r="AD21" s="2">
        <f t="shared" si="0"/>
        <v>0.42000000000000171</v>
      </c>
      <c r="AE21" s="138">
        <f t="shared" si="1"/>
        <v>-8.2595870206489952E-3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42590</v>
      </c>
      <c r="X22" s="10">
        <v>34.130000000000003</v>
      </c>
      <c r="Y22" s="10">
        <v>34.369999999999997</v>
      </c>
      <c r="Z22" s="10">
        <v>34.03</v>
      </c>
      <c r="AA22" s="10">
        <v>34.159999999999997</v>
      </c>
      <c r="AB22" s="95">
        <v>517700</v>
      </c>
      <c r="AC22" s="10">
        <v>33.9</v>
      </c>
      <c r="AD22" s="2">
        <f t="shared" si="0"/>
        <v>0.33999999999999631</v>
      </c>
      <c r="AE22" s="138">
        <f t="shared" si="1"/>
        <v>4.4444444444444731E-3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42587</v>
      </c>
      <c r="X23" s="10">
        <v>33.57</v>
      </c>
      <c r="Y23" s="10">
        <v>34.119999999999997</v>
      </c>
      <c r="Z23" s="10">
        <v>33.520000000000003</v>
      </c>
      <c r="AA23" s="10">
        <v>34.01</v>
      </c>
      <c r="AB23" s="95">
        <v>482500</v>
      </c>
      <c r="AC23" s="10">
        <v>33.75</v>
      </c>
      <c r="AD23" s="2">
        <f t="shared" si="0"/>
        <v>0.59999999999999432</v>
      </c>
      <c r="AE23" s="138">
        <f t="shared" si="1"/>
        <v>1.9637462235649439E-2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42586</v>
      </c>
      <c r="X24" s="10">
        <v>33.35</v>
      </c>
      <c r="Y24" s="10">
        <v>33.69</v>
      </c>
      <c r="Z24" s="10">
        <v>33.33</v>
      </c>
      <c r="AA24" s="10">
        <v>33.36</v>
      </c>
      <c r="AB24" s="95">
        <v>665800</v>
      </c>
      <c r="AC24" s="10">
        <v>33.1</v>
      </c>
      <c r="AD24" s="2">
        <f t="shared" si="0"/>
        <v>0.35999999999999943</v>
      </c>
      <c r="AE24" s="138">
        <f t="shared" si="1"/>
        <v>-1.8094089264172331E-3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42585</v>
      </c>
      <c r="X25" s="10">
        <v>33.28</v>
      </c>
      <c r="Y25" s="10">
        <v>33.590000000000003</v>
      </c>
      <c r="Z25" s="10">
        <v>33.14</v>
      </c>
      <c r="AA25" s="10">
        <v>33.42</v>
      </c>
      <c r="AB25" s="95">
        <v>838600</v>
      </c>
      <c r="AC25" s="10">
        <v>33.159999999999997</v>
      </c>
      <c r="AD25" s="2">
        <f t="shared" si="0"/>
        <v>0.45000000000000284</v>
      </c>
      <c r="AE25" s="138">
        <f t="shared" si="1"/>
        <v>2.4183796856105388E-3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42584</v>
      </c>
      <c r="X26" s="10">
        <v>33.57</v>
      </c>
      <c r="Y26" s="10">
        <v>33.770000000000003</v>
      </c>
      <c r="Z26" s="10">
        <v>33.159999999999997</v>
      </c>
      <c r="AA26" s="10">
        <v>33.340000000000003</v>
      </c>
      <c r="AB26" s="95">
        <v>876700</v>
      </c>
      <c r="AC26" s="10">
        <v>33.08</v>
      </c>
      <c r="AD26" s="2">
        <f t="shared" si="0"/>
        <v>0.61000000000000654</v>
      </c>
      <c r="AE26" s="138">
        <f t="shared" si="1"/>
        <v>-8.0959520239880511E-3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42583</v>
      </c>
      <c r="X27" s="10">
        <v>33.36</v>
      </c>
      <c r="Y27" s="10">
        <v>33.81</v>
      </c>
      <c r="Z27" s="10">
        <v>33.159999999999997</v>
      </c>
      <c r="AA27" s="10">
        <v>33.61</v>
      </c>
      <c r="AB27" s="95">
        <v>1048400</v>
      </c>
      <c r="AC27" s="10">
        <v>33.35</v>
      </c>
      <c r="AD27" s="2">
        <f t="shared" si="0"/>
        <v>0.65000000000000568</v>
      </c>
      <c r="AE27" s="138">
        <f t="shared" si="1"/>
        <v>4.8207291352817538E-3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42580</v>
      </c>
      <c r="X28" s="10">
        <v>33.28</v>
      </c>
      <c r="Y28" s="10">
        <v>33.619999999999997</v>
      </c>
      <c r="Z28" s="10">
        <v>32.729999999999997</v>
      </c>
      <c r="AA28" s="10">
        <v>33.450000000000003</v>
      </c>
      <c r="AB28" s="95">
        <v>928400</v>
      </c>
      <c r="AC28" s="10">
        <v>33.19</v>
      </c>
      <c r="AD28" s="2">
        <f t="shared" si="0"/>
        <v>0.89000000000000057</v>
      </c>
      <c r="AE28" s="138">
        <f t="shared" si="1"/>
        <v>3.0220610456328512E-3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42579</v>
      </c>
      <c r="X29" s="10">
        <v>31.54</v>
      </c>
      <c r="Y29" s="10">
        <v>33.590000000000003</v>
      </c>
      <c r="Z29" s="10">
        <v>31.54</v>
      </c>
      <c r="AA29" s="10">
        <v>33.35</v>
      </c>
      <c r="AB29" s="95">
        <v>1388000</v>
      </c>
      <c r="AC29" s="10">
        <v>33.090000000000003</v>
      </c>
      <c r="AD29" s="2">
        <f t="shared" si="0"/>
        <v>2.0500000000000043</v>
      </c>
      <c r="AE29" s="138">
        <f t="shared" si="1"/>
        <v>2.8917910447761486E-2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42578</v>
      </c>
      <c r="X30" s="10">
        <v>32.08</v>
      </c>
      <c r="Y30" s="10">
        <v>32.85</v>
      </c>
      <c r="Z30" s="10">
        <v>32.020000000000003</v>
      </c>
      <c r="AA30" s="10">
        <v>32.409999999999997</v>
      </c>
      <c r="AB30" s="95">
        <v>1261000</v>
      </c>
      <c r="AC30" s="10">
        <v>32.159999999999997</v>
      </c>
      <c r="AD30" s="2">
        <f t="shared" si="0"/>
        <v>0.82999999999999829</v>
      </c>
      <c r="AE30" s="138">
        <f t="shared" si="1"/>
        <v>1.3232514177693666E-2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42577</v>
      </c>
      <c r="X31" s="10">
        <v>31.2</v>
      </c>
      <c r="Y31" s="10">
        <v>32.03</v>
      </c>
      <c r="Z31" s="10">
        <v>31.04</v>
      </c>
      <c r="AA31" s="10">
        <v>31.99</v>
      </c>
      <c r="AB31" s="95">
        <v>530400</v>
      </c>
      <c r="AC31" s="10">
        <v>31.74</v>
      </c>
      <c r="AD31" s="2">
        <f t="shared" si="0"/>
        <v>0.99000000000000199</v>
      </c>
      <c r="AE31" s="138">
        <f t="shared" si="1"/>
        <v>2.7516995791518228E-2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42576</v>
      </c>
      <c r="X32" s="10">
        <v>31.04</v>
      </c>
      <c r="Y32" s="10">
        <v>31.19</v>
      </c>
      <c r="Z32" s="10">
        <v>30.84</v>
      </c>
      <c r="AA32" s="10">
        <v>31.13</v>
      </c>
      <c r="AB32" s="95">
        <v>477100</v>
      </c>
      <c r="AC32" s="10">
        <v>30.89</v>
      </c>
      <c r="AD32" s="2">
        <f t="shared" si="0"/>
        <v>0.35000000000000142</v>
      </c>
      <c r="AE32" s="138">
        <f t="shared" si="1"/>
        <v>2.271252433484694E-3</v>
      </c>
    </row>
    <row r="33" spans="1:31" x14ac:dyDescent="0.25">
      <c r="W33" s="133">
        <v>42573</v>
      </c>
      <c r="X33" s="10">
        <v>30.51</v>
      </c>
      <c r="Y33" s="10">
        <v>31.16</v>
      </c>
      <c r="Z33" s="10">
        <v>30.47</v>
      </c>
      <c r="AA33" s="10">
        <v>31.06</v>
      </c>
      <c r="AB33" s="95">
        <v>561600</v>
      </c>
      <c r="AC33" s="10">
        <v>30.82</v>
      </c>
      <c r="AD33" s="2">
        <f t="shared" si="0"/>
        <v>0.69000000000000128</v>
      </c>
      <c r="AE33" s="138">
        <f t="shared" si="1"/>
        <v>5.8746736292427659E-3</v>
      </c>
    </row>
    <row r="34" spans="1:31" x14ac:dyDescent="0.25">
      <c r="W34" s="133">
        <v>42572</v>
      </c>
      <c r="X34" s="10">
        <v>31.38</v>
      </c>
      <c r="Y34" s="10">
        <v>31.4</v>
      </c>
      <c r="Z34" s="10">
        <v>30.61</v>
      </c>
      <c r="AA34" s="10">
        <v>30.88</v>
      </c>
      <c r="AB34" s="95">
        <v>991600</v>
      </c>
      <c r="AC34" s="10">
        <v>30.64</v>
      </c>
      <c r="AD34" s="2">
        <f t="shared" si="0"/>
        <v>0.78999999999999915</v>
      </c>
      <c r="AE34" s="138">
        <f t="shared" si="1"/>
        <v>-2.2959183673469385E-2</v>
      </c>
    </row>
    <row r="35" spans="1:31" x14ac:dyDescent="0.25">
      <c r="W35" s="133">
        <v>42571</v>
      </c>
      <c r="X35" s="10">
        <v>31.45</v>
      </c>
      <c r="Y35" s="10">
        <v>31.84</v>
      </c>
      <c r="Z35" s="10">
        <v>31.38</v>
      </c>
      <c r="AA35" s="10">
        <v>31.6</v>
      </c>
      <c r="AB35" s="95">
        <v>443800</v>
      </c>
      <c r="AC35" s="10">
        <v>31.36</v>
      </c>
      <c r="AD35" s="2">
        <f t="shared" si="0"/>
        <v>0.46000000000000085</v>
      </c>
      <c r="AE35" s="138">
        <f t="shared" si="1"/>
        <v>2.2371364653244186E-3</v>
      </c>
    </row>
    <row r="36" spans="1:31" x14ac:dyDescent="0.25">
      <c r="L36" t="s">
        <v>223</v>
      </c>
      <c r="M36" s="2">
        <f>M47+K47-F47</f>
        <v>529.88000000000284</v>
      </c>
      <c r="W36" s="133">
        <v>42570</v>
      </c>
      <c r="X36" s="10">
        <v>31.46</v>
      </c>
      <c r="Y36" s="10">
        <v>31.7</v>
      </c>
      <c r="Z36" s="10">
        <v>31.42</v>
      </c>
      <c r="AA36" s="10">
        <v>31.53</v>
      </c>
      <c r="AB36" s="95">
        <v>439400</v>
      </c>
      <c r="AC36" s="10">
        <v>31.29</v>
      </c>
      <c r="AD36" s="2">
        <f t="shared" si="0"/>
        <v>0.27999999999999758</v>
      </c>
      <c r="AE36" s="138">
        <f t="shared" si="1"/>
        <v>-5.4036872218691245E-3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0" t="s">
        <v>5</v>
      </c>
      <c r="E37" s="392" t="s">
        <v>94</v>
      </c>
      <c r="F37" s="390" t="s">
        <v>60</v>
      </c>
      <c r="G37" s="390" t="s">
        <v>3</v>
      </c>
      <c r="H37" s="390" t="s">
        <v>6</v>
      </c>
      <c r="I37" s="390" t="s">
        <v>7</v>
      </c>
      <c r="J37" s="390" t="s">
        <v>95</v>
      </c>
      <c r="K37" s="390" t="s">
        <v>61</v>
      </c>
      <c r="L37" s="390" t="s">
        <v>77</v>
      </c>
      <c r="M37" s="390" t="s">
        <v>38</v>
      </c>
      <c r="W37" s="133">
        <v>42569</v>
      </c>
      <c r="X37" s="10">
        <v>31.36</v>
      </c>
      <c r="Y37" s="10">
        <v>31.81</v>
      </c>
      <c r="Z37" s="10">
        <v>31.36</v>
      </c>
      <c r="AA37" s="10">
        <v>31.7</v>
      </c>
      <c r="AB37" s="95">
        <v>330000</v>
      </c>
      <c r="AC37" s="10">
        <v>31.46</v>
      </c>
      <c r="AD37" s="2">
        <f t="shared" si="0"/>
        <v>0.44999999999999929</v>
      </c>
      <c r="AE37" s="138">
        <f t="shared" si="1"/>
        <v>-9.526833915527444E-4</v>
      </c>
    </row>
    <row r="38" spans="1:31" x14ac:dyDescent="0.25">
      <c r="A38" s="393" t="s">
        <v>39</v>
      </c>
      <c r="B38" s="383">
        <v>42179</v>
      </c>
      <c r="C38" s="384">
        <v>10</v>
      </c>
      <c r="D38" s="385">
        <v>37.799999999999997</v>
      </c>
      <c r="E38" s="385">
        <v>0</v>
      </c>
      <c r="F38" s="385">
        <f t="shared" ref="F38:F45" si="4">C38*D38</f>
        <v>378</v>
      </c>
      <c r="G38" s="383">
        <v>42310</v>
      </c>
      <c r="H38" s="388">
        <v>170</v>
      </c>
      <c r="I38" s="385">
        <v>30.28</v>
      </c>
      <c r="J38" s="385">
        <v>7.04</v>
      </c>
      <c r="K38" s="384">
        <f>H38*I38-J38</f>
        <v>5140.5600000000004</v>
      </c>
      <c r="L38" s="383">
        <v>42250</v>
      </c>
      <c r="M38" s="385">
        <v>20.8</v>
      </c>
      <c r="W38" s="133">
        <v>42566</v>
      </c>
      <c r="X38" s="10">
        <v>31.56</v>
      </c>
      <c r="Y38" s="10">
        <v>31.78</v>
      </c>
      <c r="Z38" s="10">
        <v>31.35</v>
      </c>
      <c r="AA38" s="10">
        <v>31.73</v>
      </c>
      <c r="AB38" s="95">
        <v>658000</v>
      </c>
      <c r="AC38" s="10">
        <v>31.49</v>
      </c>
      <c r="AD38" s="2">
        <f t="shared" si="0"/>
        <v>0.42999999999999972</v>
      </c>
      <c r="AE38" s="138">
        <f t="shared" si="1"/>
        <v>6.7135549872121558E-3</v>
      </c>
    </row>
    <row r="39" spans="1:31" x14ac:dyDescent="0.25">
      <c r="A39" s="394" t="s">
        <v>71</v>
      </c>
      <c r="B39" s="383">
        <v>42194</v>
      </c>
      <c r="C39" s="384">
        <v>10</v>
      </c>
      <c r="D39" s="385">
        <v>35.5</v>
      </c>
      <c r="E39" s="385">
        <v>0</v>
      </c>
      <c r="F39" s="385">
        <f t="shared" si="4"/>
        <v>355</v>
      </c>
      <c r="G39" s="383">
        <v>42314</v>
      </c>
      <c r="H39" s="388">
        <v>80</v>
      </c>
      <c r="I39" s="385">
        <v>32.5</v>
      </c>
      <c r="J39" s="385">
        <v>0.05</v>
      </c>
      <c r="K39" s="384">
        <f>H39*I39-J39</f>
        <v>2599.9499999999998</v>
      </c>
      <c r="L39" s="383">
        <v>42345</v>
      </c>
      <c r="M39" s="385">
        <v>23.4</v>
      </c>
      <c r="W39" s="133">
        <v>42565</v>
      </c>
      <c r="X39" s="10">
        <v>31.86</v>
      </c>
      <c r="Y39" s="10">
        <v>32.03</v>
      </c>
      <c r="Z39" s="10">
        <v>31.5</v>
      </c>
      <c r="AA39" s="10">
        <v>31.52</v>
      </c>
      <c r="AB39" s="95">
        <v>568400</v>
      </c>
      <c r="AC39" s="10">
        <v>31.28</v>
      </c>
      <c r="AD39" s="2">
        <f t="shared" si="0"/>
        <v>0.53000000000000114</v>
      </c>
      <c r="AE39" s="138">
        <f t="shared" si="1"/>
        <v>-3.1959092361766306E-4</v>
      </c>
    </row>
    <row r="40" spans="1:31" x14ac:dyDescent="0.25">
      <c r="A40" s="384"/>
      <c r="B40" s="383">
        <v>42230</v>
      </c>
      <c r="C40" s="384">
        <v>20</v>
      </c>
      <c r="D40" s="385">
        <v>32.9</v>
      </c>
      <c r="E40" s="385">
        <v>0</v>
      </c>
      <c r="F40" s="385">
        <f t="shared" si="4"/>
        <v>658</v>
      </c>
      <c r="G40" s="383">
        <v>42010</v>
      </c>
      <c r="H40" s="388">
        <v>40</v>
      </c>
      <c r="I40" s="384">
        <v>28.92</v>
      </c>
      <c r="J40" s="385">
        <v>0.02</v>
      </c>
      <c r="K40" s="384">
        <f>H40*I40-J40</f>
        <v>1156.7800000000002</v>
      </c>
      <c r="L40" s="384"/>
      <c r="M40" s="384"/>
      <c r="W40" s="133">
        <v>42564</v>
      </c>
      <c r="X40" s="10">
        <v>32.06</v>
      </c>
      <c r="Y40" s="10">
        <v>32.06</v>
      </c>
      <c r="Z40" s="10">
        <v>31.25</v>
      </c>
      <c r="AA40" s="10">
        <v>31.53</v>
      </c>
      <c r="AB40" s="95">
        <v>607500</v>
      </c>
      <c r="AC40" s="10">
        <v>31.29</v>
      </c>
      <c r="AD40" s="2">
        <f t="shared" si="0"/>
        <v>0.81000000000000227</v>
      </c>
      <c r="AE40" s="138">
        <f t="shared" si="1"/>
        <v>-8.8691796008869561E-3</v>
      </c>
    </row>
    <row r="41" spans="1:31" x14ac:dyDescent="0.25">
      <c r="A41" s="384"/>
      <c r="B41" s="383">
        <v>42240</v>
      </c>
      <c r="C41" s="384">
        <v>40</v>
      </c>
      <c r="D41" s="385">
        <v>32.4</v>
      </c>
      <c r="E41" s="385">
        <v>0</v>
      </c>
      <c r="F41" s="385">
        <f t="shared" si="4"/>
        <v>1296</v>
      </c>
      <c r="G41" s="383">
        <v>42404</v>
      </c>
      <c r="H41" s="388">
        <v>90</v>
      </c>
      <c r="I41" s="385">
        <v>28.55</v>
      </c>
      <c r="J41" s="385">
        <v>0.05</v>
      </c>
      <c r="K41" s="384">
        <f>H41*I41-J41</f>
        <v>2569.4499999999998</v>
      </c>
      <c r="L41" s="384"/>
      <c r="M41" s="384"/>
      <c r="W41" s="133">
        <v>42563</v>
      </c>
      <c r="X41" s="10">
        <v>31.76</v>
      </c>
      <c r="Y41" s="10">
        <v>31.89</v>
      </c>
      <c r="Z41" s="10">
        <v>31.35</v>
      </c>
      <c r="AA41" s="10">
        <v>31.82</v>
      </c>
      <c r="AB41" s="95">
        <v>738300</v>
      </c>
      <c r="AC41" s="10">
        <v>31.57</v>
      </c>
      <c r="AD41" s="2">
        <f t="shared" si="0"/>
        <v>0.53999999999999915</v>
      </c>
      <c r="AE41" s="138">
        <f t="shared" si="1"/>
        <v>1.7074742268041287E-2</v>
      </c>
    </row>
    <row r="42" spans="1:31" ht="20.25" thickBot="1" x14ac:dyDescent="0.35">
      <c r="A42" s="384"/>
      <c r="B42" s="383">
        <v>42275</v>
      </c>
      <c r="C42" s="384">
        <v>90</v>
      </c>
      <c r="D42" s="385">
        <v>29.2</v>
      </c>
      <c r="E42" s="385">
        <v>0</v>
      </c>
      <c r="F42" s="385">
        <f t="shared" si="4"/>
        <v>2628</v>
      </c>
      <c r="G42" s="383">
        <v>42412</v>
      </c>
      <c r="H42" s="388">
        <v>90</v>
      </c>
      <c r="I42" s="385">
        <v>29.55</v>
      </c>
      <c r="J42" s="385">
        <v>0.06</v>
      </c>
      <c r="K42" s="384">
        <f>H42*I42-J42</f>
        <v>2659.44</v>
      </c>
      <c r="L42" s="384"/>
      <c r="M42" s="384"/>
      <c r="O42" s="421" t="s">
        <v>78</v>
      </c>
      <c r="P42" s="421"/>
      <c r="T42" s="91" t="s">
        <v>113</v>
      </c>
      <c r="W42" s="133">
        <v>42562</v>
      </c>
      <c r="X42" s="10">
        <v>31.5</v>
      </c>
      <c r="Y42" s="10">
        <v>31.62</v>
      </c>
      <c r="Z42" s="10">
        <v>31.02</v>
      </c>
      <c r="AA42" s="10">
        <v>31.28</v>
      </c>
      <c r="AB42" s="95">
        <v>700700</v>
      </c>
      <c r="AC42" s="10">
        <v>31.04</v>
      </c>
      <c r="AD42" s="2">
        <f t="shared" si="0"/>
        <v>0.60000000000000142</v>
      </c>
      <c r="AE42" s="138">
        <f t="shared" si="1"/>
        <v>1.9041365725541715E-2</v>
      </c>
    </row>
    <row r="43" spans="1:31" ht="15.75" thickTop="1" x14ac:dyDescent="0.25">
      <c r="A43" s="384"/>
      <c r="B43" s="383">
        <v>42298</v>
      </c>
      <c r="C43" s="384">
        <v>170</v>
      </c>
      <c r="D43" s="385">
        <v>28.4</v>
      </c>
      <c r="E43" s="385">
        <v>0</v>
      </c>
      <c r="F43" s="385">
        <f t="shared" si="4"/>
        <v>4828</v>
      </c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36.861000000000004</v>
      </c>
      <c r="T43" s="93" t="s">
        <v>98</v>
      </c>
      <c r="U43" s="439">
        <v>33.700000000000003</v>
      </c>
      <c r="W43" s="133">
        <v>42559</v>
      </c>
      <c r="X43" s="10">
        <v>30.5</v>
      </c>
      <c r="Y43" s="10">
        <v>30.99</v>
      </c>
      <c r="Z43" s="10">
        <v>30.44</v>
      </c>
      <c r="AA43" s="10">
        <v>30.7</v>
      </c>
      <c r="AB43" s="95">
        <v>1109000</v>
      </c>
      <c r="AC43" s="10">
        <v>30.46</v>
      </c>
      <c r="AD43" s="2">
        <f t="shared" si="0"/>
        <v>0.54999999999999716</v>
      </c>
      <c r="AE43" s="138">
        <f t="shared" si="1"/>
        <v>2.317769566677863E-2</v>
      </c>
    </row>
    <row r="44" spans="1:31" x14ac:dyDescent="0.25">
      <c r="A44" s="384"/>
      <c r="B44" s="383">
        <v>42360</v>
      </c>
      <c r="C44" s="384">
        <v>40</v>
      </c>
      <c r="D44" s="385">
        <v>27.25</v>
      </c>
      <c r="E44" s="385">
        <v>0</v>
      </c>
      <c r="F44" s="385">
        <f t="shared" si="4"/>
        <v>1090</v>
      </c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5">O44*$Q$4</f>
        <v>36.5259</v>
      </c>
      <c r="T44" s="93" t="s">
        <v>99</v>
      </c>
      <c r="U44" s="439">
        <v>34.08</v>
      </c>
      <c r="W44" s="133">
        <v>42558</v>
      </c>
      <c r="X44" s="10">
        <v>30.16</v>
      </c>
      <c r="Y44" s="10">
        <v>30.63</v>
      </c>
      <c r="Z44" s="10">
        <v>29.65</v>
      </c>
      <c r="AA44" s="10">
        <v>30</v>
      </c>
      <c r="AB44" s="95">
        <v>804900</v>
      </c>
      <c r="AC44" s="10">
        <v>29.77</v>
      </c>
      <c r="AD44" s="2">
        <f t="shared" si="0"/>
        <v>0.98000000000000043</v>
      </c>
      <c r="AE44" s="138">
        <f t="shared" si="1"/>
        <v>-3.6813922356090378E-3</v>
      </c>
    </row>
    <row r="45" spans="1:31" x14ac:dyDescent="0.25">
      <c r="A45" s="384"/>
      <c r="B45" s="383">
        <v>42376</v>
      </c>
      <c r="C45" s="384">
        <v>90</v>
      </c>
      <c r="D45" s="385">
        <v>26.75</v>
      </c>
      <c r="E45" s="385">
        <v>0</v>
      </c>
      <c r="F45" s="385">
        <f t="shared" si="4"/>
        <v>2407.5</v>
      </c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5"/>
        <v>36.190800000000003</v>
      </c>
      <c r="T45" s="93" t="s">
        <v>100</v>
      </c>
      <c r="U45" s="439" t="s">
        <v>476</v>
      </c>
      <c r="W45" s="133">
        <v>42557</v>
      </c>
      <c r="X45" s="10">
        <v>29.85</v>
      </c>
      <c r="Y45" s="10">
        <v>30.22</v>
      </c>
      <c r="Z45" s="10">
        <v>29.31</v>
      </c>
      <c r="AA45" s="10">
        <v>30.11</v>
      </c>
      <c r="AB45" s="95">
        <v>1179700</v>
      </c>
      <c r="AC45" s="10">
        <v>29.88</v>
      </c>
      <c r="AD45" s="2">
        <f t="shared" si="0"/>
        <v>0.91000000000000014</v>
      </c>
      <c r="AE45" s="138">
        <f t="shared" si="1"/>
        <v>3.0211480362538623E-3</v>
      </c>
    </row>
    <row r="46" spans="1:3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5"/>
        <v>35.855699999999999</v>
      </c>
      <c r="Q46" s="2"/>
      <c r="T46" s="93" t="s">
        <v>101</v>
      </c>
      <c r="U46" s="439" t="s">
        <v>477</v>
      </c>
      <c r="W46" s="133">
        <v>42556</v>
      </c>
      <c r="X46" s="10">
        <v>30.57</v>
      </c>
      <c r="Y46" s="10">
        <v>30.76</v>
      </c>
      <c r="Z46" s="10">
        <v>29.75</v>
      </c>
      <c r="AA46" s="10">
        <v>30.02</v>
      </c>
      <c r="AB46" s="95">
        <v>645800</v>
      </c>
      <c r="AC46" s="10">
        <v>29.79</v>
      </c>
      <c r="AD46" s="2">
        <f t="shared" si="0"/>
        <v>1.0100000000000016</v>
      </c>
      <c r="AE46" s="138">
        <f t="shared" si="1"/>
        <v>-2.8375733855185992E-2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35.520600000000002</v>
      </c>
      <c r="Q47" s="2"/>
      <c r="T47" s="93" t="s">
        <v>102</v>
      </c>
      <c r="U47" s="439">
        <v>34.33</v>
      </c>
      <c r="W47" s="133">
        <v>42552</v>
      </c>
      <c r="X47" s="10">
        <v>30.59</v>
      </c>
      <c r="Y47" s="10">
        <v>31.18</v>
      </c>
      <c r="Z47" s="10">
        <v>30.51</v>
      </c>
      <c r="AA47" s="10">
        <v>30.9</v>
      </c>
      <c r="AB47" s="95">
        <v>513500</v>
      </c>
      <c r="AC47" s="10">
        <v>30.66</v>
      </c>
      <c r="AD47" s="2">
        <f t="shared" si="0"/>
        <v>0.66999999999999815</v>
      </c>
      <c r="AE47" s="138">
        <f t="shared" si="1"/>
        <v>7.8895463510848529E-3</v>
      </c>
    </row>
    <row r="48" spans="1:31" x14ac:dyDescent="0.25">
      <c r="A48" s="384"/>
      <c r="B48" s="384"/>
      <c r="C48" s="384"/>
      <c r="D48" s="384"/>
      <c r="E48" s="385"/>
      <c r="F48" s="384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5"/>
        <v>35.185499999999998</v>
      </c>
      <c r="Q48" s="2"/>
      <c r="T48" s="93" t="s">
        <v>103</v>
      </c>
      <c r="U48" s="439">
        <v>1.4225300000000001</v>
      </c>
      <c r="W48" s="133">
        <v>42551</v>
      </c>
      <c r="X48" s="10">
        <v>29.94</v>
      </c>
      <c r="Y48" s="10">
        <v>30.68</v>
      </c>
      <c r="Z48" s="10">
        <v>29.76</v>
      </c>
      <c r="AA48" s="10">
        <v>30.66</v>
      </c>
      <c r="AB48" s="95">
        <v>803700</v>
      </c>
      <c r="AC48" s="10">
        <v>30.42</v>
      </c>
      <c r="AD48" s="2">
        <f t="shared" si="0"/>
        <v>0.91999999999999815</v>
      </c>
      <c r="AE48" s="138">
        <f t="shared" si="1"/>
        <v>3.1536113936927901E-2</v>
      </c>
    </row>
    <row r="49" spans="15:31" x14ac:dyDescent="0.25">
      <c r="O49" s="83">
        <v>1.04</v>
      </c>
      <c r="P49" s="83">
        <f t="shared" si="5"/>
        <v>34.8504</v>
      </c>
      <c r="Q49" s="2"/>
      <c r="T49" s="93" t="s">
        <v>123</v>
      </c>
      <c r="U49" s="439" t="s">
        <v>322</v>
      </c>
      <c r="W49" s="133">
        <v>42550</v>
      </c>
      <c r="X49" s="10">
        <v>30</v>
      </c>
      <c r="Y49" s="10">
        <v>30.19</v>
      </c>
      <c r="Z49" s="10">
        <v>29.5</v>
      </c>
      <c r="AA49" s="10">
        <v>29.72</v>
      </c>
      <c r="AB49" s="95">
        <v>910500</v>
      </c>
      <c r="AC49" s="10">
        <v>29.49</v>
      </c>
      <c r="AD49" s="2">
        <f t="shared" si="0"/>
        <v>0.69000000000000128</v>
      </c>
      <c r="AE49" s="138">
        <f t="shared" si="1"/>
        <v>4.7700170357749538E-3</v>
      </c>
    </row>
    <row r="50" spans="15:31" x14ac:dyDescent="0.25">
      <c r="O50" s="83">
        <v>1.03</v>
      </c>
      <c r="P50" s="83">
        <f t="shared" si="5"/>
        <v>34.515299999999996</v>
      </c>
      <c r="Q50" s="2"/>
      <c r="T50" s="93"/>
      <c r="U50" s="439"/>
      <c r="W50" s="133">
        <v>42549</v>
      </c>
      <c r="X50" s="10">
        <v>29.44</v>
      </c>
      <c r="Y50" s="10">
        <v>29.72</v>
      </c>
      <c r="Z50" s="10">
        <v>29.17</v>
      </c>
      <c r="AA50" s="10">
        <v>29.58</v>
      </c>
      <c r="AB50" s="95">
        <v>1352500</v>
      </c>
      <c r="AC50" s="10">
        <v>29.35</v>
      </c>
      <c r="AD50" s="2">
        <f t="shared" si="0"/>
        <v>0.54999999999999716</v>
      </c>
      <c r="AE50" s="138">
        <f t="shared" si="1"/>
        <v>2.0869565217391362E-2</v>
      </c>
    </row>
    <row r="51" spans="15:31" x14ac:dyDescent="0.25">
      <c r="O51" s="83">
        <v>1.02</v>
      </c>
      <c r="P51" s="83">
        <f t="shared" si="5"/>
        <v>34.180199999999999</v>
      </c>
      <c r="Q51" s="2"/>
      <c r="T51" s="93" t="s">
        <v>105</v>
      </c>
      <c r="U51" s="439" t="s">
        <v>478</v>
      </c>
      <c r="W51" s="133">
        <v>42548</v>
      </c>
      <c r="X51" s="10">
        <v>29.98</v>
      </c>
      <c r="Y51" s="10">
        <v>30</v>
      </c>
      <c r="Z51" s="10">
        <v>28.72</v>
      </c>
      <c r="AA51" s="10">
        <v>28.97</v>
      </c>
      <c r="AB51" s="95">
        <v>1003800</v>
      </c>
      <c r="AC51" s="10">
        <v>28.75</v>
      </c>
      <c r="AD51" s="2">
        <f t="shared" si="0"/>
        <v>1.2800000000000011</v>
      </c>
      <c r="AE51" s="138">
        <f t="shared" si="1"/>
        <v>-4.8328368090036489E-2</v>
      </c>
    </row>
    <row r="52" spans="15:31" x14ac:dyDescent="0.25">
      <c r="O52" s="83">
        <v>1.01</v>
      </c>
      <c r="P52" s="83">
        <f t="shared" si="5"/>
        <v>33.845099999999995</v>
      </c>
      <c r="Q52" s="2"/>
      <c r="T52" s="93" t="s">
        <v>106</v>
      </c>
      <c r="U52" s="439" t="s">
        <v>263</v>
      </c>
      <c r="W52" s="133">
        <v>42545</v>
      </c>
      <c r="X52" s="10">
        <v>31.91</v>
      </c>
      <c r="Y52" s="10">
        <v>32.01</v>
      </c>
      <c r="Z52" s="10">
        <v>30.42</v>
      </c>
      <c r="AA52" s="10">
        <v>30.44</v>
      </c>
      <c r="AB52" s="95">
        <v>1182600</v>
      </c>
      <c r="AC52" s="10">
        <v>30.21</v>
      </c>
      <c r="AD52" s="2">
        <f t="shared" si="0"/>
        <v>1.5899999999999963</v>
      </c>
      <c r="AE52" s="138">
        <f t="shared" si="1"/>
        <v>-9.0060240963855454E-2</v>
      </c>
    </row>
    <row r="53" spans="15:31" x14ac:dyDescent="0.25">
      <c r="O53" s="83">
        <v>1</v>
      </c>
      <c r="P53" s="83">
        <f t="shared" si="5"/>
        <v>33.51</v>
      </c>
      <c r="Q53" s="2"/>
      <c r="T53" s="93" t="s">
        <v>107</v>
      </c>
      <c r="U53" s="440">
        <v>266780</v>
      </c>
      <c r="W53" s="133">
        <v>42544</v>
      </c>
      <c r="X53" s="10">
        <v>33.17</v>
      </c>
      <c r="Y53" s="10">
        <v>33.47</v>
      </c>
      <c r="Z53" s="10">
        <v>33.17</v>
      </c>
      <c r="AA53" s="10">
        <v>33.46</v>
      </c>
      <c r="AB53" s="95">
        <v>462100</v>
      </c>
      <c r="AC53" s="10">
        <v>33.200000000000003</v>
      </c>
      <c r="AD53" s="2">
        <f t="shared" si="0"/>
        <v>0.29999999999999716</v>
      </c>
      <c r="AE53" s="138">
        <f t="shared" si="1"/>
        <v>2.5324274243360145E-2</v>
      </c>
    </row>
    <row r="54" spans="15:31" x14ac:dyDescent="0.25">
      <c r="O54" s="83">
        <v>0.99</v>
      </c>
      <c r="P54" s="83">
        <f t="shared" si="5"/>
        <v>33.174900000000001</v>
      </c>
      <c r="Q54" s="2"/>
      <c r="T54" s="93" t="s">
        <v>110</v>
      </c>
      <c r="U54" s="440">
        <v>623274</v>
      </c>
      <c r="W54" s="133">
        <v>42543</v>
      </c>
      <c r="X54" s="10">
        <v>32.85</v>
      </c>
      <c r="Y54" s="10">
        <v>32.9</v>
      </c>
      <c r="Z54" s="10">
        <v>32.49</v>
      </c>
      <c r="AA54" s="10">
        <v>32.630000000000003</v>
      </c>
      <c r="AB54" s="95">
        <v>484300</v>
      </c>
      <c r="AC54" s="10">
        <v>32.380000000000003</v>
      </c>
      <c r="AD54" s="2">
        <f t="shared" si="0"/>
        <v>0.40999999999999659</v>
      </c>
      <c r="AE54" s="138">
        <f t="shared" si="1"/>
        <v>-9.2564023449537292E-4</v>
      </c>
    </row>
    <row r="55" spans="15:31" x14ac:dyDescent="0.25">
      <c r="O55" s="83">
        <v>0.98</v>
      </c>
      <c r="P55" s="83">
        <f t="shared" si="5"/>
        <v>32.839799999999997</v>
      </c>
      <c r="Q55" s="2"/>
      <c r="T55" s="93" t="s">
        <v>108</v>
      </c>
      <c r="U55" s="439" t="s">
        <v>479</v>
      </c>
      <c r="W55" s="133">
        <v>42542</v>
      </c>
      <c r="X55" s="10">
        <v>33.340000000000003</v>
      </c>
      <c r="Y55" s="10">
        <v>33.42</v>
      </c>
      <c r="Z55" s="10">
        <v>32.53</v>
      </c>
      <c r="AA55" s="10">
        <v>32.659999999999997</v>
      </c>
      <c r="AB55" s="95">
        <v>747400</v>
      </c>
      <c r="AC55" s="10">
        <v>32.409999999999997</v>
      </c>
      <c r="AD55" s="2">
        <f t="shared" si="0"/>
        <v>0.89000000000000057</v>
      </c>
      <c r="AE55" s="138">
        <f t="shared" si="1"/>
        <v>-2.0845921450151184E-2</v>
      </c>
    </row>
    <row r="56" spans="15:31" x14ac:dyDescent="0.25">
      <c r="O56" s="83">
        <v>0.97</v>
      </c>
      <c r="P56" s="83">
        <f t="shared" si="5"/>
        <v>32.5047</v>
      </c>
      <c r="Q56" s="2"/>
      <c r="T56" s="93" t="s">
        <v>111</v>
      </c>
      <c r="U56" s="439">
        <v>20.39</v>
      </c>
      <c r="W56" s="133">
        <v>42541</v>
      </c>
      <c r="X56" s="10">
        <v>33.479999999999997</v>
      </c>
      <c r="Y56" s="10">
        <v>33.72</v>
      </c>
      <c r="Z56" s="10">
        <v>33.26</v>
      </c>
      <c r="AA56" s="10">
        <v>33.36</v>
      </c>
      <c r="AB56" s="95">
        <v>406600</v>
      </c>
      <c r="AC56" s="10">
        <v>33.1</v>
      </c>
      <c r="AD56" s="2">
        <f t="shared" si="0"/>
        <v>0.46000000000000085</v>
      </c>
      <c r="AE56" s="138">
        <f t="shared" si="1"/>
        <v>1.3161922252831415E-2</v>
      </c>
    </row>
    <row r="57" spans="15:31" x14ac:dyDescent="0.25">
      <c r="O57" s="83">
        <v>0.96</v>
      </c>
      <c r="P57" s="83">
        <f t="shared" si="5"/>
        <v>32.169599999999996</v>
      </c>
      <c r="Q57" s="2"/>
      <c r="T57" s="93" t="s">
        <v>112</v>
      </c>
      <c r="U57" s="439">
        <v>1.67</v>
      </c>
      <c r="W57" s="133">
        <v>42538</v>
      </c>
      <c r="X57" s="10">
        <v>32.6</v>
      </c>
      <c r="Y57" s="10">
        <v>33.07</v>
      </c>
      <c r="Z57" s="10">
        <v>32.409999999999997</v>
      </c>
      <c r="AA57" s="10">
        <v>32.92</v>
      </c>
      <c r="AB57" s="95">
        <v>893300</v>
      </c>
      <c r="AC57" s="10">
        <v>32.67</v>
      </c>
      <c r="AD57" s="2">
        <f t="shared" si="0"/>
        <v>0.66000000000000369</v>
      </c>
      <c r="AE57" s="138">
        <f t="shared" si="1"/>
        <v>1.3337468982630218E-2</v>
      </c>
    </row>
    <row r="58" spans="15:31" x14ac:dyDescent="0.25">
      <c r="O58" s="83">
        <v>0.95</v>
      </c>
      <c r="P58" s="83">
        <f t="shared" si="5"/>
        <v>31.834499999999995</v>
      </c>
      <c r="Q58" s="2"/>
      <c r="T58" s="93" t="s">
        <v>109</v>
      </c>
      <c r="U58" s="439" t="s">
        <v>581</v>
      </c>
      <c r="W58" s="133">
        <v>42537</v>
      </c>
      <c r="X58" s="10">
        <v>32.22</v>
      </c>
      <c r="Y58" s="10">
        <v>32.619999999999997</v>
      </c>
      <c r="Z58" s="10">
        <v>31.8</v>
      </c>
      <c r="AA58" s="10">
        <v>32.49</v>
      </c>
      <c r="AB58" s="95">
        <v>568600</v>
      </c>
      <c r="AC58" s="10">
        <v>32.24</v>
      </c>
      <c r="AD58" s="2">
        <f t="shared" si="0"/>
        <v>0.81999999999999673</v>
      </c>
      <c r="AE58" s="138">
        <f t="shared" si="1"/>
        <v>1.55327741534661E-3</v>
      </c>
    </row>
    <row r="59" spans="15:31" x14ac:dyDescent="0.25">
      <c r="O59" s="83">
        <v>0.94</v>
      </c>
      <c r="P59" s="83">
        <f t="shared" si="5"/>
        <v>31.499399999999998</v>
      </c>
      <c r="W59" s="133">
        <v>42536</v>
      </c>
      <c r="X59" s="10">
        <v>32.770000000000003</v>
      </c>
      <c r="Y59" s="10">
        <v>32.97</v>
      </c>
      <c r="Z59" s="10">
        <v>32.409999999999997</v>
      </c>
      <c r="AA59" s="10">
        <v>32.44</v>
      </c>
      <c r="AB59" s="95">
        <v>415100</v>
      </c>
      <c r="AC59" s="10">
        <v>32.19</v>
      </c>
      <c r="AD59" s="2">
        <f t="shared" si="0"/>
        <v>0.56000000000000227</v>
      </c>
      <c r="AE59" s="138">
        <f t="shared" si="1"/>
        <v>-2.4790827393865733E-3</v>
      </c>
    </row>
    <row r="60" spans="15:31" x14ac:dyDescent="0.25">
      <c r="O60" s="83">
        <v>0.93</v>
      </c>
      <c r="P60" s="83">
        <f t="shared" si="5"/>
        <v>31.164300000000001</v>
      </c>
      <c r="W60" s="133">
        <v>42535</v>
      </c>
      <c r="X60" s="10">
        <v>32.72</v>
      </c>
      <c r="Y60" s="10">
        <v>33.130000000000003</v>
      </c>
      <c r="Z60" s="10">
        <v>32.33</v>
      </c>
      <c r="AA60" s="10">
        <v>32.520000000000003</v>
      </c>
      <c r="AB60" s="95">
        <v>879400</v>
      </c>
      <c r="AC60" s="10">
        <v>32.270000000000003</v>
      </c>
      <c r="AD60" s="2">
        <f t="shared" si="0"/>
        <v>0.80000000000000426</v>
      </c>
      <c r="AE60" s="138">
        <f t="shared" si="1"/>
        <v>-1.1941212492345143E-2</v>
      </c>
    </row>
    <row r="61" spans="15:31" x14ac:dyDescent="0.25">
      <c r="O61" s="83">
        <v>0.92</v>
      </c>
      <c r="P61" s="83">
        <f t="shared" si="5"/>
        <v>30.8292</v>
      </c>
      <c r="W61" s="133">
        <v>42534</v>
      </c>
      <c r="X61" s="10">
        <v>33.369999999999997</v>
      </c>
      <c r="Y61" s="10">
        <v>33.5</v>
      </c>
      <c r="Z61" s="10">
        <v>32.89</v>
      </c>
      <c r="AA61" s="10">
        <v>32.909999999999997</v>
      </c>
      <c r="AB61" s="95">
        <v>448200</v>
      </c>
      <c r="AC61" s="10">
        <v>32.659999999999997</v>
      </c>
      <c r="AD61" s="2">
        <f t="shared" si="0"/>
        <v>0.60999999999999943</v>
      </c>
      <c r="AE61" s="138">
        <f t="shared" si="1"/>
        <v>-1.5672091621458772E-2</v>
      </c>
    </row>
    <row r="62" spans="15:31" x14ac:dyDescent="0.25">
      <c r="O62" s="83">
        <v>0.91</v>
      </c>
      <c r="P62" s="83">
        <f t="shared" si="5"/>
        <v>30.4941</v>
      </c>
      <c r="W62" s="133">
        <v>42531</v>
      </c>
      <c r="X62" s="10">
        <v>33.61</v>
      </c>
      <c r="Y62" s="10">
        <v>33.630000000000003</v>
      </c>
      <c r="Z62" s="10">
        <v>33.07</v>
      </c>
      <c r="AA62" s="10">
        <v>33.44</v>
      </c>
      <c r="AB62" s="95">
        <v>877900</v>
      </c>
      <c r="AC62" s="10">
        <v>33.18</v>
      </c>
      <c r="AD62" s="2">
        <f t="shared" si="0"/>
        <v>0.56000000000000227</v>
      </c>
      <c r="AE62" s="138">
        <f t="shared" si="1"/>
        <v>-1.9213715637008577E-2</v>
      </c>
    </row>
    <row r="63" spans="15:31" x14ac:dyDescent="0.25">
      <c r="O63" s="83">
        <v>0.9</v>
      </c>
      <c r="P63" s="83">
        <f t="shared" si="5"/>
        <v>30.158999999999999</v>
      </c>
      <c r="W63" s="133">
        <v>42530</v>
      </c>
      <c r="X63" s="10">
        <v>33.96</v>
      </c>
      <c r="Y63" s="10">
        <v>34.14</v>
      </c>
      <c r="Z63" s="10">
        <v>33.74</v>
      </c>
      <c r="AA63" s="10">
        <v>34.090000000000003</v>
      </c>
      <c r="AB63" s="95">
        <v>247800</v>
      </c>
      <c r="AC63" s="10">
        <v>33.83</v>
      </c>
      <c r="AD63" s="2">
        <f t="shared" si="0"/>
        <v>0.39999999999999858</v>
      </c>
      <c r="AE63" s="138">
        <f t="shared" si="1"/>
        <v>-8.2087364409264563E-3</v>
      </c>
    </row>
    <row r="64" spans="15:31" x14ac:dyDescent="0.25">
      <c r="W64" s="133">
        <v>42529</v>
      </c>
      <c r="X64" s="10">
        <v>34.5</v>
      </c>
      <c r="Y64" s="10">
        <v>34.57</v>
      </c>
      <c r="Z64" s="10">
        <v>34.25</v>
      </c>
      <c r="AA64" s="10">
        <v>34.380000000000003</v>
      </c>
      <c r="AB64" s="95">
        <v>740900</v>
      </c>
      <c r="AC64" s="10">
        <v>34.11</v>
      </c>
      <c r="AD64" s="2">
        <f t="shared" si="0"/>
        <v>0.32000000000000028</v>
      </c>
      <c r="AE64" s="138">
        <f t="shared" si="1"/>
        <v>2.9403116730373213E-3</v>
      </c>
    </row>
    <row r="65" spans="23:31" x14ac:dyDescent="0.25">
      <c r="W65" s="133">
        <v>42528</v>
      </c>
      <c r="X65" s="10">
        <v>33.950000000000003</v>
      </c>
      <c r="Y65" s="10">
        <v>34.369999999999997</v>
      </c>
      <c r="Z65" s="10">
        <v>33.869999999999997</v>
      </c>
      <c r="AA65" s="10">
        <v>34.270000000000003</v>
      </c>
      <c r="AB65" s="95">
        <v>376500</v>
      </c>
      <c r="AC65" s="10">
        <v>34.01</v>
      </c>
      <c r="AD65" s="2">
        <f t="shared" si="0"/>
        <v>0.5</v>
      </c>
      <c r="AE65" s="138">
        <f t="shared" si="1"/>
        <v>9.7980997624702582E-3</v>
      </c>
    </row>
    <row r="66" spans="23:31" x14ac:dyDescent="0.25">
      <c r="W66" s="133">
        <v>42527</v>
      </c>
      <c r="X66" s="10">
        <v>33.79</v>
      </c>
      <c r="Y66" s="10">
        <v>34.07</v>
      </c>
      <c r="Z66" s="10">
        <v>33.49</v>
      </c>
      <c r="AA66" s="10">
        <v>33.94</v>
      </c>
      <c r="AB66" s="95">
        <v>704000</v>
      </c>
      <c r="AC66" s="10">
        <v>33.68</v>
      </c>
      <c r="AD66" s="2">
        <f t="shared" si="0"/>
        <v>0.57999999999999829</v>
      </c>
      <c r="AE66" s="138">
        <f t="shared" si="1"/>
        <v>1.1411411411411443E-2</v>
      </c>
    </row>
    <row r="67" spans="23:31" x14ac:dyDescent="0.25">
      <c r="W67" s="133">
        <v>42524</v>
      </c>
      <c r="X67" s="10">
        <v>33.96</v>
      </c>
      <c r="Y67" s="10">
        <v>33.96</v>
      </c>
      <c r="Z67" s="10">
        <v>33.31</v>
      </c>
      <c r="AA67" s="10">
        <v>33.56</v>
      </c>
      <c r="AB67" s="95">
        <v>655300</v>
      </c>
      <c r="AC67" s="10">
        <v>33.299999999999997</v>
      </c>
      <c r="AD67" s="2">
        <f>Y67-Z67</f>
        <v>0.64999999999999858</v>
      </c>
      <c r="AE67" s="138">
        <f>AC67/AC68-1</f>
        <v>-7.1556350626118537E-3</v>
      </c>
    </row>
    <row r="68" spans="23:31" x14ac:dyDescent="0.25">
      <c r="W68" s="133">
        <v>42523</v>
      </c>
      <c r="X68" s="10">
        <v>33.090000000000003</v>
      </c>
      <c r="Y68" s="10">
        <v>33.840000000000003</v>
      </c>
      <c r="Z68" s="10">
        <v>33.090000000000003</v>
      </c>
      <c r="AA68" s="10">
        <v>33.799999999999997</v>
      </c>
      <c r="AB68" s="95">
        <v>635100</v>
      </c>
      <c r="AC68" s="10">
        <v>33.54</v>
      </c>
      <c r="AD68" s="2">
        <f>Y68-Z68</f>
        <v>0.75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70" priority="7">
      <formula>F21&gt;0</formula>
    </cfRule>
    <cfRule type="expression" dxfId="69" priority="8">
      <formula>F21&lt;0</formula>
    </cfRule>
  </conditionalFormatting>
  <conditionalFormatting sqref="H21:H32">
    <cfRule type="expression" dxfId="68" priority="5">
      <formula>H21&gt;0</formula>
    </cfRule>
    <cfRule type="expression" dxfId="67" priority="6">
      <formula>H21&lt;0</formula>
    </cfRule>
  </conditionalFormatting>
  <conditionalFormatting sqref="Q8">
    <cfRule type="expression" dxfId="66" priority="1">
      <formula>Q8&gt;0</formula>
    </cfRule>
    <cfRule type="expression" dxfId="65" priority="2">
      <formula>Q8&lt;0</formula>
    </cfRule>
  </conditionalFormatting>
  <conditionalFormatting sqref="Q7">
    <cfRule type="expression" dxfId="64" priority="3">
      <formula>Q7&gt;0</formula>
    </cfRule>
    <cfRule type="expression" dxfId="63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145</v>
      </c>
      <c r="W2" s="133">
        <v>42615</v>
      </c>
      <c r="X2" s="10">
        <v>107.19</v>
      </c>
      <c r="Y2" s="10">
        <v>107.72</v>
      </c>
      <c r="Z2" s="10">
        <v>106.48</v>
      </c>
      <c r="AA2" s="10">
        <v>106.93</v>
      </c>
      <c r="AB2" s="95">
        <v>3062200</v>
      </c>
      <c r="AC2" s="10">
        <v>106.93</v>
      </c>
      <c r="AD2" s="2">
        <f>Y2-Z2</f>
        <v>1.2399999999999949</v>
      </c>
      <c r="AE2" s="138">
        <f>AC2/AC3-1</f>
        <v>1.9677661169414939E-3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106.01</v>
      </c>
      <c r="W3" s="133">
        <v>42614</v>
      </c>
      <c r="X3" s="10">
        <v>106.74</v>
      </c>
      <c r="Y3" s="10">
        <v>106.97</v>
      </c>
      <c r="Z3" s="10">
        <v>105.7</v>
      </c>
      <c r="AA3" s="10">
        <v>106.72</v>
      </c>
      <c r="AB3" s="95">
        <v>3231500</v>
      </c>
      <c r="AC3" s="10">
        <v>106.72</v>
      </c>
      <c r="AD3" s="2">
        <f t="shared" ref="AD3:AD66" si="0">Y3-Z3</f>
        <v>1.269999999999996</v>
      </c>
      <c r="AE3" s="138">
        <f t="shared" ref="AE3:AE66" si="1">AC3/AC4-1</f>
        <v>2.7247956403269047E-3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106.01</v>
      </c>
      <c r="W4" s="133">
        <v>42613</v>
      </c>
      <c r="X4" s="10">
        <v>106.99</v>
      </c>
      <c r="Y4" s="10">
        <v>107.19</v>
      </c>
      <c r="Z4" s="10">
        <v>106.35</v>
      </c>
      <c r="AA4" s="10">
        <v>106.43</v>
      </c>
      <c r="AB4" s="95">
        <v>3349200</v>
      </c>
      <c r="AC4" s="10">
        <v>106.43</v>
      </c>
      <c r="AD4" s="2">
        <f t="shared" si="0"/>
        <v>0.84000000000000341</v>
      </c>
      <c r="AE4" s="138">
        <f t="shared" si="1"/>
        <v>-8.5700978108987913E-3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42612</v>
      </c>
      <c r="X5" s="10">
        <v>107.87</v>
      </c>
      <c r="Y5" s="10">
        <v>108.12</v>
      </c>
      <c r="Z5" s="10">
        <v>107.19</v>
      </c>
      <c r="AA5" s="10">
        <v>107.35</v>
      </c>
      <c r="AB5" s="95">
        <v>2390800</v>
      </c>
      <c r="AC5" s="10">
        <v>107.35</v>
      </c>
      <c r="AD5" s="2">
        <f t="shared" si="0"/>
        <v>0.93000000000000682</v>
      </c>
      <c r="AE5" s="138">
        <f t="shared" si="1"/>
        <v>-5.7423358340280561E-3</v>
      </c>
    </row>
    <row r="6" spans="1:31" x14ac:dyDescent="0.25">
      <c r="O6" s="11" t="s">
        <v>64</v>
      </c>
      <c r="Q6" s="2">
        <f>Q3*Q2</f>
        <v>0</v>
      </c>
      <c r="W6" s="133">
        <v>42611</v>
      </c>
      <c r="X6" s="10">
        <v>107.58</v>
      </c>
      <c r="Y6" s="10">
        <v>108.15</v>
      </c>
      <c r="Z6" s="10">
        <v>107.43</v>
      </c>
      <c r="AA6" s="10">
        <v>107.97</v>
      </c>
      <c r="AB6" s="95">
        <v>1793100</v>
      </c>
      <c r="AC6" s="10">
        <v>107.97</v>
      </c>
      <c r="AD6" s="2">
        <f t="shared" si="0"/>
        <v>0.71999999999999886</v>
      </c>
      <c r="AE6" s="138">
        <f t="shared" si="1"/>
        <v>6.1504053676264547E-3</v>
      </c>
    </row>
    <row r="7" spans="1:31" x14ac:dyDescent="0.25">
      <c r="O7" s="11" t="s">
        <v>187</v>
      </c>
      <c r="Q7" s="2">
        <f>Q10+Q8</f>
        <v>114.84999999999991</v>
      </c>
      <c r="R7">
        <v>0</v>
      </c>
      <c r="W7" s="133">
        <v>42608</v>
      </c>
      <c r="X7" s="10">
        <v>107.94</v>
      </c>
      <c r="Y7" s="10">
        <v>108.29</v>
      </c>
      <c r="Z7" s="10">
        <v>106.94</v>
      </c>
      <c r="AA7" s="10">
        <v>107.31</v>
      </c>
      <c r="AB7" s="95">
        <v>2511100</v>
      </c>
      <c r="AC7" s="10">
        <v>107.31</v>
      </c>
      <c r="AD7" s="2">
        <f t="shared" si="0"/>
        <v>1.3500000000000085</v>
      </c>
      <c r="AE7" s="138">
        <f t="shared" si="1"/>
        <v>-3.8061641292238546E-3</v>
      </c>
    </row>
    <row r="8" spans="1:31" x14ac:dyDescent="0.25">
      <c r="O8" s="11" t="s">
        <v>190</v>
      </c>
      <c r="P8" s="34"/>
      <c r="Q8" s="2">
        <f>K18+M18-F18+Q2*Q4</f>
        <v>0</v>
      </c>
      <c r="W8" s="133">
        <v>42607</v>
      </c>
      <c r="X8" s="10">
        <v>107.75</v>
      </c>
      <c r="Y8" s="10">
        <v>108.14</v>
      </c>
      <c r="Z8" s="10">
        <v>107.41</v>
      </c>
      <c r="AA8" s="10">
        <v>107.72</v>
      </c>
      <c r="AB8" s="95">
        <v>1793600</v>
      </c>
      <c r="AC8" s="10">
        <v>107.72</v>
      </c>
      <c r="AD8" s="2">
        <f t="shared" si="0"/>
        <v>0.73000000000000398</v>
      </c>
      <c r="AE8" s="138">
        <f t="shared" si="1"/>
        <v>-2.2230455724341347E-3</v>
      </c>
    </row>
    <row r="9" spans="1:31" x14ac:dyDescent="0.25">
      <c r="O9" s="11" t="s">
        <v>224</v>
      </c>
      <c r="Q9" s="138">
        <f>IF(Q2=0, 0, Q8/Q6)</f>
        <v>0</v>
      </c>
      <c r="W9" s="133">
        <v>42606</v>
      </c>
      <c r="X9" s="10">
        <v>108.02</v>
      </c>
      <c r="Y9" s="10">
        <v>108.32</v>
      </c>
      <c r="Z9" s="10">
        <v>107.6</v>
      </c>
      <c r="AA9" s="10">
        <v>107.96</v>
      </c>
      <c r="AB9" s="95">
        <v>2444700</v>
      </c>
      <c r="AC9" s="10">
        <v>107.96</v>
      </c>
      <c r="AD9" s="2">
        <f t="shared" si="0"/>
        <v>0.71999999999999886</v>
      </c>
      <c r="AE9" s="138">
        <f t="shared" si="1"/>
        <v>-3.7037037037046527E-4</v>
      </c>
    </row>
    <row r="10" spans="1:31" x14ac:dyDescent="0.25">
      <c r="O10" s="11" t="s">
        <v>223</v>
      </c>
      <c r="P10" s="34"/>
      <c r="Q10" s="2">
        <f>M27</f>
        <v>114.84999999999991</v>
      </c>
      <c r="W10" s="133">
        <v>42605</v>
      </c>
      <c r="X10" s="10">
        <v>109</v>
      </c>
      <c r="Y10" s="10">
        <v>109.35</v>
      </c>
      <c r="Z10" s="10">
        <v>108</v>
      </c>
      <c r="AA10" s="10">
        <v>108</v>
      </c>
      <c r="AB10" s="95">
        <v>3064100</v>
      </c>
      <c r="AC10" s="10">
        <v>108</v>
      </c>
      <c r="AD10" s="2">
        <f t="shared" si="0"/>
        <v>1.3499999999999943</v>
      </c>
      <c r="AE10" s="138">
        <f t="shared" si="1"/>
        <v>-4.6082949308755561E-3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2.47E-2</v>
      </c>
      <c r="W11" s="133">
        <v>42604</v>
      </c>
      <c r="X11" s="10">
        <v>108.52</v>
      </c>
      <c r="Y11" s="10">
        <v>108.99</v>
      </c>
      <c r="Z11" s="10">
        <v>108.14</v>
      </c>
      <c r="AA11" s="10">
        <v>108.5</v>
      </c>
      <c r="AB11" s="95">
        <v>2450500</v>
      </c>
      <c r="AC11" s="10">
        <v>108.5</v>
      </c>
      <c r="AD11" s="2">
        <f t="shared" si="0"/>
        <v>0.84999999999999432</v>
      </c>
      <c r="AE11" s="138">
        <f t="shared" si="1"/>
        <v>-5.8640278541323143E-3</v>
      </c>
    </row>
    <row r="12" spans="1:31" x14ac:dyDescent="0.25">
      <c r="W12" s="133">
        <v>42601</v>
      </c>
      <c r="X12" s="10">
        <v>109.01</v>
      </c>
      <c r="Y12" s="10">
        <v>109.42</v>
      </c>
      <c r="Z12" s="10">
        <v>108.9</v>
      </c>
      <c r="AA12" s="10">
        <v>109.14</v>
      </c>
      <c r="AB12" s="95">
        <v>2388800</v>
      </c>
      <c r="AC12" s="10">
        <v>109.14</v>
      </c>
      <c r="AD12" s="2">
        <f t="shared" si="0"/>
        <v>0.51999999999999602</v>
      </c>
      <c r="AE12" s="138">
        <f t="shared" si="1"/>
        <v>-1.7378578615201423E-3</v>
      </c>
    </row>
    <row r="13" spans="1:31" x14ac:dyDescent="0.25">
      <c r="W13" s="133">
        <v>42600</v>
      </c>
      <c r="X13" s="10">
        <v>109.05</v>
      </c>
      <c r="Y13" s="10">
        <v>109.42</v>
      </c>
      <c r="Z13" s="10">
        <v>108.85</v>
      </c>
      <c r="AA13" s="10">
        <v>109.33</v>
      </c>
      <c r="AB13" s="95">
        <v>1959800</v>
      </c>
      <c r="AC13" s="10">
        <v>109.33</v>
      </c>
      <c r="AD13" s="2">
        <f t="shared" si="0"/>
        <v>0.57000000000000739</v>
      </c>
      <c r="AE13" s="138">
        <f t="shared" si="1"/>
        <v>3.5799522673030104E-3</v>
      </c>
    </row>
    <row r="14" spans="1:31" x14ac:dyDescent="0.25">
      <c r="W14" s="133">
        <v>42599</v>
      </c>
      <c r="X14" s="10">
        <v>108.55</v>
      </c>
      <c r="Y14" s="10">
        <v>109.01</v>
      </c>
      <c r="Z14" s="10">
        <v>108.2</v>
      </c>
      <c r="AA14" s="10">
        <v>108.94</v>
      </c>
      <c r="AB14" s="95">
        <v>2208000</v>
      </c>
      <c r="AC14" s="10">
        <v>108.94</v>
      </c>
      <c r="AD14" s="2">
        <f t="shared" si="0"/>
        <v>0.81000000000000227</v>
      </c>
      <c r="AE14" s="138" t="e">
        <f t="shared" si="1"/>
        <v>#DIV/0!</v>
      </c>
    </row>
    <row r="15" spans="1:31" x14ac:dyDescent="0.25">
      <c r="W15" s="133">
        <v>42599</v>
      </c>
      <c r="X15" s="10" t="s">
        <v>228</v>
      </c>
      <c r="Y15" s="10"/>
      <c r="Z15" s="10"/>
      <c r="AA15" s="10"/>
      <c r="AB15" s="95"/>
      <c r="AC15" s="10"/>
      <c r="AD15" s="2">
        <f t="shared" si="0"/>
        <v>0</v>
      </c>
      <c r="AE15" s="138">
        <f t="shared" si="1"/>
        <v>-1</v>
      </c>
    </row>
    <row r="16" spans="1:31" x14ac:dyDescent="0.25">
      <c r="W16" s="133">
        <v>42598</v>
      </c>
      <c r="X16" s="10">
        <v>109.21</v>
      </c>
      <c r="Y16" s="10">
        <v>109.62</v>
      </c>
      <c r="Z16" s="10">
        <v>109</v>
      </c>
      <c r="AA16" s="10">
        <v>109.16</v>
      </c>
      <c r="AB16" s="95">
        <v>2413700</v>
      </c>
      <c r="AC16" s="10">
        <v>108.5</v>
      </c>
      <c r="AD16" s="2">
        <f t="shared" si="0"/>
        <v>0.62000000000000455</v>
      </c>
      <c r="AE16" s="138">
        <f t="shared" si="1"/>
        <v>-4.8610474181418617E-3</v>
      </c>
    </row>
    <row r="17" spans="1:31" x14ac:dyDescent="0.25">
      <c r="W17" s="133">
        <v>42597</v>
      </c>
      <c r="X17" s="10">
        <v>109.17</v>
      </c>
      <c r="Y17" s="10">
        <v>109.83</v>
      </c>
      <c r="Z17" s="10">
        <v>109.17</v>
      </c>
      <c r="AA17" s="10">
        <v>109.69</v>
      </c>
      <c r="AB17" s="95">
        <v>2044500</v>
      </c>
      <c r="AC17" s="10">
        <v>109.03</v>
      </c>
      <c r="AD17" s="2">
        <f t="shared" si="0"/>
        <v>0.65999999999999659</v>
      </c>
      <c r="AE17" s="138">
        <f t="shared" si="1"/>
        <v>7.5778578689584819E-3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42594</v>
      </c>
      <c r="X18" s="10">
        <v>109.02</v>
      </c>
      <c r="Y18" s="10">
        <v>109.18</v>
      </c>
      <c r="Z18" s="10">
        <v>108.55</v>
      </c>
      <c r="AA18" s="10">
        <v>108.87</v>
      </c>
      <c r="AB18" s="95">
        <v>1808400</v>
      </c>
      <c r="AC18" s="10">
        <v>108.21</v>
      </c>
      <c r="AD18" s="2">
        <f t="shared" si="0"/>
        <v>0.63000000000000966</v>
      </c>
      <c r="AE18" s="138">
        <f t="shared" si="1"/>
        <v>-2.8566162919277938E-3</v>
      </c>
    </row>
    <row r="19" spans="1:31" x14ac:dyDescent="0.25">
      <c r="W19" s="133">
        <v>42593</v>
      </c>
      <c r="X19" s="10">
        <v>108.5</v>
      </c>
      <c r="Y19" s="10">
        <v>109.29</v>
      </c>
      <c r="Z19" s="10">
        <v>108.46</v>
      </c>
      <c r="AA19" s="10">
        <v>109.18</v>
      </c>
      <c r="AB19" s="95">
        <v>2005200</v>
      </c>
      <c r="AC19" s="10">
        <v>108.52</v>
      </c>
      <c r="AD19" s="2">
        <f t="shared" si="0"/>
        <v>0.83000000000001251</v>
      </c>
      <c r="AE19" s="138">
        <f t="shared" si="1"/>
        <v>9.7701684190936167E-3</v>
      </c>
    </row>
    <row r="20" spans="1:31" x14ac:dyDescent="0.25">
      <c r="W20" s="133">
        <v>42592</v>
      </c>
      <c r="X20" s="10">
        <v>108.46</v>
      </c>
      <c r="Y20" s="10">
        <v>108.5</v>
      </c>
      <c r="Z20" s="10">
        <v>107.78</v>
      </c>
      <c r="AA20" s="10">
        <v>108.12</v>
      </c>
      <c r="AB20" s="95">
        <v>1658700</v>
      </c>
      <c r="AC20" s="10">
        <v>107.47</v>
      </c>
      <c r="AD20" s="2">
        <f t="shared" si="0"/>
        <v>0.71999999999999886</v>
      </c>
      <c r="AE20" s="138">
        <f t="shared" si="1"/>
        <v>-1.9502228826152601E-3</v>
      </c>
    </row>
    <row r="21" spans="1:31" x14ac:dyDescent="0.25">
      <c r="W21" s="133">
        <v>42591</v>
      </c>
      <c r="X21" s="10">
        <v>108.01</v>
      </c>
      <c r="Y21" s="10">
        <v>108.4</v>
      </c>
      <c r="Z21" s="10">
        <v>107.87</v>
      </c>
      <c r="AA21" s="10">
        <v>108.34</v>
      </c>
      <c r="AB21" s="95">
        <v>2213100</v>
      </c>
      <c r="AC21" s="10">
        <v>107.68</v>
      </c>
      <c r="AD21" s="2">
        <f t="shared" si="0"/>
        <v>0.53000000000000114</v>
      </c>
      <c r="AE21" s="138">
        <f t="shared" si="1"/>
        <v>5.0401344035841955E-3</v>
      </c>
    </row>
    <row r="22" spans="1:31" x14ac:dyDescent="0.25">
      <c r="W22" s="133">
        <v>42590</v>
      </c>
      <c r="X22" s="10">
        <v>107.74</v>
      </c>
      <c r="Y22" s="10">
        <v>108.34</v>
      </c>
      <c r="Z22" s="10">
        <v>107.49</v>
      </c>
      <c r="AA22" s="10">
        <v>107.79</v>
      </c>
      <c r="AB22" s="95">
        <v>3020900</v>
      </c>
      <c r="AC22" s="10">
        <v>107.14</v>
      </c>
      <c r="AD22" s="2">
        <f t="shared" si="0"/>
        <v>0.85000000000000853</v>
      </c>
      <c r="AE22" s="138">
        <f t="shared" si="1"/>
        <v>4.6689700252122712E-4</v>
      </c>
    </row>
    <row r="23" spans="1:31" x14ac:dyDescent="0.25">
      <c r="W23" s="133">
        <v>42587</v>
      </c>
      <c r="X23" s="10">
        <v>106.85</v>
      </c>
      <c r="Y23" s="10">
        <v>107.74</v>
      </c>
      <c r="Z23" s="10">
        <v>106.68</v>
      </c>
      <c r="AA23" s="10">
        <v>107.74</v>
      </c>
      <c r="AB23" s="95">
        <v>2676100</v>
      </c>
      <c r="AC23" s="10">
        <v>107.09</v>
      </c>
      <c r="AD23" s="2">
        <f t="shared" si="0"/>
        <v>1.0599999999999881</v>
      </c>
      <c r="AE23" s="138">
        <f t="shared" si="1"/>
        <v>1.295875898600074E-2</v>
      </c>
    </row>
    <row r="24" spans="1:31" x14ac:dyDescent="0.25">
      <c r="W24" s="133">
        <v>42586</v>
      </c>
      <c r="X24" s="10">
        <v>106.55</v>
      </c>
      <c r="Y24" s="10">
        <v>107.07</v>
      </c>
      <c r="Z24" s="10">
        <v>106.32</v>
      </c>
      <c r="AA24" s="10">
        <v>106.36</v>
      </c>
      <c r="AB24" s="95">
        <v>1862900</v>
      </c>
      <c r="AC24" s="10">
        <v>105.72</v>
      </c>
      <c r="AD24" s="2">
        <f t="shared" si="0"/>
        <v>0.75</v>
      </c>
      <c r="AE24" s="138">
        <f t="shared" si="1"/>
        <v>6.6256507335538117E-4</v>
      </c>
    </row>
    <row r="25" spans="1:31" x14ac:dyDescent="0.25">
      <c r="W25" s="133">
        <v>42585</v>
      </c>
      <c r="X25" s="10">
        <v>106.27</v>
      </c>
      <c r="Y25" s="10">
        <v>106.52</v>
      </c>
      <c r="Z25" s="10">
        <v>106.02</v>
      </c>
      <c r="AA25" s="10">
        <v>106.29</v>
      </c>
      <c r="AB25" s="95">
        <v>2985400</v>
      </c>
      <c r="AC25" s="10">
        <v>105.65</v>
      </c>
      <c r="AD25" s="2">
        <f t="shared" si="0"/>
        <v>0.5</v>
      </c>
      <c r="AE25" s="138">
        <f t="shared" si="1"/>
        <v>1.8934014957872058E-4</v>
      </c>
    </row>
    <row r="26" spans="1:31" x14ac:dyDescent="0.25">
      <c r="W26" s="133">
        <v>42584</v>
      </c>
      <c r="X26" s="10">
        <v>106.49</v>
      </c>
      <c r="Y26" s="10">
        <v>106.73</v>
      </c>
      <c r="Z26" s="10">
        <v>105.89</v>
      </c>
      <c r="AA26" s="10">
        <v>106.27</v>
      </c>
      <c r="AB26" s="95">
        <v>2384100</v>
      </c>
      <c r="AC26" s="10">
        <v>105.63</v>
      </c>
      <c r="AD26" s="2">
        <f t="shared" si="0"/>
        <v>0.84000000000000341</v>
      </c>
      <c r="AE26" s="138">
        <f t="shared" si="1"/>
        <v>-6.2094270392324402E-3</v>
      </c>
    </row>
    <row r="27" spans="1:31" x14ac:dyDescent="0.25">
      <c r="L27" t="s">
        <v>223</v>
      </c>
      <c r="M27" s="2">
        <f>M35+K35-F35</f>
        <v>114.84999999999991</v>
      </c>
      <c r="W27" s="133">
        <v>42583</v>
      </c>
      <c r="X27" s="10">
        <v>107.46</v>
      </c>
      <c r="Y27" s="10">
        <v>107.65</v>
      </c>
      <c r="Z27" s="10">
        <v>106.5</v>
      </c>
      <c r="AA27" s="10">
        <v>106.94</v>
      </c>
      <c r="AB27" s="95">
        <v>3061600</v>
      </c>
      <c r="AC27" s="10">
        <v>106.29</v>
      </c>
      <c r="AD27" s="2">
        <f t="shared" si="0"/>
        <v>1.1500000000000057</v>
      </c>
      <c r="AE27" s="138">
        <f t="shared" si="1"/>
        <v>-6.6355140186915573E-3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42580</v>
      </c>
      <c r="X28" s="10">
        <v>107.5</v>
      </c>
      <c r="Y28" s="10">
        <v>108.08</v>
      </c>
      <c r="Z28" s="10">
        <v>107.19</v>
      </c>
      <c r="AA28" s="10">
        <v>107.65</v>
      </c>
      <c r="AB28" s="95">
        <v>3232600</v>
      </c>
      <c r="AC28" s="10">
        <v>107</v>
      </c>
      <c r="AD28" s="2">
        <f t="shared" si="0"/>
        <v>0.89000000000000057</v>
      </c>
      <c r="AE28" s="138">
        <f t="shared" si="1"/>
        <v>6.5463387262698625E-4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42579</v>
      </c>
      <c r="X29" s="10">
        <v>107.69</v>
      </c>
      <c r="Y29" s="10">
        <v>107.99</v>
      </c>
      <c r="Z29" s="10">
        <v>107.1</v>
      </c>
      <c r="AA29" s="10">
        <v>107.58</v>
      </c>
      <c r="AB29" s="95">
        <v>2806700</v>
      </c>
      <c r="AC29" s="10">
        <v>106.93</v>
      </c>
      <c r="AD29" s="2">
        <f t="shared" si="0"/>
        <v>0.89000000000000057</v>
      </c>
      <c r="AE29" s="138">
        <f t="shared" si="1"/>
        <v>-1.0276532137518668E-3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42578</v>
      </c>
      <c r="X30" s="10">
        <v>108.06</v>
      </c>
      <c r="Y30" s="10">
        <v>108.49</v>
      </c>
      <c r="Z30" s="10">
        <v>107.48</v>
      </c>
      <c r="AA30" s="10">
        <v>107.69</v>
      </c>
      <c r="AB30" s="95">
        <v>3995400</v>
      </c>
      <c r="AC30" s="10">
        <v>107.04</v>
      </c>
      <c r="AD30" s="2">
        <f t="shared" si="0"/>
        <v>1.0099999999999909</v>
      </c>
      <c r="AE30" s="138">
        <f t="shared" si="1"/>
        <v>-1.8649757553150792E-3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42577</v>
      </c>
      <c r="X31" s="10">
        <v>107.04</v>
      </c>
      <c r="Y31" s="10">
        <v>107.96</v>
      </c>
      <c r="Z31" s="10">
        <v>106.5</v>
      </c>
      <c r="AA31" s="10">
        <v>107.89</v>
      </c>
      <c r="AB31" s="95">
        <v>4414400</v>
      </c>
      <c r="AC31" s="10">
        <v>107.24</v>
      </c>
      <c r="AD31" s="2">
        <f t="shared" si="0"/>
        <v>1.4599999999999937</v>
      </c>
      <c r="AE31" s="138">
        <f t="shared" si="1"/>
        <v>3.0955585464333746E-2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42576</v>
      </c>
      <c r="X32" s="10">
        <v>105.05</v>
      </c>
      <c r="Y32" s="10">
        <v>105.2</v>
      </c>
      <c r="Z32" s="10">
        <v>104.42</v>
      </c>
      <c r="AA32" s="10">
        <v>104.65</v>
      </c>
      <c r="AB32" s="95">
        <v>3461300</v>
      </c>
      <c r="AC32" s="10">
        <v>104.02</v>
      </c>
      <c r="AD32" s="2">
        <f t="shared" si="0"/>
        <v>0.78000000000000114</v>
      </c>
      <c r="AE32" s="138">
        <f t="shared" si="1"/>
        <v>-4.4980380897693406E-3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42573</v>
      </c>
      <c r="X33" s="10">
        <v>104.77</v>
      </c>
      <c r="Y33" s="10">
        <v>105.2</v>
      </c>
      <c r="Z33" s="10">
        <v>104.5</v>
      </c>
      <c r="AA33" s="10">
        <v>105.13</v>
      </c>
      <c r="AB33" s="95">
        <v>3513900</v>
      </c>
      <c r="AC33" s="10">
        <v>104.49</v>
      </c>
      <c r="AD33" s="2">
        <f t="shared" si="0"/>
        <v>0.70000000000000284</v>
      </c>
      <c r="AE33" s="138">
        <f t="shared" si="1"/>
        <v>-6.8434559452523747E-3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42572</v>
      </c>
      <c r="X34" s="10">
        <v>106.37</v>
      </c>
      <c r="Y34" s="10">
        <v>106.74</v>
      </c>
      <c r="Z34" s="10">
        <v>105.61</v>
      </c>
      <c r="AA34" s="10">
        <v>105.85</v>
      </c>
      <c r="AB34" s="95">
        <v>3808900</v>
      </c>
      <c r="AC34" s="10">
        <v>105.21</v>
      </c>
      <c r="AD34" s="2">
        <f t="shared" si="0"/>
        <v>1.1299999999999955</v>
      </c>
      <c r="AE34" s="138">
        <f t="shared" si="1"/>
        <v>-1.8026565464897004E-3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42571</v>
      </c>
      <c r="X35" s="10">
        <v>105.69</v>
      </c>
      <c r="Y35" s="10">
        <v>106.28</v>
      </c>
      <c r="Z35" s="10">
        <v>105.56</v>
      </c>
      <c r="AA35" s="10">
        <v>106.04</v>
      </c>
      <c r="AB35" s="95">
        <v>2987400</v>
      </c>
      <c r="AC35" s="10">
        <v>105.4</v>
      </c>
      <c r="AD35" s="2">
        <f t="shared" si="0"/>
        <v>0.71999999999999886</v>
      </c>
      <c r="AE35" s="138">
        <f t="shared" si="1"/>
        <v>4.000762049914286E-3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42570</v>
      </c>
      <c r="X36" s="10">
        <v>104.99</v>
      </c>
      <c r="Y36" s="10">
        <v>105.94</v>
      </c>
      <c r="Z36" s="10">
        <v>104.89</v>
      </c>
      <c r="AA36" s="10">
        <v>105.62</v>
      </c>
      <c r="AB36" s="95">
        <v>3493900</v>
      </c>
      <c r="AC36" s="10">
        <v>104.98</v>
      </c>
      <c r="AD36" s="2">
        <f t="shared" si="0"/>
        <v>1.0499999999999972</v>
      </c>
      <c r="AE36" s="138">
        <f t="shared" si="1"/>
        <v>1.2398664759181166E-3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42569</v>
      </c>
      <c r="X37" s="10">
        <v>105.48</v>
      </c>
      <c r="Y37" s="10">
        <v>105.93</v>
      </c>
      <c r="Z37" s="10">
        <v>104.88</v>
      </c>
      <c r="AA37" s="10">
        <v>105.49</v>
      </c>
      <c r="AB37" s="95">
        <v>2185300</v>
      </c>
      <c r="AC37" s="10">
        <v>104.85</v>
      </c>
      <c r="AD37" s="2">
        <f t="shared" si="0"/>
        <v>1.0500000000000114</v>
      </c>
      <c r="AE37" s="138">
        <f t="shared" si="1"/>
        <v>-9.5365248903300781E-5</v>
      </c>
    </row>
    <row r="38" spans="1:31" x14ac:dyDescent="0.25">
      <c r="W38" s="133">
        <v>42566</v>
      </c>
      <c r="X38" s="10">
        <v>105.35</v>
      </c>
      <c r="Y38" s="10">
        <v>105.65</v>
      </c>
      <c r="Z38" s="10">
        <v>104.87</v>
      </c>
      <c r="AA38" s="10">
        <v>105.5</v>
      </c>
      <c r="AB38" s="95">
        <v>2836900</v>
      </c>
      <c r="AC38" s="10">
        <v>104.86</v>
      </c>
      <c r="AD38" s="2">
        <f t="shared" si="0"/>
        <v>0.78000000000000114</v>
      </c>
      <c r="AE38" s="138">
        <f t="shared" si="1"/>
        <v>3.4449760765549176E-3</v>
      </c>
    </row>
    <row r="39" spans="1:31" ht="20.25" thickBot="1" x14ac:dyDescent="0.35">
      <c r="P39" s="545" t="s">
        <v>78</v>
      </c>
      <c r="Q39" s="545"/>
      <c r="W39" s="133">
        <v>42565</v>
      </c>
      <c r="X39" s="10">
        <v>105.98</v>
      </c>
      <c r="Y39" s="10">
        <v>105.99</v>
      </c>
      <c r="Z39" s="10">
        <v>104.94</v>
      </c>
      <c r="AA39" s="10">
        <v>105.14</v>
      </c>
      <c r="AB39" s="95">
        <v>3307400</v>
      </c>
      <c r="AC39" s="10">
        <v>104.5</v>
      </c>
      <c r="AD39" s="2">
        <f t="shared" si="0"/>
        <v>1.0499999999999972</v>
      </c>
      <c r="AE39" s="138">
        <f t="shared" si="1"/>
        <v>4.7869794159871581E-4</v>
      </c>
    </row>
    <row r="40" spans="1:31" ht="15.75" thickTop="1" x14ac:dyDescent="0.25">
      <c r="O40" s="2"/>
      <c r="P40" s="83">
        <v>1.1000000000000001</v>
      </c>
      <c r="Q40" s="83">
        <f>P40*$Q$4</f>
        <v>116.61100000000002</v>
      </c>
      <c r="W40" s="133">
        <v>42564</v>
      </c>
      <c r="X40" s="10">
        <v>105.07</v>
      </c>
      <c r="Y40" s="10">
        <v>105.21</v>
      </c>
      <c r="Z40" s="10">
        <v>104.59</v>
      </c>
      <c r="AA40" s="10">
        <v>105.09</v>
      </c>
      <c r="AB40" s="95">
        <v>2950100</v>
      </c>
      <c r="AC40" s="10">
        <v>104.45</v>
      </c>
      <c r="AD40" s="2">
        <f t="shared" si="0"/>
        <v>0.61999999999999034</v>
      </c>
      <c r="AE40" s="138">
        <f t="shared" si="1"/>
        <v>5.5839029556175035E-3</v>
      </c>
    </row>
    <row r="41" spans="1:31" x14ac:dyDescent="0.25">
      <c r="O41" s="2"/>
      <c r="P41" s="83">
        <v>1.0900000000000001</v>
      </c>
      <c r="Q41" s="83">
        <f t="shared" ref="Q41:Q60" si="2">P41*$Q$4</f>
        <v>115.55090000000001</v>
      </c>
      <c r="W41" s="133">
        <v>42563</v>
      </c>
      <c r="X41" s="10">
        <v>104.23</v>
      </c>
      <c r="Y41" s="10">
        <v>105.06</v>
      </c>
      <c r="Z41" s="10">
        <v>104.09</v>
      </c>
      <c r="AA41" s="10">
        <v>104.5</v>
      </c>
      <c r="AB41" s="95">
        <v>3741400</v>
      </c>
      <c r="AC41" s="10">
        <v>103.87</v>
      </c>
      <c r="AD41" s="2">
        <f t="shared" si="0"/>
        <v>0.96999999999999886</v>
      </c>
      <c r="AE41" s="138">
        <f t="shared" si="1"/>
        <v>5.2259750314527231E-3</v>
      </c>
    </row>
    <row r="42" spans="1:31" ht="20.25" thickBot="1" x14ac:dyDescent="0.35">
      <c r="O42" s="2"/>
      <c r="P42" s="83">
        <v>1.08</v>
      </c>
      <c r="Q42" s="83">
        <f t="shared" si="2"/>
        <v>114.49080000000001</v>
      </c>
      <c r="T42" s="91" t="s">
        <v>113</v>
      </c>
      <c r="W42" s="133">
        <v>42562</v>
      </c>
      <c r="X42" s="10">
        <v>103.66</v>
      </c>
      <c r="Y42" s="10">
        <v>104.49</v>
      </c>
      <c r="Z42" s="10">
        <v>103.6</v>
      </c>
      <c r="AA42" s="10">
        <v>103.96</v>
      </c>
      <c r="AB42" s="95">
        <v>3317100</v>
      </c>
      <c r="AC42" s="10">
        <v>103.33</v>
      </c>
      <c r="AD42" s="2">
        <f t="shared" si="0"/>
        <v>0.89000000000000057</v>
      </c>
      <c r="AE42" s="138">
        <f t="shared" si="1"/>
        <v>2.9117732699213139E-3</v>
      </c>
    </row>
    <row r="43" spans="1:31" ht="15.75" thickTop="1" x14ac:dyDescent="0.25">
      <c r="O43" s="2"/>
      <c r="P43" s="83">
        <v>1.07</v>
      </c>
      <c r="Q43" s="83">
        <f t="shared" si="2"/>
        <v>113.43070000000002</v>
      </c>
      <c r="T43" s="128" t="s">
        <v>98</v>
      </c>
      <c r="U43" s="98">
        <v>106.72</v>
      </c>
      <c r="W43" s="133">
        <v>42559</v>
      </c>
      <c r="X43" s="10">
        <v>102.91</v>
      </c>
      <c r="Y43" s="10">
        <v>103.74</v>
      </c>
      <c r="Z43" s="10">
        <v>102.57</v>
      </c>
      <c r="AA43" s="10">
        <v>103.66</v>
      </c>
      <c r="AB43" s="95">
        <v>3502900</v>
      </c>
      <c r="AC43" s="10">
        <v>103.03</v>
      </c>
      <c r="AD43" s="2">
        <f t="shared" si="0"/>
        <v>1.1700000000000017</v>
      </c>
      <c r="AE43" s="138">
        <f t="shared" si="1"/>
        <v>1.6576221016280313E-2</v>
      </c>
    </row>
    <row r="44" spans="1:31" x14ac:dyDescent="0.25">
      <c r="O44" s="2"/>
      <c r="P44" s="83">
        <v>1.06</v>
      </c>
      <c r="Q44" s="83">
        <f t="shared" si="2"/>
        <v>112.37060000000001</v>
      </c>
      <c r="T44" s="93" t="s">
        <v>99</v>
      </c>
      <c r="U44" s="88">
        <v>107.19</v>
      </c>
      <c r="W44" s="133">
        <v>42558</v>
      </c>
      <c r="X44" s="10">
        <v>101.53</v>
      </c>
      <c r="Y44" s="10">
        <v>102.14</v>
      </c>
      <c r="Z44" s="10">
        <v>101.37</v>
      </c>
      <c r="AA44" s="10">
        <v>101.97</v>
      </c>
      <c r="AB44" s="95">
        <v>3051600</v>
      </c>
      <c r="AC44" s="10">
        <v>101.35</v>
      </c>
      <c r="AD44" s="2">
        <f t="shared" si="0"/>
        <v>0.76999999999999602</v>
      </c>
      <c r="AE44" s="138">
        <f t="shared" si="1"/>
        <v>5.7556812543415603E-3</v>
      </c>
    </row>
    <row r="45" spans="1:31" x14ac:dyDescent="0.25">
      <c r="O45" s="2"/>
      <c r="P45" s="83">
        <v>1.05</v>
      </c>
      <c r="Q45" s="83">
        <f t="shared" si="2"/>
        <v>111.3105</v>
      </c>
      <c r="T45" s="93" t="s">
        <v>100</v>
      </c>
      <c r="U45" s="88" t="s">
        <v>480</v>
      </c>
      <c r="W45" s="133">
        <v>42557</v>
      </c>
      <c r="X45" s="10">
        <v>100.55</v>
      </c>
      <c r="Y45" s="10">
        <v>101.49</v>
      </c>
      <c r="Z45" s="10">
        <v>99.31</v>
      </c>
      <c r="AA45" s="10">
        <v>101.38</v>
      </c>
      <c r="AB45" s="95">
        <v>5227500</v>
      </c>
      <c r="AC45" s="10">
        <v>100.77</v>
      </c>
      <c r="AD45" s="2">
        <f t="shared" si="0"/>
        <v>2.1799999999999926</v>
      </c>
      <c r="AE45" s="138">
        <f t="shared" si="1"/>
        <v>7.5992400759923306E-3</v>
      </c>
    </row>
    <row r="46" spans="1:31" x14ac:dyDescent="0.25">
      <c r="O46" s="2"/>
      <c r="P46" s="83">
        <v>1.04</v>
      </c>
      <c r="Q46" s="83">
        <f t="shared" si="2"/>
        <v>110.25040000000001</v>
      </c>
      <c r="T46" s="93" t="s">
        <v>101</v>
      </c>
      <c r="U46" s="88" t="s">
        <v>481</v>
      </c>
      <c r="W46" s="133">
        <v>42556</v>
      </c>
      <c r="X46" s="10">
        <v>102.1</v>
      </c>
      <c r="Y46" s="10">
        <v>102.34</v>
      </c>
      <c r="Z46" s="10">
        <v>100.21</v>
      </c>
      <c r="AA46" s="10">
        <v>100.62</v>
      </c>
      <c r="AB46" s="95">
        <v>4311100</v>
      </c>
      <c r="AC46" s="10">
        <v>100.01</v>
      </c>
      <c r="AD46" s="2">
        <f t="shared" si="0"/>
        <v>2.1300000000000097</v>
      </c>
      <c r="AE46" s="138">
        <f t="shared" si="1"/>
        <v>-2.0566056213886963E-2</v>
      </c>
    </row>
    <row r="47" spans="1:31" x14ac:dyDescent="0.25">
      <c r="O47" s="2"/>
      <c r="P47" s="83">
        <v>1.03</v>
      </c>
      <c r="Q47" s="83">
        <f t="shared" si="2"/>
        <v>109.19030000000001</v>
      </c>
      <c r="T47" s="93" t="s">
        <v>102</v>
      </c>
      <c r="U47" s="88">
        <v>114.87</v>
      </c>
      <c r="W47" s="133">
        <v>42552</v>
      </c>
      <c r="X47" s="10">
        <v>102.48</v>
      </c>
      <c r="Y47" s="10">
        <v>104.19</v>
      </c>
      <c r="Z47" s="10">
        <v>102.34</v>
      </c>
      <c r="AA47" s="10">
        <v>102.73</v>
      </c>
      <c r="AB47" s="95">
        <v>6578900</v>
      </c>
      <c r="AC47" s="10">
        <v>102.11</v>
      </c>
      <c r="AD47" s="2">
        <f t="shared" si="0"/>
        <v>1.8499999999999943</v>
      </c>
      <c r="AE47" s="138">
        <f t="shared" si="1"/>
        <v>1.7659177867161979E-3</v>
      </c>
    </row>
    <row r="48" spans="1:31" x14ac:dyDescent="0.25">
      <c r="O48" s="2"/>
      <c r="P48" s="83">
        <v>1.02</v>
      </c>
      <c r="Q48" s="83">
        <f t="shared" si="2"/>
        <v>108.1302</v>
      </c>
      <c r="T48" s="93" t="s">
        <v>103</v>
      </c>
      <c r="U48" s="88">
        <v>0.98120799999999997</v>
      </c>
      <c r="W48" s="133">
        <v>42551</v>
      </c>
      <c r="X48" s="10">
        <v>100.87</v>
      </c>
      <c r="Y48" s="10">
        <v>102.57</v>
      </c>
      <c r="Z48" s="10">
        <v>100.57</v>
      </c>
      <c r="AA48" s="10">
        <v>102.55</v>
      </c>
      <c r="AB48" s="95">
        <v>5837700</v>
      </c>
      <c r="AC48" s="10">
        <v>101.93</v>
      </c>
      <c r="AD48" s="2">
        <f t="shared" si="0"/>
        <v>2</v>
      </c>
      <c r="AE48" s="138">
        <f t="shared" si="1"/>
        <v>2.0729020628880601E-2</v>
      </c>
    </row>
    <row r="49" spans="15:31" x14ac:dyDescent="0.25">
      <c r="O49" s="2"/>
      <c r="P49" s="83">
        <v>1.01</v>
      </c>
      <c r="Q49" s="83">
        <f t="shared" si="2"/>
        <v>107.07010000000001</v>
      </c>
      <c r="T49" s="93" t="s">
        <v>123</v>
      </c>
      <c r="U49" s="88" t="s">
        <v>326</v>
      </c>
      <c r="W49" s="133">
        <v>42550</v>
      </c>
      <c r="X49" s="10">
        <v>99.98</v>
      </c>
      <c r="Y49" s="10">
        <v>100.7</v>
      </c>
      <c r="Z49" s="10">
        <v>99.46</v>
      </c>
      <c r="AA49" s="10">
        <v>100.47</v>
      </c>
      <c r="AB49" s="95">
        <v>4737300</v>
      </c>
      <c r="AC49" s="10">
        <v>99.86</v>
      </c>
      <c r="AD49" s="2">
        <f t="shared" si="0"/>
        <v>1.2400000000000091</v>
      </c>
      <c r="AE49" s="138">
        <f t="shared" si="1"/>
        <v>1.4528091029157642E-2</v>
      </c>
    </row>
    <row r="50" spans="15:31" x14ac:dyDescent="0.25">
      <c r="O50" s="2"/>
      <c r="P50" s="83">
        <v>1</v>
      </c>
      <c r="Q50" s="83">
        <f t="shared" si="2"/>
        <v>106.01</v>
      </c>
      <c r="T50" s="93"/>
      <c r="U50" s="88"/>
      <c r="W50" s="133">
        <v>42549</v>
      </c>
      <c r="X50" s="10">
        <v>98.15</v>
      </c>
      <c r="Y50" s="10">
        <v>99.12</v>
      </c>
      <c r="Z50" s="10">
        <v>97.93</v>
      </c>
      <c r="AA50" s="10">
        <v>99.03</v>
      </c>
      <c r="AB50" s="95">
        <v>5583200</v>
      </c>
      <c r="AC50" s="10">
        <v>98.43</v>
      </c>
      <c r="AD50" s="2">
        <f t="shared" si="0"/>
        <v>1.1899999999999977</v>
      </c>
      <c r="AE50" s="138">
        <f t="shared" si="1"/>
        <v>1.8733181535913968E-2</v>
      </c>
    </row>
    <row r="51" spans="15:31" x14ac:dyDescent="0.25">
      <c r="O51" s="2"/>
      <c r="P51" s="83">
        <v>0.99</v>
      </c>
      <c r="Q51" s="83">
        <f t="shared" si="2"/>
        <v>104.9499</v>
      </c>
      <c r="T51" s="93" t="s">
        <v>105</v>
      </c>
      <c r="U51" s="88" t="s">
        <v>482</v>
      </c>
      <c r="W51" s="133">
        <v>42548</v>
      </c>
      <c r="X51" s="10">
        <v>98</v>
      </c>
      <c r="Y51" s="10">
        <v>98.21</v>
      </c>
      <c r="Z51" s="10">
        <v>96.89</v>
      </c>
      <c r="AA51" s="10">
        <v>97.21</v>
      </c>
      <c r="AB51" s="95">
        <v>6236500</v>
      </c>
      <c r="AC51" s="10">
        <v>96.62</v>
      </c>
      <c r="AD51" s="2">
        <f t="shared" si="0"/>
        <v>1.3199999999999932</v>
      </c>
      <c r="AE51" s="138">
        <f t="shared" si="1"/>
        <v>-1.6990538203276007E-2</v>
      </c>
    </row>
    <row r="52" spans="15:31" x14ac:dyDescent="0.25">
      <c r="O52" s="2"/>
      <c r="P52" s="83">
        <v>0.98</v>
      </c>
      <c r="Q52" s="83">
        <f t="shared" si="2"/>
        <v>103.88980000000001</v>
      </c>
      <c r="T52" s="93" t="s">
        <v>106</v>
      </c>
      <c r="U52" s="88" t="s">
        <v>348</v>
      </c>
      <c r="W52" s="133">
        <v>42545</v>
      </c>
      <c r="X52" s="10">
        <v>99.42</v>
      </c>
      <c r="Y52" s="10">
        <v>100.41</v>
      </c>
      <c r="Z52" s="10">
        <v>98.76</v>
      </c>
      <c r="AA52" s="10">
        <v>98.89</v>
      </c>
      <c r="AB52" s="95">
        <v>7446400</v>
      </c>
      <c r="AC52" s="10">
        <v>98.29</v>
      </c>
      <c r="AD52" s="2">
        <f t="shared" si="0"/>
        <v>1.6499999999999915</v>
      </c>
      <c r="AE52" s="138">
        <f t="shared" si="1"/>
        <v>-3.3625012289843603E-2</v>
      </c>
    </row>
    <row r="53" spans="15:31" x14ac:dyDescent="0.25">
      <c r="P53" s="83">
        <v>0.97</v>
      </c>
      <c r="Q53" s="83">
        <f t="shared" si="2"/>
        <v>102.8297</v>
      </c>
      <c r="T53" s="93" t="s">
        <v>107</v>
      </c>
      <c r="U53" s="90">
        <v>3066733</v>
      </c>
      <c r="W53" s="133">
        <v>42544</v>
      </c>
      <c r="X53" s="10">
        <v>102.5</v>
      </c>
      <c r="Y53" s="10">
        <v>102.5</v>
      </c>
      <c r="Z53" s="10">
        <v>101.73</v>
      </c>
      <c r="AA53" s="10">
        <v>102.33</v>
      </c>
      <c r="AB53" s="95">
        <v>3074800</v>
      </c>
      <c r="AC53" s="10">
        <v>101.71</v>
      </c>
      <c r="AD53" s="2">
        <f t="shared" si="0"/>
        <v>0.76999999999999602</v>
      </c>
      <c r="AE53" s="138">
        <f t="shared" si="1"/>
        <v>9.6287472702005772E-3</v>
      </c>
    </row>
    <row r="54" spans="15:31" x14ac:dyDescent="0.25">
      <c r="P54" s="83">
        <v>0.96</v>
      </c>
      <c r="Q54" s="83">
        <f t="shared" si="2"/>
        <v>101.7696</v>
      </c>
      <c r="T54" s="93" t="s">
        <v>110</v>
      </c>
      <c r="U54" s="90">
        <v>3359590</v>
      </c>
      <c r="W54" s="133">
        <v>42543</v>
      </c>
      <c r="X54" s="10">
        <v>101.77</v>
      </c>
      <c r="Y54" s="10">
        <v>101.97</v>
      </c>
      <c r="Z54" s="10">
        <v>101.1</v>
      </c>
      <c r="AA54" s="10">
        <v>101.35</v>
      </c>
      <c r="AB54" s="95">
        <v>2634500</v>
      </c>
      <c r="AC54" s="10">
        <v>100.74</v>
      </c>
      <c r="AD54" s="2">
        <f t="shared" si="0"/>
        <v>0.87000000000000455</v>
      </c>
      <c r="AE54" s="138">
        <f t="shared" si="1"/>
        <v>-2.1790808240886861E-3</v>
      </c>
    </row>
    <row r="55" spans="15:31" x14ac:dyDescent="0.25">
      <c r="P55" s="83">
        <v>0.95</v>
      </c>
      <c r="Q55" s="83">
        <f t="shared" si="2"/>
        <v>100.70950000000001</v>
      </c>
      <c r="T55" s="93" t="s">
        <v>108</v>
      </c>
      <c r="U55" s="88" t="s">
        <v>483</v>
      </c>
      <c r="W55" s="133">
        <v>42542</v>
      </c>
      <c r="X55" s="10">
        <v>101.99</v>
      </c>
      <c r="Y55" s="10">
        <v>102.1</v>
      </c>
      <c r="Z55" s="10">
        <v>101.4</v>
      </c>
      <c r="AA55" s="10">
        <v>101.57</v>
      </c>
      <c r="AB55" s="95">
        <v>3318900</v>
      </c>
      <c r="AC55" s="10">
        <v>100.96</v>
      </c>
      <c r="AD55" s="2">
        <f t="shared" si="0"/>
        <v>0.69999999999998863</v>
      </c>
      <c r="AE55" s="138">
        <f t="shared" si="1"/>
        <v>-1.2859827876150476E-3</v>
      </c>
    </row>
    <row r="56" spans="15:31" x14ac:dyDescent="0.25">
      <c r="P56" s="83">
        <v>0.94</v>
      </c>
      <c r="Q56" s="83">
        <f t="shared" si="2"/>
        <v>99.6494</v>
      </c>
      <c r="T56" s="93" t="s">
        <v>111</v>
      </c>
      <c r="U56" s="88">
        <v>12.61</v>
      </c>
      <c r="W56" s="133">
        <v>42541</v>
      </c>
      <c r="X56" s="10">
        <v>102.02</v>
      </c>
      <c r="Y56" s="10">
        <v>102.86</v>
      </c>
      <c r="Z56" s="10">
        <v>101.66</v>
      </c>
      <c r="AA56" s="10">
        <v>101.7</v>
      </c>
      <c r="AB56" s="95">
        <v>4447900</v>
      </c>
      <c r="AC56" s="10">
        <v>101.09</v>
      </c>
      <c r="AD56" s="2">
        <f t="shared" si="0"/>
        <v>1.2000000000000028</v>
      </c>
      <c r="AE56" s="138">
        <f t="shared" si="1"/>
        <v>4.9706730291281254E-3</v>
      </c>
    </row>
    <row r="57" spans="15:31" x14ac:dyDescent="0.25">
      <c r="P57" s="83">
        <v>0.93</v>
      </c>
      <c r="Q57" s="83">
        <f t="shared" si="2"/>
        <v>98.589300000000009</v>
      </c>
      <c r="T57" s="93" t="s">
        <v>112</v>
      </c>
      <c r="U57" s="88">
        <v>8.48</v>
      </c>
      <c r="W57" s="133">
        <v>42538</v>
      </c>
      <c r="X57" s="10">
        <v>100.85</v>
      </c>
      <c r="Y57" s="10">
        <v>101.69</v>
      </c>
      <c r="Z57" s="10">
        <v>100.33</v>
      </c>
      <c r="AA57" s="10">
        <v>101.2</v>
      </c>
      <c r="AB57" s="95">
        <v>5691900</v>
      </c>
      <c r="AC57" s="10">
        <v>100.59</v>
      </c>
      <c r="AD57" s="2">
        <f t="shared" si="0"/>
        <v>1.3599999999999994</v>
      </c>
      <c r="AE57" s="138">
        <f t="shared" si="1"/>
        <v>7.9594070241761905E-4</v>
      </c>
    </row>
    <row r="58" spans="15:31" x14ac:dyDescent="0.25">
      <c r="P58" s="83">
        <v>0.92</v>
      </c>
      <c r="Q58" s="83">
        <f t="shared" si="2"/>
        <v>97.529200000000003</v>
      </c>
      <c r="T58" s="93" t="s">
        <v>109</v>
      </c>
      <c r="U58" s="88" t="s">
        <v>484</v>
      </c>
      <c r="W58" s="133">
        <v>42537</v>
      </c>
      <c r="X58" s="10">
        <v>100.29</v>
      </c>
      <c r="Y58" s="10">
        <v>101.54</v>
      </c>
      <c r="Z58" s="10">
        <v>99.35</v>
      </c>
      <c r="AA58" s="10">
        <v>101.12</v>
      </c>
      <c r="AB58" s="95">
        <v>4549900</v>
      </c>
      <c r="AC58" s="10">
        <v>100.51</v>
      </c>
      <c r="AD58" s="2">
        <f t="shared" si="0"/>
        <v>2.1900000000000119</v>
      </c>
      <c r="AE58" s="138">
        <f t="shared" si="1"/>
        <v>5.8040628439908204E-3</v>
      </c>
    </row>
    <row r="59" spans="15:31" x14ac:dyDescent="0.25">
      <c r="P59" s="83">
        <v>0.91</v>
      </c>
      <c r="Q59" s="83">
        <f t="shared" si="2"/>
        <v>96.469100000000012</v>
      </c>
      <c r="W59" s="133">
        <v>42536</v>
      </c>
      <c r="X59" s="10">
        <v>101.5</v>
      </c>
      <c r="Y59" s="10">
        <v>101.74</v>
      </c>
      <c r="Z59" s="10">
        <v>100.54</v>
      </c>
      <c r="AA59" s="10">
        <v>100.54</v>
      </c>
      <c r="AB59" s="95">
        <v>4480000</v>
      </c>
      <c r="AC59" s="10">
        <v>99.93</v>
      </c>
      <c r="AD59" s="2">
        <f t="shared" si="0"/>
        <v>1.1999999999999886</v>
      </c>
      <c r="AE59" s="138">
        <f t="shared" si="1"/>
        <v>-6.4625173990852103E-3</v>
      </c>
    </row>
    <row r="60" spans="15:31" x14ac:dyDescent="0.25">
      <c r="P60" s="83">
        <v>0.9</v>
      </c>
      <c r="Q60" s="83">
        <f t="shared" si="2"/>
        <v>95.409000000000006</v>
      </c>
      <c r="W60" s="133">
        <v>42535</v>
      </c>
      <c r="X60" s="10">
        <v>101.21</v>
      </c>
      <c r="Y60" s="10">
        <v>101.91</v>
      </c>
      <c r="Z60" s="10">
        <v>100.51</v>
      </c>
      <c r="AA60" s="10">
        <v>101.19</v>
      </c>
      <c r="AB60" s="95">
        <v>3705200</v>
      </c>
      <c r="AC60" s="10">
        <v>100.58</v>
      </c>
      <c r="AD60" s="2">
        <f t="shared" si="0"/>
        <v>1.3999999999999915</v>
      </c>
      <c r="AE60" s="138">
        <f t="shared" si="1"/>
        <v>-1.9880715705766772E-4</v>
      </c>
    </row>
    <row r="61" spans="15:31" x14ac:dyDescent="0.25">
      <c r="W61" s="133">
        <v>42534</v>
      </c>
      <c r="X61" s="10">
        <v>101.98</v>
      </c>
      <c r="Y61" s="10">
        <v>102.4</v>
      </c>
      <c r="Z61" s="10">
        <v>101.19</v>
      </c>
      <c r="AA61" s="10">
        <v>101.21</v>
      </c>
      <c r="AB61" s="95">
        <v>4494500</v>
      </c>
      <c r="AC61" s="10">
        <v>100.6</v>
      </c>
      <c r="AD61" s="2">
        <f t="shared" si="0"/>
        <v>1.210000000000008</v>
      </c>
      <c r="AE61" s="138">
        <f t="shared" si="1"/>
        <v>-7.6938252120734019E-3</v>
      </c>
    </row>
    <row r="62" spans="15:31" x14ac:dyDescent="0.25">
      <c r="W62" s="133">
        <v>42531</v>
      </c>
      <c r="X62" s="10">
        <v>101.55</v>
      </c>
      <c r="Y62" s="10">
        <v>102.39</v>
      </c>
      <c r="Z62" s="10">
        <v>101.21</v>
      </c>
      <c r="AA62" s="10">
        <v>102</v>
      </c>
      <c r="AB62" s="95">
        <v>3601700</v>
      </c>
      <c r="AC62" s="10">
        <v>101.38</v>
      </c>
      <c r="AD62" s="2">
        <f t="shared" si="0"/>
        <v>1.1800000000000068</v>
      </c>
      <c r="AE62" s="138">
        <f t="shared" si="1"/>
        <v>-3.1465093411996437E-3</v>
      </c>
    </row>
    <row r="63" spans="15:31" x14ac:dyDescent="0.25">
      <c r="W63" s="133">
        <v>42530</v>
      </c>
      <c r="X63" s="10">
        <v>101.57</v>
      </c>
      <c r="Y63" s="10">
        <v>102.35</v>
      </c>
      <c r="Z63" s="10">
        <v>101.49</v>
      </c>
      <c r="AA63" s="10">
        <v>102.32</v>
      </c>
      <c r="AB63" s="95">
        <v>3608400</v>
      </c>
      <c r="AC63" s="10">
        <v>101.7</v>
      </c>
      <c r="AD63" s="2">
        <f t="shared" si="0"/>
        <v>0.85999999999999943</v>
      </c>
      <c r="AE63" s="138">
        <f t="shared" si="1"/>
        <v>2.464268112370549E-3</v>
      </c>
    </row>
    <row r="64" spans="15:31" x14ac:dyDescent="0.25">
      <c r="W64" s="133">
        <v>42529</v>
      </c>
      <c r="X64" s="10">
        <v>101.45</v>
      </c>
      <c r="Y64" s="10">
        <v>102.12</v>
      </c>
      <c r="Z64" s="10">
        <v>101.38</v>
      </c>
      <c r="AA64" s="10">
        <v>102.07</v>
      </c>
      <c r="AB64" s="95">
        <v>2566800</v>
      </c>
      <c r="AC64" s="10">
        <v>101.45</v>
      </c>
      <c r="AD64" s="2">
        <f t="shared" si="0"/>
        <v>0.74000000000000909</v>
      </c>
      <c r="AE64" s="138">
        <f t="shared" si="1"/>
        <v>6.0491868306227214E-3</v>
      </c>
    </row>
    <row r="65" spans="23:31" x14ac:dyDescent="0.25">
      <c r="W65" s="133">
        <v>42528</v>
      </c>
      <c r="X65" s="10">
        <v>101.78</v>
      </c>
      <c r="Y65" s="10">
        <v>102.4</v>
      </c>
      <c r="Z65" s="10">
        <v>101.45</v>
      </c>
      <c r="AA65" s="10">
        <v>101.45</v>
      </c>
      <c r="AB65" s="95">
        <v>2539700</v>
      </c>
      <c r="AC65" s="10">
        <v>100.84</v>
      </c>
      <c r="AD65" s="2">
        <f t="shared" si="0"/>
        <v>0.95000000000000284</v>
      </c>
      <c r="AE65" s="138">
        <f t="shared" si="1"/>
        <v>8.9330024813905062E-4</v>
      </c>
    </row>
    <row r="66" spans="23:31" x14ac:dyDescent="0.25">
      <c r="W66" s="133">
        <v>42527</v>
      </c>
      <c r="X66" s="10">
        <v>100.74</v>
      </c>
      <c r="Y66" s="10">
        <v>101.57</v>
      </c>
      <c r="Z66" s="10">
        <v>100.51</v>
      </c>
      <c r="AA66" s="10">
        <v>101.36</v>
      </c>
      <c r="AB66" s="95">
        <v>3769200</v>
      </c>
      <c r="AC66" s="10">
        <v>100.75</v>
      </c>
      <c r="AD66" s="2">
        <f t="shared" si="0"/>
        <v>1.0599999999999881</v>
      </c>
      <c r="AE66" s="138">
        <f t="shared" si="1"/>
        <v>9.3167701863354768E-3</v>
      </c>
    </row>
    <row r="67" spans="23:31" x14ac:dyDescent="0.25">
      <c r="W67" s="133">
        <v>42524</v>
      </c>
      <c r="X67" s="10">
        <v>100.75</v>
      </c>
      <c r="Y67" s="10">
        <v>100.78</v>
      </c>
      <c r="Z67" s="10">
        <v>99.89</v>
      </c>
      <c r="AA67" s="10">
        <v>100.43</v>
      </c>
      <c r="AB67" s="95">
        <v>2251500</v>
      </c>
      <c r="AC67" s="10">
        <v>99.82</v>
      </c>
      <c r="AD67" s="2">
        <f>Y67-Z67</f>
        <v>0.89000000000000057</v>
      </c>
      <c r="AE67" s="138">
        <f>AC67/AC68-1</f>
        <v>-3.5935316430426578E-3</v>
      </c>
    </row>
    <row r="68" spans="23:31" x14ac:dyDescent="0.25">
      <c r="W68" s="133">
        <v>42523</v>
      </c>
      <c r="X68" s="10">
        <v>100.25</v>
      </c>
      <c r="Y68" s="10">
        <v>100.81</v>
      </c>
      <c r="Z68" s="10">
        <v>100.07</v>
      </c>
      <c r="AA68" s="10">
        <v>100.79</v>
      </c>
      <c r="AB68" s="95">
        <v>2468500</v>
      </c>
      <c r="AC68" s="10">
        <v>100.18</v>
      </c>
      <c r="AD68" s="2">
        <f>Y68-Z68</f>
        <v>0.74000000000000909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62" priority="3">
      <formula>Q7&gt;0</formula>
    </cfRule>
    <cfRule type="expression" dxfId="61" priority="4">
      <formula>Q7&lt;0</formula>
    </cfRule>
  </conditionalFormatting>
  <conditionalFormatting sqref="Q8">
    <cfRule type="expression" dxfId="60" priority="1">
      <formula>Q8&gt;0</formula>
    </cfRule>
    <cfRule type="expression" dxfId="59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42615</v>
      </c>
      <c r="X2" s="10">
        <v>136.5</v>
      </c>
      <c r="Y2" s="10">
        <v>136.78</v>
      </c>
      <c r="Z2" s="10">
        <v>135.76</v>
      </c>
      <c r="AA2" s="10">
        <v>136.61000000000001</v>
      </c>
      <c r="AB2" s="95">
        <v>2375500</v>
      </c>
      <c r="AC2" s="10">
        <v>136.61000000000001</v>
      </c>
      <c r="AD2" s="2">
        <f>Y2-Z2</f>
        <v>1.0200000000000102</v>
      </c>
      <c r="AE2" s="138">
        <f>AC2/AC3-1</f>
        <v>6.4093119198467274E-3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135.97</v>
      </c>
      <c r="W3" s="133">
        <v>42614</v>
      </c>
      <c r="X3" s="10">
        <v>136.82</v>
      </c>
      <c r="Y3" s="10">
        <v>136.97999999999999</v>
      </c>
      <c r="Z3" s="10">
        <v>135.35</v>
      </c>
      <c r="AA3" s="10">
        <v>135.74</v>
      </c>
      <c r="AB3" s="95">
        <v>2765400</v>
      </c>
      <c r="AC3" s="10">
        <v>135.74</v>
      </c>
      <c r="AD3" s="2">
        <f t="shared" ref="AD3:AD66" si="0">Y3-Z3</f>
        <v>1.6299999999999955</v>
      </c>
      <c r="AE3" s="138">
        <f t="shared" ref="AE3:AE66" si="1">AC3/AC4-1</f>
        <v>-2.2785740536567234E-3</v>
      </c>
      <c r="AI3" t="s">
        <v>173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135.97</v>
      </c>
      <c r="W4" s="133">
        <v>42613</v>
      </c>
      <c r="X4" s="10">
        <v>136.55000000000001</v>
      </c>
      <c r="Y4" s="10">
        <v>136.82</v>
      </c>
      <c r="Z4" s="10">
        <v>135.55000000000001</v>
      </c>
      <c r="AA4" s="10">
        <v>136.05000000000001</v>
      </c>
      <c r="AB4" s="95">
        <v>2837300</v>
      </c>
      <c r="AC4" s="10">
        <v>136.05000000000001</v>
      </c>
      <c r="AD4" s="2">
        <f t="shared" si="0"/>
        <v>1.2699999999999818</v>
      </c>
      <c r="AE4" s="138">
        <f t="shared" si="1"/>
        <v>-5.9910864323809987E-3</v>
      </c>
      <c r="AI4" t="s">
        <v>174</v>
      </c>
      <c r="AJ4">
        <v>-10</v>
      </c>
      <c r="AK4" t="s">
        <v>171</v>
      </c>
      <c r="AL4" t="s">
        <v>171</v>
      </c>
      <c r="AO4" s="234">
        <v>-1153.98</v>
      </c>
      <c r="AP4" t="s">
        <v>171</v>
      </c>
      <c r="AQ4" t="s">
        <v>171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42612</v>
      </c>
      <c r="X5" s="10">
        <v>137.27000000000001</v>
      </c>
      <c r="Y5" s="10">
        <v>137.69</v>
      </c>
      <c r="Z5" s="10">
        <v>136.24</v>
      </c>
      <c r="AA5" s="10">
        <v>136.87</v>
      </c>
      <c r="AB5" s="95">
        <v>2026600</v>
      </c>
      <c r="AC5" s="10">
        <v>136.87</v>
      </c>
      <c r="AD5" s="2">
        <f t="shared" si="0"/>
        <v>1.4499999999999886</v>
      </c>
      <c r="AE5" s="138">
        <f t="shared" si="1"/>
        <v>-2.9139651781161513E-3</v>
      </c>
      <c r="AI5" t="s">
        <v>172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42611</v>
      </c>
      <c r="X6" s="10">
        <v>137.19999999999999</v>
      </c>
      <c r="Y6" s="10">
        <v>138.04</v>
      </c>
      <c r="Z6" s="10">
        <v>136.47999999999999</v>
      </c>
      <c r="AA6" s="10">
        <v>137.27000000000001</v>
      </c>
      <c r="AB6" s="95">
        <v>2315900</v>
      </c>
      <c r="AC6" s="10">
        <v>137.27000000000001</v>
      </c>
      <c r="AD6" s="2">
        <f t="shared" si="0"/>
        <v>1.5600000000000023</v>
      </c>
      <c r="AE6" s="138">
        <f t="shared" si="1"/>
        <v>4.7577221490264776E-3</v>
      </c>
      <c r="AI6" t="s">
        <v>170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187</v>
      </c>
      <c r="Q7" s="2">
        <f>Q10+Q8</f>
        <v>176.70000000000073</v>
      </c>
      <c r="R7">
        <v>0</v>
      </c>
      <c r="W7" s="133">
        <v>42608</v>
      </c>
      <c r="X7" s="10">
        <v>137.66999999999999</v>
      </c>
      <c r="Y7" s="10">
        <v>138.30000000000001</v>
      </c>
      <c r="Z7" s="10">
        <v>135.99</v>
      </c>
      <c r="AA7" s="10">
        <v>136.62</v>
      </c>
      <c r="AB7" s="95">
        <v>3082400</v>
      </c>
      <c r="AC7" s="10">
        <v>136.62</v>
      </c>
      <c r="AD7" s="2">
        <f t="shared" si="0"/>
        <v>2.3100000000000023</v>
      </c>
      <c r="AE7" s="138">
        <f t="shared" si="1"/>
        <v>-4.9526584122360218E-3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42607</v>
      </c>
      <c r="X8" s="10">
        <v>139.75</v>
      </c>
      <c r="Y8" s="10">
        <v>139.75</v>
      </c>
      <c r="Z8" s="10">
        <v>137.03</v>
      </c>
      <c r="AA8" s="10">
        <v>137.30000000000001</v>
      </c>
      <c r="AB8" s="95">
        <v>3891000</v>
      </c>
      <c r="AC8" s="10">
        <v>137.30000000000001</v>
      </c>
      <c r="AD8" s="2">
        <f t="shared" si="0"/>
        <v>2.7199999999999989</v>
      </c>
      <c r="AE8" s="138">
        <f t="shared" si="1"/>
        <v>-1.8374204618574308E-2</v>
      </c>
    </row>
    <row r="9" spans="1:43" x14ac:dyDescent="0.25">
      <c r="O9" s="11" t="s">
        <v>224</v>
      </c>
      <c r="Q9" s="138">
        <f>IF(Q2=0, 0, Q8/Q6)</f>
        <v>0</v>
      </c>
      <c r="W9" s="133">
        <v>42606</v>
      </c>
      <c r="X9" s="10">
        <v>142</v>
      </c>
      <c r="Y9" s="10">
        <v>142.08000000000001</v>
      </c>
      <c r="Z9" s="10">
        <v>139.51</v>
      </c>
      <c r="AA9" s="10">
        <v>139.87</v>
      </c>
      <c r="AB9" s="95">
        <v>2529800</v>
      </c>
      <c r="AC9" s="10">
        <v>139.87</v>
      </c>
      <c r="AD9" s="2">
        <f t="shared" si="0"/>
        <v>2.5700000000000216</v>
      </c>
      <c r="AE9" s="138">
        <f t="shared" si="1"/>
        <v>-1.5069361312583518E-2</v>
      </c>
    </row>
    <row r="10" spans="1:43" x14ac:dyDescent="0.25">
      <c r="O10" s="11" t="s">
        <v>223</v>
      </c>
      <c r="P10" s="34"/>
      <c r="Q10" s="2">
        <f>M33</f>
        <v>176.70000000000073</v>
      </c>
      <c r="W10" s="133">
        <v>42605</v>
      </c>
      <c r="X10" s="10">
        <v>142.72999999999999</v>
      </c>
      <c r="Y10" s="10">
        <v>142.87</v>
      </c>
      <c r="Z10" s="10">
        <v>141.75</v>
      </c>
      <c r="AA10" s="10">
        <v>142.01</v>
      </c>
      <c r="AB10" s="95">
        <v>2295500</v>
      </c>
      <c r="AC10" s="10">
        <v>142.01</v>
      </c>
      <c r="AD10" s="2">
        <f t="shared" si="0"/>
        <v>1.1200000000000045</v>
      </c>
      <c r="AE10" s="138">
        <f t="shared" si="1"/>
        <v>-5.6302343585057368E-4</v>
      </c>
    </row>
    <row r="11" spans="1:43" x14ac:dyDescent="0.25">
      <c r="O11" s="11" t="s">
        <v>184</v>
      </c>
      <c r="P11" s="34"/>
      <c r="Q11" s="138">
        <f>IF(U58="N/A (N/A)", 0, VALUE(TRIM(CLEAN(MID(U58, FIND("(", U58)+1, 5)))))</f>
        <v>1.84E-2</v>
      </c>
      <c r="W11" s="133">
        <v>42604</v>
      </c>
      <c r="X11" s="10">
        <v>142.11000000000001</v>
      </c>
      <c r="Y11" s="10">
        <v>143</v>
      </c>
      <c r="Z11" s="10">
        <v>141.71</v>
      </c>
      <c r="AA11" s="10">
        <v>142.09</v>
      </c>
      <c r="AB11" s="95">
        <v>1587900</v>
      </c>
      <c r="AC11" s="10">
        <v>142.09</v>
      </c>
      <c r="AD11" s="2">
        <f t="shared" si="0"/>
        <v>1.289999999999992</v>
      </c>
      <c r="AE11" s="138">
        <f t="shared" si="1"/>
        <v>3.5201351731917185E-4</v>
      </c>
    </row>
    <row r="12" spans="1:43" x14ac:dyDescent="0.25">
      <c r="W12" s="133">
        <v>42601</v>
      </c>
      <c r="X12" s="10">
        <v>141.65</v>
      </c>
      <c r="Y12" s="10">
        <v>142.25</v>
      </c>
      <c r="Z12" s="10">
        <v>141.22</v>
      </c>
      <c r="AA12" s="10">
        <v>142.04</v>
      </c>
      <c r="AB12" s="95">
        <v>1950200</v>
      </c>
      <c r="AC12" s="10">
        <v>142.04</v>
      </c>
      <c r="AD12" s="2">
        <f t="shared" si="0"/>
        <v>1.0300000000000011</v>
      </c>
      <c r="AE12" s="138">
        <f t="shared" si="1"/>
        <v>-9.1439825560946097E-4</v>
      </c>
    </row>
    <row r="13" spans="1:43" x14ac:dyDescent="0.25">
      <c r="W13" s="133">
        <v>42600</v>
      </c>
      <c r="X13" s="10">
        <v>141.66999999999999</v>
      </c>
      <c r="Y13" s="10">
        <v>142.84</v>
      </c>
      <c r="Z13" s="10">
        <v>141.27000000000001</v>
      </c>
      <c r="AA13" s="10">
        <v>142.16999999999999</v>
      </c>
      <c r="AB13" s="95">
        <v>1572700</v>
      </c>
      <c r="AC13" s="10">
        <v>142.16999999999999</v>
      </c>
      <c r="AD13" s="2">
        <f t="shared" si="0"/>
        <v>1.5699999999999932</v>
      </c>
      <c r="AE13" s="138">
        <f t="shared" si="1"/>
        <v>3.24606590925125E-3</v>
      </c>
    </row>
    <row r="14" spans="1:43" x14ac:dyDescent="0.25">
      <c r="W14" s="133">
        <v>42599</v>
      </c>
      <c r="X14" s="10">
        <v>141.29</v>
      </c>
      <c r="Y14" s="10">
        <v>141.91</v>
      </c>
      <c r="Z14" s="10">
        <v>140.66</v>
      </c>
      <c r="AA14" s="10">
        <v>141.71</v>
      </c>
      <c r="AB14" s="95">
        <v>1849100</v>
      </c>
      <c r="AC14" s="10">
        <v>141.71</v>
      </c>
      <c r="AD14" s="2">
        <f t="shared" si="0"/>
        <v>1.25</v>
      </c>
      <c r="AE14" s="138">
        <f t="shared" si="1"/>
        <v>4.4655514601643631E-3</v>
      </c>
    </row>
    <row r="15" spans="1:43" x14ac:dyDescent="0.25">
      <c r="W15" s="133">
        <v>42598</v>
      </c>
      <c r="X15" s="10">
        <v>141.15</v>
      </c>
      <c r="Y15" s="10">
        <v>141.62</v>
      </c>
      <c r="Z15" s="10">
        <v>140.33000000000001</v>
      </c>
      <c r="AA15" s="10">
        <v>141.08000000000001</v>
      </c>
      <c r="AB15" s="95">
        <v>1688500</v>
      </c>
      <c r="AC15" s="10">
        <v>141.08000000000001</v>
      </c>
      <c r="AD15" s="2">
        <f t="shared" si="0"/>
        <v>1.289999999999992</v>
      </c>
      <c r="AE15" s="138">
        <f t="shared" si="1"/>
        <v>-3.8130207597796284E-3</v>
      </c>
    </row>
    <row r="16" spans="1:43" x14ac:dyDescent="0.25">
      <c r="W16" s="133">
        <v>42597</v>
      </c>
      <c r="X16" s="10">
        <v>142.96</v>
      </c>
      <c r="Y16" s="10">
        <v>143.11000000000001</v>
      </c>
      <c r="Z16" s="10">
        <v>141.49</v>
      </c>
      <c r="AA16" s="10">
        <v>141.62</v>
      </c>
      <c r="AB16" s="95">
        <v>2369600</v>
      </c>
      <c r="AC16" s="10">
        <v>141.62</v>
      </c>
      <c r="AD16" s="2">
        <f t="shared" si="0"/>
        <v>1.6200000000000045</v>
      </c>
      <c r="AE16" s="138">
        <f t="shared" si="1"/>
        <v>-8.8185890257558297E-3</v>
      </c>
    </row>
    <row r="17" spans="1:31" x14ac:dyDescent="0.25">
      <c r="W17" s="133">
        <v>42594</v>
      </c>
      <c r="X17" s="10">
        <v>142.16</v>
      </c>
      <c r="Y17" s="10">
        <v>143.13999999999999</v>
      </c>
      <c r="Z17" s="10">
        <v>141.5</v>
      </c>
      <c r="AA17" s="10">
        <v>142.88</v>
      </c>
      <c r="AB17" s="95">
        <v>1787900</v>
      </c>
      <c r="AC17" s="10">
        <v>142.88</v>
      </c>
      <c r="AD17" s="2">
        <f t="shared" si="0"/>
        <v>1.6399999999999864</v>
      </c>
      <c r="AE17" s="138">
        <f t="shared" si="1"/>
        <v>1.7527869312206068E-3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42593</v>
      </c>
      <c r="X18" s="10">
        <v>142.24</v>
      </c>
      <c r="Y18" s="10">
        <v>143.06</v>
      </c>
      <c r="Z18" s="10">
        <v>141.44</v>
      </c>
      <c r="AA18" s="10">
        <v>142.63</v>
      </c>
      <c r="AB18" s="95">
        <v>1857500</v>
      </c>
      <c r="AC18" s="10">
        <v>142.63</v>
      </c>
      <c r="AD18" s="2">
        <f t="shared" si="0"/>
        <v>1.6200000000000045</v>
      </c>
      <c r="AE18" s="138">
        <f t="shared" si="1"/>
        <v>3.0944510865742458E-3</v>
      </c>
    </row>
    <row r="19" spans="1:31" x14ac:dyDescent="0.25">
      <c r="W19" s="133">
        <v>42592</v>
      </c>
      <c r="X19" s="10">
        <v>141.87</v>
      </c>
      <c r="Y19" s="10">
        <v>142.34</v>
      </c>
      <c r="Z19" s="10">
        <v>140.93</v>
      </c>
      <c r="AA19" s="10">
        <v>142.19</v>
      </c>
      <c r="AB19" s="95">
        <v>1866300</v>
      </c>
      <c r="AC19" s="10">
        <v>142.19</v>
      </c>
      <c r="AD19" s="2">
        <f t="shared" si="0"/>
        <v>1.4099999999999966</v>
      </c>
      <c r="AE19" s="138">
        <f t="shared" si="1"/>
        <v>2.608940911013935E-3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42591</v>
      </c>
      <c r="X20" s="10">
        <v>142.55000000000001</v>
      </c>
      <c r="Y20" s="10">
        <v>143.13</v>
      </c>
      <c r="Z20" s="10">
        <v>141.68</v>
      </c>
      <c r="AA20" s="10">
        <v>141.82</v>
      </c>
      <c r="AB20" s="95">
        <v>2140700</v>
      </c>
      <c r="AC20" s="10">
        <v>141.82</v>
      </c>
      <c r="AD20" s="2">
        <f t="shared" si="0"/>
        <v>1.4499999999999886</v>
      </c>
      <c r="AE20" s="138">
        <f t="shared" si="1"/>
        <v>-2.1811018082037448E-3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42590</v>
      </c>
      <c r="X21" s="10">
        <v>142.61000000000001</v>
      </c>
      <c r="Y21" s="10">
        <v>143.07</v>
      </c>
      <c r="Z21" s="10">
        <v>141.86000000000001</v>
      </c>
      <c r="AA21" s="10">
        <v>142.13</v>
      </c>
      <c r="AB21" s="95">
        <v>1846400</v>
      </c>
      <c r="AC21" s="10">
        <v>142.13</v>
      </c>
      <c r="AD21" s="2">
        <f t="shared" si="0"/>
        <v>1.2099999999999795</v>
      </c>
      <c r="AE21" s="138">
        <f t="shared" si="1"/>
        <v>-6.014406601860367E-3</v>
      </c>
    </row>
    <row r="22" spans="1:31" x14ac:dyDescent="0.25">
      <c r="B22" s="193">
        <v>42328</v>
      </c>
      <c r="C22" s="10">
        <v>0</v>
      </c>
      <c r="D22" s="202" t="s">
        <v>130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42587</v>
      </c>
      <c r="X22" s="10">
        <v>143.33000000000001</v>
      </c>
      <c r="Y22" s="10">
        <v>143.54</v>
      </c>
      <c r="Z22" s="10">
        <v>142.4</v>
      </c>
      <c r="AA22" s="10">
        <v>142.99</v>
      </c>
      <c r="AB22" s="95">
        <v>2000100</v>
      </c>
      <c r="AC22" s="10">
        <v>142.99</v>
      </c>
      <c r="AD22" s="2">
        <f t="shared" si="0"/>
        <v>1.1399999999999864</v>
      </c>
      <c r="AE22" s="138">
        <f t="shared" si="1"/>
        <v>1.9620208815078755E-3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42586</v>
      </c>
      <c r="X23" s="10">
        <v>143.1</v>
      </c>
      <c r="Y23" s="10">
        <v>143.47999999999999</v>
      </c>
      <c r="Z23" s="10">
        <v>142.26</v>
      </c>
      <c r="AA23" s="10">
        <v>142.71</v>
      </c>
      <c r="AB23" s="95">
        <v>1890900</v>
      </c>
      <c r="AC23" s="10">
        <v>142.71</v>
      </c>
      <c r="AD23" s="2">
        <f t="shared" si="0"/>
        <v>1.2199999999999989</v>
      </c>
      <c r="AE23" s="138">
        <f t="shared" si="1"/>
        <v>-1.1898096304590045E-3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42585</v>
      </c>
      <c r="X24" s="10">
        <v>143.33000000000001</v>
      </c>
      <c r="Y24" s="10">
        <v>143.62</v>
      </c>
      <c r="Z24" s="10">
        <v>142.43</v>
      </c>
      <c r="AA24" s="10">
        <v>142.88</v>
      </c>
      <c r="AB24" s="95">
        <v>1963600</v>
      </c>
      <c r="AC24" s="10">
        <v>142.88</v>
      </c>
      <c r="AD24" s="2">
        <f t="shared" si="0"/>
        <v>1.1899999999999977</v>
      </c>
      <c r="AE24" s="138">
        <f t="shared" si="1"/>
        <v>-2.0255640148074683E-3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42584</v>
      </c>
      <c r="X25" s="10">
        <v>143.81</v>
      </c>
      <c r="Y25" s="10">
        <v>143.97</v>
      </c>
      <c r="Z25" s="10">
        <v>142.34</v>
      </c>
      <c r="AA25" s="10">
        <v>143.16999999999999</v>
      </c>
      <c r="AB25" s="95">
        <v>2679100</v>
      </c>
      <c r="AC25" s="10">
        <v>143.16999999999999</v>
      </c>
      <c r="AD25" s="2">
        <f t="shared" si="0"/>
        <v>1.6299999999999955</v>
      </c>
      <c r="AE25" s="138">
        <f t="shared" si="1"/>
        <v>-2.3691728799386524E-3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42583</v>
      </c>
      <c r="X26" s="10">
        <v>143.41999999999999</v>
      </c>
      <c r="Y26" s="10">
        <v>144.16</v>
      </c>
      <c r="Z26" s="10">
        <v>143.04</v>
      </c>
      <c r="AA26" s="10">
        <v>143.51</v>
      </c>
      <c r="AB26" s="95">
        <v>2494900</v>
      </c>
      <c r="AC26" s="10">
        <v>143.51</v>
      </c>
      <c r="AD26" s="2">
        <f t="shared" si="0"/>
        <v>1.1200000000000045</v>
      </c>
      <c r="AE26" s="138">
        <f t="shared" si="1"/>
        <v>2.1648044692736956E-3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42580</v>
      </c>
      <c r="X27" s="10">
        <v>141.85</v>
      </c>
      <c r="Y27" s="10">
        <v>143.9</v>
      </c>
      <c r="Z27" s="10">
        <v>141.6</v>
      </c>
      <c r="AA27" s="10">
        <v>143.19999999999999</v>
      </c>
      <c r="AB27" s="95">
        <v>3269700</v>
      </c>
      <c r="AC27" s="10">
        <v>143.19999999999999</v>
      </c>
      <c r="AD27" s="2">
        <f t="shared" si="0"/>
        <v>2.3000000000000114</v>
      </c>
      <c r="AE27" s="138">
        <f t="shared" si="1"/>
        <v>3.0820958251611685E-3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42579</v>
      </c>
      <c r="X28" s="10">
        <v>141.36000000000001</v>
      </c>
      <c r="Y28" s="10">
        <v>143.03</v>
      </c>
      <c r="Z28" s="10">
        <v>141.19</v>
      </c>
      <c r="AA28" s="10">
        <v>142.76</v>
      </c>
      <c r="AB28" s="95">
        <v>2517000</v>
      </c>
      <c r="AC28" s="10">
        <v>142.76</v>
      </c>
      <c r="AD28" s="2">
        <f t="shared" si="0"/>
        <v>1.8400000000000034</v>
      </c>
      <c r="AE28" s="138">
        <f t="shared" si="1"/>
        <v>7.622811970637855E-3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42578</v>
      </c>
      <c r="X29" s="10">
        <v>141.16999999999999</v>
      </c>
      <c r="Y29" s="10">
        <v>142.34</v>
      </c>
      <c r="Z29" s="10">
        <v>139.91</v>
      </c>
      <c r="AA29" s="10">
        <v>141.68</v>
      </c>
      <c r="AB29" s="95">
        <v>2684100</v>
      </c>
      <c r="AC29" s="10">
        <v>141.68</v>
      </c>
      <c r="AD29" s="2">
        <f t="shared" si="0"/>
        <v>2.4300000000000068</v>
      </c>
      <c r="AE29" s="138">
        <f t="shared" si="1"/>
        <v>-1.4114326040914893E-4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42577</v>
      </c>
      <c r="X30" s="10">
        <v>141.94</v>
      </c>
      <c r="Y30" s="10">
        <v>142.19</v>
      </c>
      <c r="Z30" s="10">
        <v>141.02000000000001</v>
      </c>
      <c r="AA30" s="10">
        <v>141.69999999999999</v>
      </c>
      <c r="AB30" s="95">
        <v>2668100</v>
      </c>
      <c r="AC30" s="10">
        <v>141.69999999999999</v>
      </c>
      <c r="AD30" s="2">
        <f t="shared" si="0"/>
        <v>1.1699999999999875</v>
      </c>
      <c r="AE30" s="138">
        <f t="shared" si="1"/>
        <v>-2.1167007690681139E-4</v>
      </c>
    </row>
    <row r="31" spans="1:31" x14ac:dyDescent="0.25">
      <c r="G31" s="3"/>
      <c r="H31" s="233"/>
      <c r="W31" s="133">
        <v>42576</v>
      </c>
      <c r="X31" s="10">
        <v>143.55000000000001</v>
      </c>
      <c r="Y31" s="10">
        <v>143.88999999999999</v>
      </c>
      <c r="Z31" s="10">
        <v>141.41</v>
      </c>
      <c r="AA31" s="10">
        <v>141.72999999999999</v>
      </c>
      <c r="AB31" s="95">
        <v>2725600</v>
      </c>
      <c r="AC31" s="10">
        <v>141.72999999999999</v>
      </c>
      <c r="AD31" s="2">
        <f t="shared" si="0"/>
        <v>2.4799999999999898</v>
      </c>
      <c r="AE31" s="138">
        <f t="shared" si="1"/>
        <v>-1.3640476024775583E-2</v>
      </c>
    </row>
    <row r="32" spans="1:31" x14ac:dyDescent="0.25">
      <c r="W32" s="133">
        <v>42573</v>
      </c>
      <c r="X32" s="10">
        <v>143.69</v>
      </c>
      <c r="Y32" s="10">
        <v>144.05000000000001</v>
      </c>
      <c r="Z32" s="10">
        <v>142.91999999999999</v>
      </c>
      <c r="AA32" s="10">
        <v>143.69</v>
      </c>
      <c r="AB32" s="95">
        <v>2697500</v>
      </c>
      <c r="AC32" s="10">
        <v>143.69</v>
      </c>
      <c r="AD32" s="2">
        <f t="shared" si="0"/>
        <v>1.1300000000000239</v>
      </c>
      <c r="AE32" s="138">
        <f t="shared" si="1"/>
        <v>5.7394834464896682E-3</v>
      </c>
    </row>
    <row r="33" spans="1:31" x14ac:dyDescent="0.25">
      <c r="L33" t="s">
        <v>223</v>
      </c>
      <c r="M33" s="2">
        <f>M44+K44-F44</f>
        <v>176.70000000000073</v>
      </c>
      <c r="W33" s="133">
        <v>42572</v>
      </c>
      <c r="X33" s="10">
        <v>142.71</v>
      </c>
      <c r="Y33" s="10">
        <v>143.72999999999999</v>
      </c>
      <c r="Z33" s="10">
        <v>142.13</v>
      </c>
      <c r="AA33" s="10">
        <v>142.87</v>
      </c>
      <c r="AB33" s="95">
        <v>3475100</v>
      </c>
      <c r="AC33" s="10">
        <v>142.87</v>
      </c>
      <c r="AD33" s="2">
        <f t="shared" si="0"/>
        <v>1.5999999999999943</v>
      </c>
      <c r="AE33" s="138">
        <f t="shared" si="1"/>
        <v>-1.0488043630262345E-3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42571</v>
      </c>
      <c r="X34" s="10">
        <v>143.47</v>
      </c>
      <c r="Y34" s="10">
        <v>144.47999999999999</v>
      </c>
      <c r="Z34" s="10">
        <v>142.81</v>
      </c>
      <c r="AA34" s="10">
        <v>143.02000000000001</v>
      </c>
      <c r="AB34" s="95">
        <v>5489800</v>
      </c>
      <c r="AC34" s="10">
        <v>143.02000000000001</v>
      </c>
      <c r="AD34" s="2">
        <f t="shared" si="0"/>
        <v>1.6699999999999875</v>
      </c>
      <c r="AE34" s="138">
        <f t="shared" si="1"/>
        <v>3.0156392453888348E-3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42570</v>
      </c>
      <c r="X35" s="10">
        <v>140.75</v>
      </c>
      <c r="Y35" s="10">
        <v>142.63</v>
      </c>
      <c r="Z35" s="10">
        <v>139.32</v>
      </c>
      <c r="AA35" s="10">
        <v>142.59</v>
      </c>
      <c r="AB35" s="95">
        <v>5326200</v>
      </c>
      <c r="AC35" s="10">
        <v>142.59</v>
      </c>
      <c r="AD35" s="2">
        <f t="shared" si="0"/>
        <v>3.3100000000000023</v>
      </c>
      <c r="AE35" s="138">
        <f t="shared" si="1"/>
        <v>1.3072824156305618E-2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42569</v>
      </c>
      <c r="X36" s="10">
        <v>141.76</v>
      </c>
      <c r="Y36" s="10">
        <v>141.9</v>
      </c>
      <c r="Z36" s="10">
        <v>139.62</v>
      </c>
      <c r="AA36" s="10">
        <v>140.75</v>
      </c>
      <c r="AB36" s="95">
        <v>4166300</v>
      </c>
      <c r="AC36" s="10">
        <v>140.75</v>
      </c>
      <c r="AD36" s="2">
        <f t="shared" si="0"/>
        <v>2.2800000000000011</v>
      </c>
      <c r="AE36" s="138">
        <f t="shared" si="1"/>
        <v>-4.1038703743013771E-3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42566</v>
      </c>
      <c r="X37" s="10">
        <v>141.65</v>
      </c>
      <c r="Y37" s="10">
        <v>142.78</v>
      </c>
      <c r="Z37" s="10">
        <v>141.06</v>
      </c>
      <c r="AA37" s="10">
        <v>141.33000000000001</v>
      </c>
      <c r="AB37" s="95">
        <v>3748700</v>
      </c>
      <c r="AC37" s="10">
        <v>141.33000000000001</v>
      </c>
      <c r="AD37" s="2">
        <f t="shared" si="0"/>
        <v>1.7199999999999989</v>
      </c>
      <c r="AE37" s="138">
        <f t="shared" si="1"/>
        <v>3.4791252485089075E-3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42565</v>
      </c>
      <c r="X38" s="10">
        <v>142.38999999999999</v>
      </c>
      <c r="Y38" s="10">
        <v>142.85</v>
      </c>
      <c r="Z38" s="10">
        <v>140.47</v>
      </c>
      <c r="AA38" s="10">
        <v>140.84</v>
      </c>
      <c r="AB38" s="95">
        <v>3000700</v>
      </c>
      <c r="AC38" s="10">
        <v>140.84</v>
      </c>
      <c r="AD38" s="2">
        <f t="shared" si="0"/>
        <v>2.3799999999999955</v>
      </c>
      <c r="AE38" s="138">
        <f t="shared" si="1"/>
        <v>-4.523607577042621E-3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42564</v>
      </c>
      <c r="X39" s="10">
        <v>140.96</v>
      </c>
      <c r="Y39" s="10">
        <v>141.59</v>
      </c>
      <c r="Z39" s="10">
        <v>139.91999999999999</v>
      </c>
      <c r="AA39" s="10">
        <v>141.47999999999999</v>
      </c>
      <c r="AB39" s="95">
        <v>3164700</v>
      </c>
      <c r="AC39" s="10">
        <v>141.47999999999999</v>
      </c>
      <c r="AD39" s="2">
        <f t="shared" si="0"/>
        <v>1.6700000000000159</v>
      </c>
      <c r="AE39" s="138">
        <f t="shared" si="1"/>
        <v>1.1583011583011338E-2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42563</v>
      </c>
      <c r="X40" s="10">
        <v>140.88999999999999</v>
      </c>
      <c r="Y40" s="10">
        <v>140.94999999999999</v>
      </c>
      <c r="Z40" s="10">
        <v>139.37</v>
      </c>
      <c r="AA40" s="10">
        <v>139.86000000000001</v>
      </c>
      <c r="AB40" s="95">
        <v>4310100</v>
      </c>
      <c r="AC40" s="10">
        <v>139.86000000000001</v>
      </c>
      <c r="AD40" s="2">
        <f t="shared" si="0"/>
        <v>1.5799999999999841</v>
      </c>
      <c r="AE40" s="138">
        <f t="shared" si="1"/>
        <v>-3.2782212086657214E-3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545" t="s">
        <v>78</v>
      </c>
      <c r="P41" s="545"/>
      <c r="Q41" s="34"/>
      <c r="W41" s="133">
        <v>42562</v>
      </c>
      <c r="X41" s="10">
        <v>141.27000000000001</v>
      </c>
      <c r="Y41" s="10">
        <v>141.6</v>
      </c>
      <c r="Z41" s="10">
        <v>140.01</v>
      </c>
      <c r="AA41" s="10">
        <v>140.32</v>
      </c>
      <c r="AB41" s="95">
        <v>4084000</v>
      </c>
      <c r="AC41" s="10">
        <v>140.32</v>
      </c>
      <c r="AD41" s="2">
        <f t="shared" si="0"/>
        <v>1.5900000000000034</v>
      </c>
      <c r="AE41" s="138">
        <f t="shared" si="1"/>
        <v>-6.7247115452679918E-3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149.56700000000001</v>
      </c>
      <c r="Q42" s="34"/>
      <c r="T42" s="91" t="s">
        <v>113</v>
      </c>
      <c r="W42" s="133">
        <v>42559</v>
      </c>
      <c r="X42" s="10">
        <v>141.69999999999999</v>
      </c>
      <c r="Y42" s="10">
        <v>141.78</v>
      </c>
      <c r="Z42" s="10">
        <v>139.55000000000001</v>
      </c>
      <c r="AA42" s="10">
        <v>141.27000000000001</v>
      </c>
      <c r="AB42" s="95">
        <v>3605500</v>
      </c>
      <c r="AC42" s="10">
        <v>141.27000000000001</v>
      </c>
      <c r="AD42" s="2">
        <f t="shared" si="0"/>
        <v>2.2299999999999898</v>
      </c>
      <c r="AE42" s="138">
        <f t="shared" si="1"/>
        <v>3.3380681818182545E-3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148.2073</v>
      </c>
      <c r="Q43" s="34"/>
      <c r="T43" s="128" t="s">
        <v>98</v>
      </c>
      <c r="U43" s="98">
        <v>135.74</v>
      </c>
      <c r="W43" s="133">
        <v>42558</v>
      </c>
      <c r="X43" s="10">
        <v>142.37</v>
      </c>
      <c r="Y43" s="10">
        <v>142.66</v>
      </c>
      <c r="Z43" s="10">
        <v>139.94999999999999</v>
      </c>
      <c r="AA43" s="10">
        <v>140.80000000000001</v>
      </c>
      <c r="AB43" s="95">
        <v>3515500</v>
      </c>
      <c r="AC43" s="10">
        <v>140.80000000000001</v>
      </c>
      <c r="AD43" s="2">
        <f t="shared" si="0"/>
        <v>2.710000000000008</v>
      </c>
      <c r="AE43" s="138">
        <f t="shared" si="1"/>
        <v>-1.1097064194409256E-2</v>
      </c>
    </row>
    <row r="44" spans="1:31" x14ac:dyDescent="0.25">
      <c r="A44" s="422" t="s">
        <v>81</v>
      </c>
      <c r="B44" s="423"/>
      <c r="C44" s="423">
        <f>SUM(C35:C40)</f>
        <v>70</v>
      </c>
      <c r="D44" s="424"/>
      <c r="E44" s="424"/>
      <c r="F44" s="424">
        <f>SUM(F35:F40)</f>
        <v>8027.9</v>
      </c>
      <c r="G44" s="424"/>
      <c r="H44" s="425">
        <f>SUM(H35:H39)</f>
        <v>70</v>
      </c>
      <c r="I44" s="424"/>
      <c r="J44" s="424"/>
      <c r="K44" s="424">
        <f>SUM(K35:K39)</f>
        <v>8192.1</v>
      </c>
      <c r="L44" s="424"/>
      <c r="M44" s="424">
        <f>SUM(M35:M38)</f>
        <v>12.5</v>
      </c>
      <c r="O44" s="83">
        <v>1.08</v>
      </c>
      <c r="P44" s="83">
        <f t="shared" si="5"/>
        <v>146.8476</v>
      </c>
      <c r="Q44" s="34"/>
      <c r="T44" s="93" t="s">
        <v>99</v>
      </c>
      <c r="U44" s="88">
        <v>136.5</v>
      </c>
      <c r="W44" s="133">
        <v>42557</v>
      </c>
      <c r="X44" s="10">
        <v>140.97999999999999</v>
      </c>
      <c r="Y44" s="10">
        <v>142.96</v>
      </c>
      <c r="Z44" s="10">
        <v>140.97</v>
      </c>
      <c r="AA44" s="10">
        <v>142.38</v>
      </c>
      <c r="AB44" s="95">
        <v>4083300</v>
      </c>
      <c r="AC44" s="10">
        <v>142.38</v>
      </c>
      <c r="AD44" s="2">
        <f t="shared" si="0"/>
        <v>1.9900000000000091</v>
      </c>
      <c r="AE44" s="138">
        <f t="shared" si="1"/>
        <v>5.7925967787511023E-3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145.4879</v>
      </c>
      <c r="Q45" s="83"/>
      <c r="T45" s="93" t="s">
        <v>100</v>
      </c>
      <c r="U45" s="88" t="s">
        <v>485</v>
      </c>
      <c r="W45" s="133">
        <v>42556</v>
      </c>
      <c r="X45" s="10">
        <v>140.15</v>
      </c>
      <c r="Y45" s="10">
        <v>141.91</v>
      </c>
      <c r="Z45" s="10">
        <v>140.03</v>
      </c>
      <c r="AA45" s="10">
        <v>141.56</v>
      </c>
      <c r="AB45" s="95">
        <v>3749300</v>
      </c>
      <c r="AC45" s="10">
        <v>141.56</v>
      </c>
      <c r="AD45" s="2">
        <f t="shared" si="0"/>
        <v>1.8799999999999955</v>
      </c>
      <c r="AE45" s="138">
        <f t="shared" si="1"/>
        <v>4.9694732358369631E-3</v>
      </c>
    </row>
    <row r="46" spans="1:31" x14ac:dyDescent="0.25">
      <c r="O46" s="83">
        <v>1.06</v>
      </c>
      <c r="P46" s="83">
        <f t="shared" si="5"/>
        <v>144.12819999999999</v>
      </c>
      <c r="Q46" s="83"/>
      <c r="T46" s="93" t="s">
        <v>101</v>
      </c>
      <c r="U46" s="88" t="s">
        <v>486</v>
      </c>
      <c r="W46" s="133">
        <v>42552</v>
      </c>
      <c r="X46" s="10">
        <v>141.16</v>
      </c>
      <c r="Y46" s="10">
        <v>141.79</v>
      </c>
      <c r="Z46" s="10">
        <v>140.62</v>
      </c>
      <c r="AA46" s="10">
        <v>140.86000000000001</v>
      </c>
      <c r="AB46" s="95">
        <v>2882500</v>
      </c>
      <c r="AC46" s="10">
        <v>140.86000000000001</v>
      </c>
      <c r="AD46" s="2">
        <f t="shared" si="0"/>
        <v>1.1699999999999875</v>
      </c>
      <c r="AE46" s="138">
        <f t="shared" si="1"/>
        <v>-2.4079320113312708E-3</v>
      </c>
    </row>
    <row r="47" spans="1:31" x14ac:dyDescent="0.25">
      <c r="O47" s="83">
        <v>1.05</v>
      </c>
      <c r="P47" s="83">
        <f t="shared" si="5"/>
        <v>142.76850000000002</v>
      </c>
      <c r="Q47" s="83"/>
      <c r="T47" s="93" t="s">
        <v>102</v>
      </c>
      <c r="U47" s="88">
        <v>161.32</v>
      </c>
      <c r="W47" s="133">
        <v>42551</v>
      </c>
      <c r="X47" s="10">
        <v>140.68</v>
      </c>
      <c r="Y47" s="10">
        <v>141.31</v>
      </c>
      <c r="Z47" s="10">
        <v>140.24</v>
      </c>
      <c r="AA47" s="10">
        <v>141.19999999999999</v>
      </c>
      <c r="AB47" s="95">
        <v>4730800</v>
      </c>
      <c r="AC47" s="10">
        <v>141.19999999999999</v>
      </c>
      <c r="AD47" s="2">
        <f t="shared" si="0"/>
        <v>1.0699999999999932</v>
      </c>
      <c r="AE47" s="138">
        <f t="shared" si="1"/>
        <v>4.8391688015938517E-3</v>
      </c>
    </row>
    <row r="48" spans="1:31" x14ac:dyDescent="0.25">
      <c r="O48" s="83">
        <v>1.04</v>
      </c>
      <c r="P48" s="83">
        <f t="shared" si="5"/>
        <v>141.40880000000001</v>
      </c>
      <c r="Q48" s="83"/>
      <c r="T48" s="93" t="s">
        <v>103</v>
      </c>
      <c r="U48" s="88">
        <v>0.5484</v>
      </c>
      <c r="W48" s="133">
        <v>42550</v>
      </c>
      <c r="X48" s="10">
        <v>139.80000000000001</v>
      </c>
      <c r="Y48" s="10">
        <v>140.68</v>
      </c>
      <c r="Z48" s="10">
        <v>139.6</v>
      </c>
      <c r="AA48" s="10">
        <v>140.52000000000001</v>
      </c>
      <c r="AB48" s="95">
        <v>3704500</v>
      </c>
      <c r="AC48" s="10">
        <v>140.52000000000001</v>
      </c>
      <c r="AD48" s="2">
        <f t="shared" si="0"/>
        <v>1.0800000000000125</v>
      </c>
      <c r="AE48" s="138">
        <f t="shared" si="1"/>
        <v>1.3048806863239948E-2</v>
      </c>
    </row>
    <row r="49" spans="15:31" x14ac:dyDescent="0.25">
      <c r="O49" s="83">
        <v>1.03</v>
      </c>
      <c r="P49" s="83">
        <f t="shared" si="5"/>
        <v>140.04910000000001</v>
      </c>
      <c r="Q49" s="83"/>
      <c r="T49" s="93" t="s">
        <v>104</v>
      </c>
      <c r="U49" s="88" t="s">
        <v>130</v>
      </c>
      <c r="W49" s="133">
        <v>42549</v>
      </c>
      <c r="X49" s="10">
        <v>138.21</v>
      </c>
      <c r="Y49" s="10">
        <v>139.09</v>
      </c>
      <c r="Z49" s="10">
        <v>137.65</v>
      </c>
      <c r="AA49" s="10">
        <v>138.71</v>
      </c>
      <c r="AB49" s="95">
        <v>4160200</v>
      </c>
      <c r="AC49" s="10">
        <v>138.71</v>
      </c>
      <c r="AD49" s="2">
        <f t="shared" si="0"/>
        <v>1.4399999999999977</v>
      </c>
      <c r="AE49" s="138">
        <f t="shared" si="1"/>
        <v>1.1669462475384584E-2</v>
      </c>
    </row>
    <row r="50" spans="15:31" x14ac:dyDescent="0.25">
      <c r="O50" s="83">
        <v>1.02</v>
      </c>
      <c r="P50" s="83">
        <f t="shared" si="5"/>
        <v>138.68940000000001</v>
      </c>
      <c r="Q50" s="83"/>
      <c r="T50" s="93"/>
      <c r="U50" s="88"/>
      <c r="W50" s="133">
        <v>42548</v>
      </c>
      <c r="X50" s="10">
        <v>136.15</v>
      </c>
      <c r="Y50" s="10">
        <v>137.38999999999999</v>
      </c>
      <c r="Z50" s="10">
        <v>135.47999999999999</v>
      </c>
      <c r="AA50" s="10">
        <v>137.11000000000001</v>
      </c>
      <c r="AB50" s="95">
        <v>3996200</v>
      </c>
      <c r="AC50" s="10">
        <v>137.11000000000001</v>
      </c>
      <c r="AD50" s="2">
        <f t="shared" si="0"/>
        <v>1.9099999999999966</v>
      </c>
      <c r="AE50" s="138">
        <f t="shared" si="1"/>
        <v>-1.3110933061400987E-3</v>
      </c>
    </row>
    <row r="51" spans="15:31" x14ac:dyDescent="0.25">
      <c r="O51" s="83">
        <v>1.01</v>
      </c>
      <c r="P51" s="83">
        <f t="shared" si="5"/>
        <v>137.3297</v>
      </c>
      <c r="Q51" s="83"/>
      <c r="T51" s="93" t="s">
        <v>105</v>
      </c>
      <c r="U51" s="88" t="s">
        <v>487</v>
      </c>
      <c r="W51" s="133">
        <v>42545</v>
      </c>
      <c r="X51" s="10">
        <v>135.66</v>
      </c>
      <c r="Y51" s="10">
        <v>138.62</v>
      </c>
      <c r="Z51" s="10">
        <v>135.15</v>
      </c>
      <c r="AA51" s="10">
        <v>137.29</v>
      </c>
      <c r="AB51" s="95">
        <v>4475100</v>
      </c>
      <c r="AC51" s="10">
        <v>137.29</v>
      </c>
      <c r="AD51" s="2">
        <f t="shared" si="0"/>
        <v>3.4699999999999989</v>
      </c>
      <c r="AE51" s="138">
        <f t="shared" si="1"/>
        <v>-1.365040591996558E-2</v>
      </c>
    </row>
    <row r="52" spans="15:31" x14ac:dyDescent="0.25">
      <c r="O52" s="83">
        <v>1</v>
      </c>
      <c r="P52" s="83">
        <f t="shared" si="5"/>
        <v>135.97</v>
      </c>
      <c r="Q52" s="83"/>
      <c r="T52" s="93" t="s">
        <v>106</v>
      </c>
      <c r="U52" s="88" t="s">
        <v>360</v>
      </c>
      <c r="W52" s="133">
        <v>42544</v>
      </c>
      <c r="X52" s="10">
        <v>139.35</v>
      </c>
      <c r="Y52" s="10">
        <v>139.97999999999999</v>
      </c>
      <c r="Z52" s="10">
        <v>138.01</v>
      </c>
      <c r="AA52" s="10">
        <v>139.19</v>
      </c>
      <c r="AB52" s="95">
        <v>2646800</v>
      </c>
      <c r="AC52" s="10">
        <v>139.19</v>
      </c>
      <c r="AD52" s="2">
        <f t="shared" si="0"/>
        <v>1.9699999999999989</v>
      </c>
      <c r="AE52" s="138">
        <f t="shared" si="1"/>
        <v>9.3546047860768589E-3</v>
      </c>
    </row>
    <row r="53" spans="15:31" x14ac:dyDescent="0.25">
      <c r="O53" s="83">
        <v>0.99</v>
      </c>
      <c r="P53" s="83">
        <f t="shared" si="5"/>
        <v>134.6103</v>
      </c>
      <c r="Q53" s="83"/>
      <c r="T53" s="93" t="s">
        <v>107</v>
      </c>
      <c r="U53" s="90">
        <v>2390462</v>
      </c>
      <c r="W53" s="133">
        <v>42543</v>
      </c>
      <c r="X53" s="10">
        <v>138.44999999999999</v>
      </c>
      <c r="Y53" s="10">
        <v>139.54</v>
      </c>
      <c r="Z53" s="10">
        <v>137.63</v>
      </c>
      <c r="AA53" s="10">
        <v>137.9</v>
      </c>
      <c r="AB53" s="95">
        <v>2375200</v>
      </c>
      <c r="AC53" s="10">
        <v>137.9</v>
      </c>
      <c r="AD53" s="2">
        <f t="shared" si="0"/>
        <v>1.9099999999999966</v>
      </c>
      <c r="AE53" s="138">
        <f t="shared" si="1"/>
        <v>-2.0985599536869071E-3</v>
      </c>
    </row>
    <row r="54" spans="15:31" x14ac:dyDescent="0.25">
      <c r="O54" s="83">
        <v>0.98</v>
      </c>
      <c r="P54" s="83">
        <f t="shared" si="5"/>
        <v>133.25059999999999</v>
      </c>
      <c r="Q54" s="83"/>
      <c r="T54" s="93" t="s">
        <v>110</v>
      </c>
      <c r="U54" s="90">
        <v>3034820</v>
      </c>
      <c r="W54" s="133">
        <v>42542</v>
      </c>
      <c r="X54" s="10">
        <v>139.19999999999999</v>
      </c>
      <c r="Y54" s="10">
        <v>139.22999999999999</v>
      </c>
      <c r="Z54" s="10">
        <v>138.07</v>
      </c>
      <c r="AA54" s="10">
        <v>138.19</v>
      </c>
      <c r="AB54" s="95">
        <v>2021400</v>
      </c>
      <c r="AC54" s="10">
        <v>138.19</v>
      </c>
      <c r="AD54" s="2">
        <f t="shared" si="0"/>
        <v>1.1599999999999966</v>
      </c>
      <c r="AE54" s="138">
        <f t="shared" si="1"/>
        <v>-2.3823274617384982E-3</v>
      </c>
    </row>
    <row r="55" spans="15:31" x14ac:dyDescent="0.25">
      <c r="O55" s="83">
        <v>0.97</v>
      </c>
      <c r="P55" s="83">
        <f t="shared" si="5"/>
        <v>131.89089999999999</v>
      </c>
      <c r="Q55" s="83"/>
      <c r="T55" s="93" t="s">
        <v>108</v>
      </c>
      <c r="U55" s="88" t="s">
        <v>488</v>
      </c>
      <c r="W55" s="133">
        <v>42541</v>
      </c>
      <c r="X55" s="10">
        <v>139.22</v>
      </c>
      <c r="Y55" s="10">
        <v>139.84</v>
      </c>
      <c r="Z55" s="10">
        <v>138.13999999999999</v>
      </c>
      <c r="AA55" s="10">
        <v>138.52000000000001</v>
      </c>
      <c r="AB55" s="95">
        <v>3731700</v>
      </c>
      <c r="AC55" s="10">
        <v>138.52000000000001</v>
      </c>
      <c r="AD55" s="2">
        <f t="shared" si="0"/>
        <v>1.7000000000000171</v>
      </c>
      <c r="AE55" s="138">
        <f t="shared" si="1"/>
        <v>6.0280339893965529E-3</v>
      </c>
    </row>
    <row r="56" spans="15:31" x14ac:dyDescent="0.25">
      <c r="O56" s="83">
        <v>0.96</v>
      </c>
      <c r="P56" s="83">
        <f t="shared" si="5"/>
        <v>130.53119999999998</v>
      </c>
      <c r="Q56" s="83"/>
      <c r="T56" s="93" t="s">
        <v>111</v>
      </c>
      <c r="U56" s="88">
        <v>21.38</v>
      </c>
      <c r="W56" s="133">
        <v>42538</v>
      </c>
      <c r="X56" s="10">
        <v>138.76</v>
      </c>
      <c r="Y56" s="10">
        <v>138.85</v>
      </c>
      <c r="Z56" s="10">
        <v>136.55000000000001</v>
      </c>
      <c r="AA56" s="10">
        <v>137.69</v>
      </c>
      <c r="AB56" s="95">
        <v>4430900</v>
      </c>
      <c r="AC56" s="10">
        <v>137.69</v>
      </c>
      <c r="AD56" s="2">
        <f t="shared" si="0"/>
        <v>2.2999999999999829</v>
      </c>
      <c r="AE56" s="138">
        <f t="shared" si="1"/>
        <v>-6.9955286311841336E-3</v>
      </c>
    </row>
    <row r="57" spans="15:31" x14ac:dyDescent="0.25">
      <c r="O57" s="83">
        <v>0.95</v>
      </c>
      <c r="P57" s="83">
        <f t="shared" si="5"/>
        <v>129.17149999999998</v>
      </c>
      <c r="Q57" s="83"/>
      <c r="T57" s="93" t="s">
        <v>112</v>
      </c>
      <c r="U57" s="88">
        <v>6.39</v>
      </c>
      <c r="W57" s="133">
        <v>42537</v>
      </c>
      <c r="X57" s="10">
        <v>137.21</v>
      </c>
      <c r="Y57" s="10">
        <v>138.88999999999999</v>
      </c>
      <c r="Z57" s="10">
        <v>136.38</v>
      </c>
      <c r="AA57" s="10">
        <v>138.66</v>
      </c>
      <c r="AB57" s="95">
        <v>3176100</v>
      </c>
      <c r="AC57" s="10">
        <v>138.66</v>
      </c>
      <c r="AD57" s="2">
        <f t="shared" si="0"/>
        <v>2.5099999999999909</v>
      </c>
      <c r="AE57" s="138">
        <f t="shared" si="1"/>
        <v>1.0199621156928407E-2</v>
      </c>
    </row>
    <row r="58" spans="15:31" x14ac:dyDescent="0.25">
      <c r="O58" s="83">
        <v>0.94</v>
      </c>
      <c r="P58" s="83">
        <f t="shared" si="5"/>
        <v>127.81179999999999</v>
      </c>
      <c r="Q58" s="83"/>
      <c r="T58" s="93" t="s">
        <v>109</v>
      </c>
      <c r="U58" s="88" t="s">
        <v>582</v>
      </c>
      <c r="W58" s="133">
        <v>42536</v>
      </c>
      <c r="X58" s="10">
        <v>137.74</v>
      </c>
      <c r="Y58" s="10">
        <v>138.16999999999999</v>
      </c>
      <c r="Z58" s="10">
        <v>137.05000000000001</v>
      </c>
      <c r="AA58" s="10">
        <v>137.26</v>
      </c>
      <c r="AB58" s="95">
        <v>2369400</v>
      </c>
      <c r="AC58" s="10">
        <v>137.26</v>
      </c>
      <c r="AD58" s="2">
        <f t="shared" si="0"/>
        <v>1.1199999999999761</v>
      </c>
      <c r="AE58" s="138" t="e">
        <f t="shared" si="1"/>
        <v>#DIV/0!</v>
      </c>
    </row>
    <row r="59" spans="15:31" x14ac:dyDescent="0.25">
      <c r="O59" s="83">
        <v>0.93</v>
      </c>
      <c r="P59" s="83">
        <f t="shared" si="5"/>
        <v>126.4521</v>
      </c>
      <c r="Q59" s="83"/>
      <c r="W59" s="133">
        <v>42536</v>
      </c>
      <c r="X59" s="10" t="s">
        <v>247</v>
      </c>
      <c r="Y59" s="10"/>
      <c r="Z59" s="10"/>
      <c r="AA59" s="10"/>
      <c r="AB59" s="95"/>
      <c r="AC59" s="10"/>
      <c r="AD59" s="2">
        <f t="shared" si="0"/>
        <v>0</v>
      </c>
      <c r="AE59" s="138">
        <f t="shared" si="1"/>
        <v>-1</v>
      </c>
    </row>
    <row r="60" spans="15:31" x14ac:dyDescent="0.25">
      <c r="O60" s="83">
        <v>0.92</v>
      </c>
      <c r="P60" s="83">
        <f t="shared" si="5"/>
        <v>125.0924</v>
      </c>
      <c r="Q60" s="83"/>
      <c r="W60" s="133">
        <v>42535</v>
      </c>
      <c r="X60" s="10">
        <v>137.88</v>
      </c>
      <c r="Y60" s="10">
        <v>138.26</v>
      </c>
      <c r="Z60" s="10">
        <v>137.34</v>
      </c>
      <c r="AA60" s="10">
        <v>137.87</v>
      </c>
      <c r="AB60" s="95">
        <v>2970700</v>
      </c>
      <c r="AC60" s="10">
        <v>137.24</v>
      </c>
      <c r="AD60" s="2">
        <f t="shared" si="0"/>
        <v>0.91999999999998749</v>
      </c>
      <c r="AE60" s="138">
        <f t="shared" si="1"/>
        <v>-1.6004655899898301E-3</v>
      </c>
    </row>
    <row r="61" spans="15:31" x14ac:dyDescent="0.25">
      <c r="O61" s="83">
        <v>0.91</v>
      </c>
      <c r="P61" s="83">
        <f t="shared" si="5"/>
        <v>123.73270000000001</v>
      </c>
      <c r="Q61" s="83"/>
      <c r="W61" s="133">
        <v>42534</v>
      </c>
      <c r="X61" s="10">
        <v>139</v>
      </c>
      <c r="Y61" s="10">
        <v>140.13</v>
      </c>
      <c r="Z61" s="10">
        <v>138.08000000000001</v>
      </c>
      <c r="AA61" s="10">
        <v>138.09</v>
      </c>
      <c r="AB61" s="95">
        <v>2813600</v>
      </c>
      <c r="AC61" s="10">
        <v>137.46</v>
      </c>
      <c r="AD61" s="2">
        <f t="shared" si="0"/>
        <v>2.0499999999999829</v>
      </c>
      <c r="AE61" s="138">
        <f t="shared" si="1"/>
        <v>-8.296659692662911E-3</v>
      </c>
    </row>
    <row r="62" spans="15:31" x14ac:dyDescent="0.25">
      <c r="O62" s="83">
        <v>0.9</v>
      </c>
      <c r="P62" s="83">
        <f t="shared" si="5"/>
        <v>122.373</v>
      </c>
      <c r="Q62" s="83"/>
      <c r="W62" s="133">
        <v>42531</v>
      </c>
      <c r="X62" s="10">
        <v>140.25</v>
      </c>
      <c r="Y62" s="10">
        <v>140.38999999999999</v>
      </c>
      <c r="Z62" s="10">
        <v>138.63999999999999</v>
      </c>
      <c r="AA62" s="10">
        <v>139.24</v>
      </c>
      <c r="AB62" s="95">
        <v>2805800</v>
      </c>
      <c r="AC62" s="10">
        <v>138.61000000000001</v>
      </c>
      <c r="AD62" s="2">
        <f t="shared" si="0"/>
        <v>1.75</v>
      </c>
      <c r="AE62" s="138">
        <f t="shared" si="1"/>
        <v>-1.0211368180519709E-2</v>
      </c>
    </row>
    <row r="63" spans="15:31" x14ac:dyDescent="0.25">
      <c r="O63" s="34"/>
      <c r="W63" s="133">
        <v>42530</v>
      </c>
      <c r="X63" s="10">
        <v>140.49</v>
      </c>
      <c r="Y63" s="10">
        <v>140.87</v>
      </c>
      <c r="Z63" s="10">
        <v>139.54</v>
      </c>
      <c r="AA63" s="10">
        <v>140.68</v>
      </c>
      <c r="AB63" s="95">
        <v>3682400</v>
      </c>
      <c r="AC63" s="10">
        <v>140.04</v>
      </c>
      <c r="AD63" s="2">
        <f t="shared" si="0"/>
        <v>1.3300000000000125</v>
      </c>
      <c r="AE63" s="138">
        <f t="shared" si="1"/>
        <v>2.0034344590726949E-3</v>
      </c>
    </row>
    <row r="64" spans="15:31" x14ac:dyDescent="0.25">
      <c r="O64" s="34"/>
      <c r="W64" s="133">
        <v>42529</v>
      </c>
      <c r="X64" s="10">
        <v>137.27000000000001</v>
      </c>
      <c r="Y64" s="10">
        <v>140.88999999999999</v>
      </c>
      <c r="Z64" s="10">
        <v>137</v>
      </c>
      <c r="AA64" s="10">
        <v>140.4</v>
      </c>
      <c r="AB64" s="95">
        <v>6180800</v>
      </c>
      <c r="AC64" s="10">
        <v>139.76</v>
      </c>
      <c r="AD64" s="2">
        <f t="shared" si="0"/>
        <v>3.8899999999999864</v>
      </c>
      <c r="AE64" s="138">
        <f t="shared" si="1"/>
        <v>2.5234741784037507E-2</v>
      </c>
    </row>
    <row r="65" spans="23:31" x14ac:dyDescent="0.25">
      <c r="W65" s="133">
        <v>42528</v>
      </c>
      <c r="X65" s="10">
        <v>138.16</v>
      </c>
      <c r="Y65" s="10">
        <v>138.5</v>
      </c>
      <c r="Z65" s="10">
        <v>136.88</v>
      </c>
      <c r="AA65" s="10">
        <v>136.94</v>
      </c>
      <c r="AB65" s="95">
        <v>2943200</v>
      </c>
      <c r="AC65" s="10">
        <v>136.32</v>
      </c>
      <c r="AD65" s="2">
        <f t="shared" si="0"/>
        <v>1.6200000000000045</v>
      </c>
      <c r="AE65" s="138">
        <f t="shared" si="1"/>
        <v>-8.7260034904015349E-3</v>
      </c>
    </row>
    <row r="66" spans="23:31" x14ac:dyDescent="0.25">
      <c r="W66" s="133">
        <v>42527</v>
      </c>
      <c r="X66" s="10">
        <v>136.91999999999999</v>
      </c>
      <c r="Y66" s="10">
        <v>138.38999999999999</v>
      </c>
      <c r="Z66" s="10">
        <v>136.51</v>
      </c>
      <c r="AA66" s="10">
        <v>138.15</v>
      </c>
      <c r="AB66" s="95">
        <v>2959900</v>
      </c>
      <c r="AC66" s="10">
        <v>137.52000000000001</v>
      </c>
      <c r="AD66" s="2">
        <f t="shared" si="0"/>
        <v>1.8799999999999955</v>
      </c>
      <c r="AE66" s="138">
        <f t="shared" si="1"/>
        <v>9.5433856996036681E-3</v>
      </c>
    </row>
    <row r="67" spans="23:31" x14ac:dyDescent="0.25">
      <c r="W67" s="133">
        <v>42524</v>
      </c>
      <c r="X67" s="10">
        <v>135.61000000000001</v>
      </c>
      <c r="Y67" s="10">
        <v>137.12</v>
      </c>
      <c r="Z67" s="10">
        <v>135.15</v>
      </c>
      <c r="AA67" s="10">
        <v>136.84</v>
      </c>
      <c r="AB67" s="95">
        <v>3625600</v>
      </c>
      <c r="AC67" s="10">
        <v>136.22</v>
      </c>
      <c r="AD67" s="2">
        <f>Y67-Z67</f>
        <v>1.9699999999999989</v>
      </c>
      <c r="AE67" s="138" t="e">
        <f>AC67/#REF!-1</f>
        <v>#REF!</v>
      </c>
    </row>
    <row r="68" spans="23:31" x14ac:dyDescent="0.25">
      <c r="W68" s="133">
        <v>42523</v>
      </c>
      <c r="X68" s="10">
        <v>134.26</v>
      </c>
      <c r="Y68" s="10">
        <v>136.15</v>
      </c>
      <c r="Z68" s="10">
        <v>134.01</v>
      </c>
      <c r="AA68" s="10">
        <v>136.04</v>
      </c>
      <c r="AB68" s="95">
        <v>4015000</v>
      </c>
      <c r="AC68" s="10">
        <v>135.41999999999999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58" priority="13">
      <formula>F21&gt;0</formula>
    </cfRule>
    <cfRule type="expression" dxfId="57" priority="14">
      <formula>F21&lt;0</formula>
    </cfRule>
  </conditionalFormatting>
  <conditionalFormatting sqref="F22">
    <cfRule type="expression" dxfId="56" priority="11">
      <formula>F22&gt;0</formula>
    </cfRule>
    <cfRule type="expression" dxfId="55" priority="12">
      <formula>F22&lt;0</formula>
    </cfRule>
  </conditionalFormatting>
  <conditionalFormatting sqref="F23:F30">
    <cfRule type="expression" dxfId="54" priority="9">
      <formula>F23&gt;0</formula>
    </cfRule>
    <cfRule type="expression" dxfId="53" priority="10">
      <formula>F23&lt;0</formula>
    </cfRule>
  </conditionalFormatting>
  <conditionalFormatting sqref="H21:H31">
    <cfRule type="expression" dxfId="52" priority="7">
      <formula>H21&gt;0</formula>
    </cfRule>
    <cfRule type="expression" dxfId="51" priority="8">
      <formula>H21&lt;0</formula>
    </cfRule>
  </conditionalFormatting>
  <conditionalFormatting sqref="F24">
    <cfRule type="expression" dxfId="50" priority="5">
      <formula>F24&gt;0</formula>
    </cfRule>
    <cfRule type="expression" dxfId="49" priority="6">
      <formula>F24&lt;0</formula>
    </cfRule>
  </conditionalFormatting>
  <conditionalFormatting sqref="Q8">
    <cfRule type="expression" dxfId="48" priority="1">
      <formula>Q8&gt;0</formula>
    </cfRule>
    <cfRule type="expression" dxfId="47" priority="2">
      <formula>Q8&lt;0</formula>
    </cfRule>
  </conditionalFormatting>
  <conditionalFormatting sqref="Q7">
    <cfRule type="expression" dxfId="46" priority="3">
      <formula>Q7&gt;0</formula>
    </cfRule>
    <cfRule type="expression" dxfId="45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50</vt:i4>
      </vt:variant>
      <vt:variant>
        <vt:lpstr>Named Ranges</vt:lpstr>
      </vt:variant>
      <vt:variant>
        <vt:i4>99</vt:i4>
      </vt:variant>
    </vt:vector>
  </HeadingPairs>
  <TitlesOfParts>
    <vt:vector size="149" baseType="lpstr">
      <vt:lpstr>Balance</vt:lpstr>
      <vt:lpstr>CLOSED</vt:lpstr>
      <vt:lpstr>ACTIVE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CF</vt:lpstr>
      <vt:lpstr>LUV</vt:lpstr>
      <vt:lpstr>AKAM</vt:lpstr>
      <vt:lpstr>MRO</vt:lpstr>
      <vt:lpstr>KR</vt:lpstr>
      <vt:lpstr>F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DAL!hp?s_DAL</vt:lpstr>
      <vt:lpstr>DG!hp?s_dg</vt:lpstr>
      <vt:lpstr>DIS!hp?s_DIS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NKE!hp?s_nke</vt:lpstr>
      <vt:lpstr>NSC!hp?s_NSC</vt:lpstr>
      <vt:lpstr>NWL!hp?s_NWL</vt:lpstr>
      <vt:lpstr>SIG!hp?s_SIG</vt:lpstr>
      <vt:lpstr>PINC!hp?s_SPY_Historical_Prices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CAH!q?s_CAH</vt:lpstr>
      <vt:lpstr>CF!q?s_CF</vt:lpstr>
      <vt:lpstr>CNI!q?s_CNI</vt:lpstr>
      <vt:lpstr>CPN!q?s_CPN</vt:lpstr>
      <vt:lpstr>DAL!q?s_DAL</vt:lpstr>
      <vt:lpstr>DG!q?s_dg</vt:lpstr>
      <vt:lpstr>DIS!q?s_DIS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NKE!q?s_NKE</vt:lpstr>
      <vt:lpstr>NSC!q?s_nsc</vt:lpstr>
      <vt:lpstr>UNP!q?s_NSC</vt:lpstr>
      <vt:lpstr>NWL!q?s_NWL</vt:lpstr>
      <vt:lpstr>SIG!q?s_SIG</vt:lpstr>
      <vt:lpstr>PINC!q?s_SPY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2016-09-07T00:40:14Z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