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4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LUV" sheetId="62" state="hidden" r:id="rId10"/>
    <sheet name="AKAM" sheetId="63" state="hidden" r:id="rId11"/>
    <sheet name="MRO" sheetId="25" r:id="rId12"/>
    <sheet name="KR" sheetId="51" r:id="rId13"/>
    <sheet name="F" sheetId="54" state="hidden" r:id="rId14"/>
    <sheet name="CPN" sheetId="7" r:id="rId15"/>
    <sheet name="NKE" sheetId="50" r:id="rId16"/>
    <sheet name="MOS" sheetId="58" state="hidden" r:id="rId17"/>
    <sheet name="VGK" sheetId="59" state="hidden" r:id="rId18"/>
    <sheet name="MU" sheetId="17" state="hidden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r:id="rId25"/>
    <sheet name="CNI" sheetId="42" state="hidden" r:id="rId26"/>
    <sheet name="WFC" sheetId="45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state="hidden" r:id="rId35"/>
    <sheet name="CAH" sheetId="53" state="hidden" r:id="rId36"/>
    <sheet name="DAL" sheetId="49" r:id="rId37"/>
    <sheet name="DIS" sheetId="34" state="hidden" r:id="rId38"/>
    <sheet name="FTR" sheetId="40" state="hidden" r:id="rId39"/>
    <sheet name="GILD" sheetId="31" state="hidden" r:id="rId40"/>
    <sheet name="WWD" sheetId="28" state="hidden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AA!$W$1:$AC$70</definedName>
    <definedName name="hp?s_AAPL" localSheetId="6">AAPL!$W$1:$AC$70</definedName>
    <definedName name="hp?s_AKAM_Historical_Prices" localSheetId="10">AKAM!$W$1:$AC$68</definedName>
    <definedName name="hp?s_ALL_Historical_Prices" localSheetId="31">ALL!$X$1:$AD$69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F!$W$1:$AC$69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INTC!$W$1:$AC$70</definedName>
    <definedName name="hp?s_IP" localSheetId="19">IP!$W$1:$AC$69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LUV!$W$1:$AC$69</definedName>
    <definedName name="hp?s_MOS_Historical_Prices" localSheetId="16">MOS!$W$1:$AC$69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NSC!$W$1:$AC$70</definedName>
    <definedName name="hp?s_NWL" localSheetId="29">NWL!$W$1:$AC$69</definedName>
    <definedName name="hp?s_SIG" localSheetId="5">SIG!$W$1:$AC$69</definedName>
    <definedName name="hp?s_SPY_Historical_Prices" localSheetId="23">SPY!$W$1:$AC$69</definedName>
    <definedName name="hp?s_SWKS" localSheetId="24">SWKS!$W$1:$AC$70</definedName>
    <definedName name="hp?s_TKR" localSheetId="44">TKR!$W$1:$AC$69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UTX!$W$1:$AC$69</definedName>
    <definedName name="hp?s_vgk" localSheetId="17">VGK!$W$1:$AC$69</definedName>
    <definedName name="hp?s_WFC" localSheetId="26">WFC!$W$1:$AC$70</definedName>
    <definedName name="hp?s_WWD" localSheetId="40">WWD!$W$1:$AC$69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KAM" localSheetId="10">AKAM!$T$43:$U$58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IG" localSheetId="5">SIG!$T$40:$U$55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0" i="35" l="1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L239" i="38"/>
  <c r="L240" i="38"/>
  <c r="L241" i="38"/>
  <c r="L242" i="38"/>
  <c r="L243" i="38"/>
  <c r="L244" i="38"/>
  <c r="L245" i="38"/>
  <c r="L246" i="38"/>
  <c r="L247" i="38"/>
  <c r="G240" i="38"/>
  <c r="G241" i="38"/>
  <c r="G242" i="38"/>
  <c r="G243" i="38"/>
  <c r="G244" i="38"/>
  <c r="G245" i="38"/>
  <c r="G246" i="38"/>
  <c r="G247" i="38"/>
  <c r="G248" i="38"/>
  <c r="D241" i="38"/>
  <c r="D242" i="38"/>
  <c r="D243" i="38"/>
  <c r="D244" i="38"/>
  <c r="D245" i="38"/>
  <c r="D246" i="38"/>
  <c r="D247" i="38"/>
  <c r="D248" i="38"/>
  <c r="E248" i="38"/>
  <c r="H248" i="38"/>
  <c r="K248" i="38"/>
  <c r="L248" i="38" s="1"/>
  <c r="M248" i="38"/>
  <c r="T248" i="38" s="1"/>
  <c r="R248" i="38"/>
  <c r="U248" i="38"/>
  <c r="N248" i="38" l="1"/>
  <c r="O248" i="38"/>
  <c r="F139" i="7"/>
  <c r="H139" i="7"/>
  <c r="G139" i="7"/>
  <c r="F68" i="7"/>
  <c r="F322" i="25" l="1"/>
  <c r="H322" i="25"/>
  <c r="G322" i="25"/>
  <c r="K160" i="25"/>
  <c r="E247" i="38"/>
  <c r="H247" i="38"/>
  <c r="K247" i="38"/>
  <c r="V248" i="38" s="1"/>
  <c r="M247" i="38"/>
  <c r="T247" i="38" s="1"/>
  <c r="R247" i="38"/>
  <c r="F321" i="25"/>
  <c r="H321" i="25"/>
  <c r="G321" i="25"/>
  <c r="K159" i="25"/>
  <c r="F40" i="41"/>
  <c r="G40" i="41"/>
  <c r="H40" i="41"/>
  <c r="K3" i="41"/>
  <c r="F57" i="45"/>
  <c r="H57" i="45"/>
  <c r="G57" i="45"/>
  <c r="K8" i="45"/>
  <c r="G234" i="17"/>
  <c r="F234" i="17"/>
  <c r="H234" i="17"/>
  <c r="N247" i="38" l="1"/>
  <c r="O247" i="38"/>
  <c r="F57" i="52" l="1"/>
  <c r="H57" i="52"/>
  <c r="G57" i="52"/>
  <c r="K8" i="52"/>
  <c r="K125" i="17"/>
  <c r="F320" i="25" l="1"/>
  <c r="H320" i="25"/>
  <c r="G320" i="25"/>
  <c r="K158" i="25"/>
  <c r="F233" i="17"/>
  <c r="H233" i="17"/>
  <c r="G233" i="17"/>
  <c r="K124" i="17"/>
  <c r="F43" i="61"/>
  <c r="H43" i="61"/>
  <c r="G43" i="61"/>
  <c r="F42" i="61"/>
  <c r="H42" i="61"/>
  <c r="G42" i="61"/>
  <c r="F5" i="61"/>
  <c r="F4" i="61"/>
  <c r="F51" i="51"/>
  <c r="H51" i="51"/>
  <c r="G51" i="51"/>
  <c r="F11" i="51"/>
  <c r="C18" i="51"/>
  <c r="F138" i="7"/>
  <c r="H138" i="7"/>
  <c r="G138" i="7"/>
  <c r="F67" i="7"/>
  <c r="F45" i="34"/>
  <c r="H45" i="34"/>
  <c r="G45" i="34"/>
  <c r="F8" i="34"/>
  <c r="E246" i="38"/>
  <c r="H246" i="38"/>
  <c r="K246" i="38"/>
  <c r="M246" i="38"/>
  <c r="T246" i="38" s="1"/>
  <c r="R246" i="38"/>
  <c r="N246" i="38" l="1"/>
  <c r="O246" i="38"/>
  <c r="E245" i="38"/>
  <c r="H245" i="38"/>
  <c r="K245" i="38"/>
  <c r="O245" i="38" s="1"/>
  <c r="M245" i="38"/>
  <c r="T245" i="38" s="1"/>
  <c r="R245" i="38"/>
  <c r="F319" i="25"/>
  <c r="G319" i="25"/>
  <c r="H319" i="25"/>
  <c r="F162" i="25"/>
  <c r="N245" i="38" l="1"/>
  <c r="F56" i="45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18" i="25"/>
  <c r="H318" i="25"/>
  <c r="G318" i="25"/>
  <c r="F161" i="25"/>
  <c r="F124" i="17"/>
  <c r="M74" i="58"/>
  <c r="H74" i="58"/>
  <c r="C74" i="58"/>
  <c r="K58" i="58"/>
  <c r="K74" i="58" s="1"/>
  <c r="F58" i="58"/>
  <c r="F74" i="58" s="1"/>
  <c r="E244" i="38"/>
  <c r="H244" i="38"/>
  <c r="K244" i="38"/>
  <c r="M244" i="38"/>
  <c r="N244" i="38" s="1"/>
  <c r="R244" i="38"/>
  <c r="M75" i="58"/>
  <c r="H75" i="58"/>
  <c r="F75" i="58"/>
  <c r="C75" i="58"/>
  <c r="K75" i="58"/>
  <c r="M56" i="58" l="1"/>
  <c r="Q10" i="58" s="1"/>
  <c r="O244" i="38"/>
  <c r="T244" i="38"/>
  <c r="F317" i="25" l="1"/>
  <c r="H317" i="25"/>
  <c r="G317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M243" i="38"/>
  <c r="T243" i="38" s="1"/>
  <c r="R243" i="38"/>
  <c r="F160" i="25"/>
  <c r="O243" i="38" l="1"/>
  <c r="N243" i="38"/>
  <c r="M73" i="57" l="1"/>
  <c r="H73" i="57"/>
  <c r="C73" i="57"/>
  <c r="K62" i="57"/>
  <c r="F62" i="57"/>
  <c r="K61" i="57"/>
  <c r="F61" i="57"/>
  <c r="K60" i="57"/>
  <c r="F60" i="57"/>
  <c r="K59" i="57"/>
  <c r="F59" i="57"/>
  <c r="K58" i="57"/>
  <c r="F58" i="57"/>
  <c r="K57" i="57"/>
  <c r="F57" i="57"/>
  <c r="K74" i="57"/>
  <c r="M74" i="57"/>
  <c r="C74" i="57"/>
  <c r="F74" i="57"/>
  <c r="H74" i="57"/>
  <c r="K73" i="57" l="1"/>
  <c r="F73" i="57"/>
  <c r="M55" i="57" s="1"/>
  <c r="Q10" i="57" s="1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67" i="31"/>
  <c r="H67" i="31"/>
  <c r="G67" i="31"/>
  <c r="F14" i="31"/>
  <c r="F27" i="63"/>
  <c r="G27" i="63"/>
  <c r="H27" i="63"/>
  <c r="K2" i="63"/>
  <c r="H60" i="49"/>
  <c r="G60" i="49"/>
  <c r="F60" i="49"/>
  <c r="F135" i="7"/>
  <c r="H135" i="7"/>
  <c r="G135" i="7"/>
  <c r="F66" i="7"/>
  <c r="F17" i="49"/>
  <c r="E242" i="38"/>
  <c r="H242" i="38"/>
  <c r="K242" i="38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16" i="25"/>
  <c r="G316" i="25"/>
  <c r="H316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15" i="25"/>
  <c r="G315" i="25"/>
  <c r="H315" i="25"/>
  <c r="F159" i="25"/>
  <c r="F123" i="17"/>
  <c r="G134" i="7"/>
  <c r="K12" i="49"/>
  <c r="F65" i="7"/>
  <c r="K156" i="25"/>
  <c r="F44" i="34"/>
  <c r="G44" i="34"/>
  <c r="H44" i="34"/>
  <c r="F67" i="60"/>
  <c r="C67" i="60"/>
  <c r="F72" i="59"/>
  <c r="H72" i="59"/>
  <c r="K82" i="53"/>
  <c r="K72" i="59"/>
  <c r="M72" i="59"/>
  <c r="K67" i="60"/>
  <c r="C72" i="59"/>
  <c r="C82" i="53"/>
  <c r="M67" i="60"/>
  <c r="F82" i="53"/>
  <c r="M82" i="53"/>
  <c r="H67" i="60"/>
  <c r="H82" i="53"/>
  <c r="F81" i="53" l="1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C19" i="57"/>
  <c r="M19" i="57"/>
  <c r="H19" i="57"/>
  <c r="I240" i="38" l="1"/>
  <c r="K241" i="38" s="1"/>
  <c r="F3" i="63"/>
  <c r="F314" i="25"/>
  <c r="H314" i="25"/>
  <c r="G314" i="25"/>
  <c r="F158" i="25"/>
  <c r="F229" i="17"/>
  <c r="G229" i="17"/>
  <c r="H229" i="17"/>
  <c r="F121" i="17"/>
  <c r="F133" i="7"/>
  <c r="G133" i="7"/>
  <c r="H133" i="7"/>
  <c r="F64" i="7"/>
  <c r="E240" i="38"/>
  <c r="H240" i="38"/>
  <c r="K240" i="38"/>
  <c r="M240" i="38"/>
  <c r="T240" i="38" s="1"/>
  <c r="R240" i="38"/>
  <c r="O241" i="38" l="1"/>
  <c r="O240" i="38"/>
  <c r="N240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13" i="25"/>
  <c r="G313" i="25"/>
  <c r="H313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66" i="31"/>
  <c r="G66" i="31"/>
  <c r="H66" i="31"/>
  <c r="F13" i="31"/>
  <c r="K123" i="17"/>
  <c r="K122" i="17"/>
  <c r="K155" i="25"/>
  <c r="F41" i="55"/>
  <c r="G41" i="55"/>
  <c r="H41" i="55"/>
  <c r="F2" i="63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H19" i="63"/>
  <c r="C19" i="63"/>
  <c r="F19" i="63"/>
  <c r="M19" i="63"/>
  <c r="K19" i="63"/>
  <c r="K73" i="55" l="1"/>
  <c r="Q2" i="63"/>
  <c r="Q3" i="63" s="1"/>
  <c r="Q6" i="63" s="1"/>
  <c r="F73" i="55"/>
  <c r="M55" i="55" s="1"/>
  <c r="Q10" i="55" s="1"/>
  <c r="N239" i="38"/>
  <c r="O239" i="38"/>
  <c r="P248" i="38" s="1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65" i="31"/>
  <c r="G65" i="31"/>
  <c r="H65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12" i="25"/>
  <c r="H312" i="25"/>
  <c r="G312" i="25"/>
  <c r="F157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64" i="31"/>
  <c r="G64" i="31"/>
  <c r="H64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11" i="25" l="1"/>
  <c r="G311" i="25"/>
  <c r="H311" i="25"/>
  <c r="F156" i="25"/>
  <c r="F5" i="41"/>
  <c r="E237" i="38"/>
  <c r="H237" i="38"/>
  <c r="M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10" i="25"/>
  <c r="G310" i="25"/>
  <c r="H310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C19" i="62"/>
  <c r="H19" i="62"/>
  <c r="F19" i="62"/>
  <c r="M19" i="62"/>
  <c r="K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09" i="25"/>
  <c r="H309" i="25"/>
  <c r="G309" i="25"/>
  <c r="K153" i="25"/>
  <c r="F153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08" i="25"/>
  <c r="H308" i="25"/>
  <c r="G308" i="25"/>
  <c r="F152" i="25"/>
  <c r="F151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07" i="25"/>
  <c r="G307" i="25"/>
  <c r="H307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F10" i="45"/>
  <c r="G48" i="52"/>
  <c r="K7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06" i="25"/>
  <c r="H306" i="25"/>
  <c r="G306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05" i="25"/>
  <c r="G305" i="25"/>
  <c r="H305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K5" i="50"/>
  <c r="N229" i="38" l="1"/>
  <c r="O229" i="38"/>
  <c r="F7" i="49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K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/>
  <c r="T227" i="38" s="1"/>
  <c r="K227" i="38" l="1"/>
  <c r="L227" i="38" s="1"/>
  <c r="O227" i="38" s="1"/>
  <c r="R227" i="38"/>
  <c r="O228" i="38"/>
  <c r="N227" i="38"/>
  <c r="F223" i="17" l="1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5" i="52"/>
  <c r="K18" i="52" s="1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31" i="7"/>
  <c r="F131" i="7"/>
  <c r="H131" i="7"/>
  <c r="F63" i="7"/>
  <c r="G222" i="17"/>
  <c r="F119" i="17"/>
  <c r="N224" i="38" l="1"/>
  <c r="O224" i="38"/>
  <c r="H29" i="49"/>
  <c r="C19" i="41"/>
  <c r="H19" i="51"/>
  <c r="M19" i="54"/>
  <c r="F19" i="59"/>
  <c r="C19" i="52"/>
  <c r="M19" i="60"/>
  <c r="C19" i="59"/>
  <c r="K19" i="3"/>
  <c r="M19" i="34"/>
  <c r="F19" i="60"/>
  <c r="F19" i="58"/>
  <c r="M19" i="41"/>
  <c r="C19" i="53"/>
  <c r="H19" i="3"/>
  <c r="M19" i="59"/>
  <c r="K19" i="60"/>
  <c r="K19" i="59"/>
  <c r="K19" i="52"/>
  <c r="M19" i="3"/>
  <c r="M19" i="55"/>
  <c r="M30" i="49"/>
  <c r="C19" i="55"/>
  <c r="K19" i="61"/>
  <c r="C19" i="60"/>
  <c r="F19" i="3"/>
  <c r="H19" i="31"/>
  <c r="C30" i="49"/>
  <c r="H19" i="61"/>
  <c r="H19" i="58"/>
  <c r="M19" i="58"/>
  <c r="M19" i="53"/>
  <c r="H19" i="60"/>
  <c r="H30" i="49"/>
  <c r="C19" i="31"/>
  <c r="C19" i="61"/>
  <c r="H19" i="45"/>
  <c r="C19" i="34"/>
  <c r="H19" i="41"/>
  <c r="C19" i="54"/>
  <c r="M19" i="52"/>
  <c r="H19" i="59"/>
  <c r="M19" i="31"/>
  <c r="H19" i="53"/>
  <c r="M19" i="51"/>
  <c r="K19" i="58"/>
  <c r="C19" i="51"/>
  <c r="C19" i="45"/>
  <c r="M19" i="45"/>
  <c r="C19" i="3"/>
  <c r="H19" i="52"/>
  <c r="H19" i="54"/>
  <c r="H19" i="34"/>
  <c r="C19" i="58"/>
  <c r="H19" i="55"/>
  <c r="F19" i="61"/>
  <c r="M19" i="61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F297" i="25"/>
  <c r="G297" i="25"/>
  <c r="H297" i="25"/>
  <c r="K149" i="25"/>
  <c r="G296" i="25"/>
  <c r="F296" i="25"/>
  <c r="H296" i="25"/>
  <c r="K148" i="25"/>
  <c r="F34" i="55"/>
  <c r="H34" i="55"/>
  <c r="G34" i="55"/>
  <c r="G295" i="25"/>
  <c r="F295" i="25"/>
  <c r="H295" i="25"/>
  <c r="F35" i="57"/>
  <c r="H35" i="57"/>
  <c r="G35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2" i="50"/>
  <c r="K18" i="50" s="1"/>
  <c r="K19" i="50"/>
  <c r="M19" i="50"/>
  <c r="H19" i="50"/>
  <c r="C19" i="50"/>
  <c r="O221" i="38" l="1"/>
  <c r="N221" i="38"/>
  <c r="F26" i="58"/>
  <c r="G26" i="58"/>
  <c r="H26" i="58"/>
  <c r="H80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81" i="7"/>
  <c r="O220" i="38" l="1"/>
  <c r="T220" i="38"/>
  <c r="F38" i="51"/>
  <c r="H38" i="51"/>
  <c r="G38" i="51"/>
  <c r="F54" i="31"/>
  <c r="H54" i="31"/>
  <c r="G54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293" i="25"/>
  <c r="G293" i="25"/>
  <c r="H293" i="25"/>
  <c r="F292" i="25"/>
  <c r="H292" i="25"/>
  <c r="G292" i="25"/>
  <c r="F146" i="25"/>
  <c r="F145" i="25"/>
  <c r="F33" i="57"/>
  <c r="H33" i="57"/>
  <c r="G33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F19" i="41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F9" i="52" l="1"/>
  <c r="K7" i="49" l="1"/>
  <c r="F14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27" i="7"/>
  <c r="F127" i="7"/>
  <c r="H127" i="7"/>
  <c r="G291" i="25"/>
  <c r="F31" i="55"/>
  <c r="H31" i="55"/>
  <c r="G31" i="55"/>
  <c r="F6" i="50"/>
  <c r="F212" i="17"/>
  <c r="H212" i="17"/>
  <c r="G212" i="17"/>
  <c r="F113" i="17"/>
  <c r="F144" i="25"/>
  <c r="F43" i="49"/>
  <c r="H43" i="49"/>
  <c r="G43" i="49"/>
  <c r="F12" i="49"/>
  <c r="F290" i="25"/>
  <c r="H290" i="25"/>
  <c r="G290" i="25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25" i="7" l="1"/>
  <c r="H125" i="7"/>
  <c r="G12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42" i="49"/>
  <c r="H42" i="49"/>
  <c r="G42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123" i="7"/>
  <c r="H123" i="7"/>
  <c r="G123" i="7"/>
  <c r="F60" i="7"/>
  <c r="F34" i="52"/>
  <c r="H34" i="52"/>
  <c r="G34" i="52"/>
  <c r="F7" i="52"/>
  <c r="F40" i="49"/>
  <c r="H40" i="49"/>
  <c r="G40" i="49"/>
  <c r="F10" i="49"/>
  <c r="F139" i="25"/>
  <c r="E210" i="38"/>
  <c r="H210" i="38"/>
  <c r="K210" i="38"/>
  <c r="M210" i="38"/>
  <c r="N210" i="38" s="1"/>
  <c r="R210" i="38"/>
  <c r="F19" i="52"/>
  <c r="L210" i="38" l="1"/>
  <c r="O210" i="38" s="1"/>
  <c r="T210" i="38"/>
  <c r="F29" i="57"/>
  <c r="H29" i="57"/>
  <c r="G29" i="57"/>
  <c r="F51" i="31"/>
  <c r="H51" i="31"/>
  <c r="G51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36" i="49" l="1"/>
  <c r="F28" i="55"/>
  <c r="G28" i="55"/>
  <c r="H28" i="55"/>
  <c r="G36" i="49"/>
  <c r="H36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86" i="49"/>
  <c r="H86" i="49"/>
  <c r="C86" i="49"/>
  <c r="K70" i="49"/>
  <c r="K86" i="49" s="1"/>
  <c r="F70" i="49"/>
  <c r="F86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68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F6" i="52"/>
  <c r="G266" i="25"/>
  <c r="F127" i="25"/>
  <c r="F126" i="25"/>
  <c r="G196" i="17"/>
  <c r="F97" i="17"/>
  <c r="F96" i="17"/>
  <c r="F95" i="17"/>
  <c r="K19" i="55"/>
  <c r="F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18" i="7"/>
  <c r="H118" i="7"/>
  <c r="G11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3" i="50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C135" i="17"/>
  <c r="H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15" i="7"/>
  <c r="H115" i="7"/>
  <c r="G11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80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U247" i="38" s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46" i="38" l="1"/>
  <c r="U245" i="38"/>
  <c r="U244" i="38"/>
  <c r="U243" i="38"/>
  <c r="U241" i="38"/>
  <c r="U242" i="38"/>
  <c r="U240" i="38"/>
  <c r="U239" i="38"/>
  <c r="U238" i="38"/>
  <c r="U234" i="38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V247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46" i="38" l="1"/>
  <c r="V245" i="38"/>
  <c r="V244" i="38"/>
  <c r="V243" i="38"/>
  <c r="V241" i="38"/>
  <c r="V242" i="38"/>
  <c r="V240" i="38"/>
  <c r="V239" i="38"/>
  <c r="V238" i="38"/>
  <c r="V234" i="38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P247" i="38" s="1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46" i="38" l="1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9" i="31"/>
  <c r="F19" i="31"/>
  <c r="F19" i="34"/>
  <c r="K175" i="25"/>
  <c r="F81" i="7"/>
  <c r="K135" i="17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F19" i="5"/>
  <c r="K19" i="5"/>
  <c r="F18" i="32"/>
  <c r="F18" i="28"/>
  <c r="Q8" i="28" s="1"/>
  <c r="Q7" i="28" s="1"/>
  <c r="Q5" i="16"/>
  <c r="Q3" i="16"/>
  <c r="F18" i="34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3" i="34" l="1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<sst xmlns="http://schemas.openxmlformats.org/spreadsheetml/2006/main" count="3908" uniqueCount="588">
  <si>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</si>
  <si>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</si>
  <si>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</si>
  <si>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</si>
  <si>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</si>
  <si>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</si>
  <si>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</si>
  <si>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</si>
  <si>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</si>
  <si>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</si>
  <si>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</si>
  <si>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</si>
  <si>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</si>
  <si>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</si>
  <si>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</si>
  <si>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</si>
  <si>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</si>
  <si>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</si>
  <si>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</si>
  <si>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</si>
  <si>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</si>
  <si>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</si>
  <si>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</si>
  <si>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</si>
  <si>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</si>
  <si>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</si>
  <si>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</si>
  <si>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</si>
  <si>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</si>
  <si>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</si>
  <si>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</si>
  <si>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</si>
  <si>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</si>
  <si>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</si>
  <si>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</si>
  <si>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</si>
  <si>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</si>
  <si>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</si>
  <si>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</si>
  <si>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</si>
  <si>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</si>
  <si>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</si>
  <si>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</si>
  <si>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</si>
  <si>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</si>
  <si>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</si>
  <si>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</si>
  <si>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</si>
  <si>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</si>
  <si>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</si>
  <si>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</si>
  <si>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</si>
  <si>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</si>
  <si>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</si>
  <si>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</si>
  <si>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</si>
  <si>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</si>
  <si>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</si>
  <si>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</si>
  <si>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</si>
  <si>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</si>
  <si>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</si>
  <si>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</si>
  <si>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</si>
  <si>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</si>
  <si>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</si>
  <si>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</si>
  <si>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</si>
  <si>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</si>
  <si>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</si>
  <si>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</si>
  <si>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</si>
  <si>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</si>
  <si>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</si>
  <si>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</si>
  <si>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</si>
  <si>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</si>
  <si>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</si>
  <si>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</si>
  <si>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</si>
  <si>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</si>
  <si>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</si>
  <si>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</si>
  <si>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</si>
  <si>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</si>
  <si>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</si>
  <si>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</si>
  <si>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</si>
  <si>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</si>
  <si>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</si>
  <si>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</si>
  <si>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</si>
  <si>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</si>
  <si>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</si>
  <si>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</si>
  <si>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</si>
  <si>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</si>
  <si>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</si>
  <si>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</si>
  <si>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</si>
  <si>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</si>
  <si>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</si>
  <si>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</si>
  <si>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</si>
  <si>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</si>
  <si>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</si>
  <si>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</si>
  <si>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</si>
  <si>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</si>
  <si>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</si>
  <si>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</si>
  <si>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</si>
  <si>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</si>
  <si>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</si>
  <si>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</si>
  <si>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</si>
  <si>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</si>
  <si>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</si>
  <si>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</si>
  <si>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</si>
  <si>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</si>
  <si>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</si>
  <si>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</si>
  <si>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</si>
  <si>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</si>
  <si>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</si>
  <si>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</si>
  <si>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</si>
  <si>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</si>
  <si>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</si>
  <si>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</si>
  <si>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</si>
  <si>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</si>
  <si>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</si>
  <si>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</si>
  <si>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</si>
  <si>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</si>
  <si>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</si>
  <si>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</si>
  <si>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</si>
  <si>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</si>
  <si>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</si>
  <si>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</si>
  <si>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</si>
  <si>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</si>
  <si>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</si>
  <si>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</si>
  <si>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</si>
  <si>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</si>
  <si>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</si>
  <si>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</si>
  <si>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</si>
  <si>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</si>
  <si>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</si>
  <si>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</si>
  <si>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</si>
  <si>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</si>
  <si>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</si>
  <si>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</si>
  <si>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</si>
  <si>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</si>
  <si>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</si>
  <si>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</si>
  <si>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</si>
  <si>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</si>
  <si>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</si>
  <si>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</si>
  <si>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</si>
  <si>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</si>
  <si>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</si>
  <si>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</si>
  <si>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</si>
  <si>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</si>
  <si>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</si>
  <si>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</si>
  <si>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</si>
  <si>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</si>
  <si>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</si>
  <si>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</si>
  <si>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</si>
  <si>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</si>
  <si>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</si>
  <si>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</si>
  <si>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</si>
  <si>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</si>
  <si>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</si>
  <si>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0.135 Dividend</t>
  </si>
  <si>
    <t>0.19 Dividend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</si>
  <si>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</si>
  <si>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</si>
  <si>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</si>
  <si>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</si>
  <si>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</si>
  <si>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</si>
  <si>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</si>
  <si>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</si>
  <si>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</si>
  <si>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</si>
  <si>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</si>
  <si>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</si>
  <si>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</si>
  <si>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</si>
  <si>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</si>
  <si>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</si>
  <si>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</si>
  <si>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</si>
  <si>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</si>
  <si>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</si>
  <si>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</si>
  <si>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</si>
  <si>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</si>
  <si>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</si>
  <si>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</si>
  <si>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F</t>
  </si>
  <si>
    <t>3000 @ 13.99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</si>
  <si>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</si>
  <si>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</si>
  <si>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</si>
  <si>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</si>
  <si>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</si>
  <si>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</si>
  <si>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</si>
  <si>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4 - Aug 8 (Est.)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</si>
  <si>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</si>
  <si>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</si>
  <si>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</si>
  <si>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</si>
  <si>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</si>
  <si>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</si>
  <si>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</si>
  <si>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</si>
  <si>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</si>
  <si>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</si>
  <si>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</si>
  <si>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</si>
  <si>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</si>
  <si>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</si>
  <si>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</si>
  <si>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</si>
  <si>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</si>
  <si>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</si>
  <si>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</si>
  <si>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</si>
  <si>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</si>
  <si>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</si>
  <si>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</si>
  <si>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</si>
  <si>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</si>
  <si>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</si>
  <si>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</si>
  <si>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</si>
  <si>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</si>
  <si>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</si>
  <si>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</si>
  <si>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</si>
  <si>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</si>
  <si>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</si>
  <si>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</si>
  <si>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</si>
  <si>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</si>
  <si>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</si>
  <si>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</si>
  <si>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</si>
  <si>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</si>
  <si>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</si>
  <si>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</si>
  <si>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</si>
  <si>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</si>
  <si>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</si>
  <si>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</si>
  <si>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</si>
  <si>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</si>
  <si>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</si>
  <si>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</si>
  <si>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0.275 Dividend</t>
  </si>
  <si>
    <t>50.27 - 81.66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</si>
  <si>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</si>
  <si>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</si>
  <si>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</si>
  <si>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</si>
  <si>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</si>
  <si>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</si>
  <si>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</si>
  <si>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</si>
  <si>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</si>
  <si>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Sep 20 - Sep 26 (Est.)</t>
  </si>
  <si>
    <t>1-Jul,      2178  @15.63</t>
  </si>
  <si>
    <t>-9% AH after ER</t>
  </si>
  <si>
    <t>9-Aug-16DIS Earnings announcement</t>
  </si>
  <si>
    <t>47.50 - 72.95</t>
  </si>
  <si>
    <t>Sellable</t>
  </si>
  <si>
    <t>0.71 Dividend</t>
  </si>
  <si>
    <t>9-Aug-16MYL Earnings announcement</t>
  </si>
  <si>
    <t>0.48 Dividend</t>
  </si>
  <si>
    <t>AH ER beat, +3.8%</t>
  </si>
  <si>
    <t>AH ER, 0.15 vs 0.09, 5.3B vs 5.2B</t>
  </si>
  <si>
    <t>54.12 - 70.38</t>
  </si>
  <si>
    <t>insider sold shares@ 14.75</t>
  </si>
  <si>
    <t>Oct 6 - Oct 10 (Est.)</t>
  </si>
  <si>
    <t>32.41 - 64.08</t>
  </si>
  <si>
    <t>39.68 - 60.71</t>
  </si>
  <si>
    <t>div 33.67</t>
  </si>
  <si>
    <t>1.47 vs 1.42, 10.45B vs 10.48B</t>
  </si>
  <si>
    <t>1.01 vs 1.00, 22.5B vs 22.2B, g 1.02</t>
  </si>
  <si>
    <t>ER, -2.51%</t>
  </si>
  <si>
    <t>ex 9/28 e</t>
  </si>
  <si>
    <t>8/11 ex e</t>
  </si>
  <si>
    <t>ex 9/6 e</t>
  </si>
  <si>
    <t>ex 9/1 e</t>
  </si>
  <si>
    <t>ex 9/26 e</t>
  </si>
  <si>
    <t>Oct 12 - Oct 17 (Est.)</t>
  </si>
  <si>
    <t>22.02 - 45.36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</si>
  <si>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</si>
  <si>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</si>
  <si>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</si>
  <si>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</si>
  <si>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</si>
  <si>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</si>
  <si>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</si>
  <si>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</si>
  <si>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</si>
  <si>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</si>
  <si>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</si>
  <si>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</si>
  <si>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</si>
  <si>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</si>
  <si>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</si>
  <si>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24.87 - 35.93</t>
  </si>
  <si>
    <t>0.60 (0.38%)</t>
  </si>
  <si>
    <t>95.00 - 144.48</t>
  </si>
  <si>
    <t>42.73 - 56.05</t>
  </si>
  <si>
    <t>0.10 Dividend</t>
  </si>
  <si>
    <t>32.94 - 51.34</t>
  </si>
  <si>
    <t>AH -4%</t>
  </si>
  <si>
    <t>10-Aug-16KORS Earnings announcement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</si>
  <si>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</si>
  <si>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</si>
  <si>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</si>
  <si>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</si>
  <si>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</si>
  <si>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</si>
  <si>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</si>
  <si>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</si>
  <si>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32.50 - 48.23</t>
  </si>
  <si>
    <t>Oct 25 - Oct 31 (Est.)</t>
  </si>
  <si>
    <t>83.39 - 108.49</t>
  </si>
  <si>
    <t>37.59 - 57.81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</si>
  <si>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</si>
  <si>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</si>
  <si>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</si>
  <si>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</si>
  <si>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</si>
  <si>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</si>
  <si>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</si>
  <si>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</si>
  <si>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11.53 - 17.70</t>
  </si>
  <si>
    <t>27-Oct-16IP Earnings announcement</t>
  </si>
  <si>
    <t>Oct 26 - Oct 31 (Est.)</t>
  </si>
  <si>
    <t>54.50 - 92.63</t>
  </si>
  <si>
    <t>33.26 - 54.53</t>
  </si>
  <si>
    <t>1.42 (1.48%)</t>
  </si>
  <si>
    <t>Nov 1 - Nov 7 (Est.)</t>
  </si>
  <si>
    <t>117.10 - 160.68</t>
  </si>
  <si>
    <t>27.50 x 100</t>
  </si>
  <si>
    <t>Oct 18 - Oct 24 (Est.)</t>
  </si>
  <si>
    <t>2.50 (1.75%)</t>
  </si>
  <si>
    <t>0.28 Dividend</t>
  </si>
  <si>
    <t>86.25 - 120.65</t>
  </si>
  <si>
    <t>170.15 x 100</t>
  </si>
  <si>
    <t>35.01 x 200</t>
  </si>
  <si>
    <t>9.54B</t>
  </si>
  <si>
    <t>77.00 - 152.27</t>
  </si>
  <si>
    <t>315.23 x 100</t>
  </si>
  <si>
    <t>322.00 x 300</t>
  </si>
  <si>
    <t>313.69 - 318.91</t>
  </si>
  <si>
    <t>223.02 - 333.65</t>
  </si>
  <si>
    <t>69.23B</t>
  </si>
  <si>
    <t>12.19 x 449800</t>
  </si>
  <si>
    <t>12.20 x 364700</t>
  </si>
  <si>
    <t>12.16 - 12.26</t>
  </si>
  <si>
    <t>49.32B</t>
  </si>
  <si>
    <t>12.99 x 400</t>
  </si>
  <si>
    <t>13.07 x 500</t>
  </si>
  <si>
    <t>12.86 - 13.14</t>
  </si>
  <si>
    <t>4.67B</t>
  </si>
  <si>
    <t>45.90 x 100</t>
  </si>
  <si>
    <t>46.03 x 200</t>
  </si>
  <si>
    <t>45.89 - 46.47</t>
  </si>
  <si>
    <t>18.91B</t>
  </si>
  <si>
    <t>34.95 x 100</t>
  </si>
  <si>
    <t>34.99 x 200</t>
  </si>
  <si>
    <t>34.70 - 35.13</t>
  </si>
  <si>
    <t>54.40 x 400</t>
  </si>
  <si>
    <t>54.65 x 500</t>
  </si>
  <si>
    <t>53.58 - 54.76</t>
  </si>
  <si>
    <t>17.15B</t>
  </si>
  <si>
    <t>77.82 x 100</t>
  </si>
  <si>
    <t>89.50 x 100</t>
  </si>
  <si>
    <t>87.61 - 89.38</t>
  </si>
  <si>
    <t>26.09B</t>
  </si>
  <si>
    <t>66.20 x 200</t>
  </si>
  <si>
    <t>66.55 x 3000</t>
  </si>
  <si>
    <t>Nov 3 - Nov 7 (Est.)</t>
  </si>
  <si>
    <t>65.14 - 66.57</t>
  </si>
  <si>
    <t>12.66B</t>
  </si>
  <si>
    <t>60.10 x 100</t>
  </si>
  <si>
    <t>61.54 - 62.21</t>
  </si>
  <si>
    <t>47.80B</t>
  </si>
  <si>
    <t>10.48 x 200</t>
  </si>
  <si>
    <t>10.51 x 1100</t>
  </si>
  <si>
    <t>10.39 - 10.50</t>
  </si>
  <si>
    <t>13.81B</t>
  </si>
  <si>
    <t>17.55 x 300</t>
  </si>
  <si>
    <t>17.65 x 100</t>
  </si>
  <si>
    <t>2-Nov-16KATE Earnings announcement</t>
  </si>
  <si>
    <t>16.95 - 17.68</t>
  </si>
  <si>
    <t>2.25B</t>
  </si>
  <si>
    <t>53.66 x 100</t>
  </si>
  <si>
    <t>53.82 x 200</t>
  </si>
  <si>
    <t>53.31 - 53.99</t>
  </si>
  <si>
    <t>24.55B</t>
  </si>
  <si>
    <t>50.39 x 4900</t>
  </si>
  <si>
    <t>50.41 x 2800</t>
  </si>
  <si>
    <t>49.81 - 50.73</t>
  </si>
  <si>
    <t>8.89B</t>
  </si>
  <si>
    <t>68.71 x 100</t>
  </si>
  <si>
    <t>68.91 x 200</t>
  </si>
  <si>
    <t>2-Nov-16ALL Earnings announcement</t>
  </si>
  <si>
    <t>68.50 - 68.97</t>
  </si>
  <si>
    <t>25.77B</t>
  </si>
  <si>
    <t>1.32 (1.92%)</t>
  </si>
  <si>
    <t>170.00 x 1000</t>
  </si>
  <si>
    <t>170.89 x 100</t>
  </si>
  <si>
    <t>167.23 - 170.20</t>
  </si>
  <si>
    <t>100.00 - 170.20</t>
  </si>
  <si>
    <t>67.29B</t>
  </si>
  <si>
    <t>37.40 x 300</t>
  </si>
  <si>
    <t>37.68 x 300</t>
  </si>
  <si>
    <t>36.86 - 37.73</t>
  </si>
  <si>
    <t>28.15B</t>
  </si>
  <si>
    <t>95.92 x 100</t>
  </si>
  <si>
    <t>96.10 x 200</t>
  </si>
  <si>
    <t>95.35 - 96.00</t>
  </si>
  <si>
    <t>155.48B</t>
  </si>
  <si>
    <t>4.82 x 1800</t>
  </si>
  <si>
    <t>4.91 x 100</t>
  </si>
  <si>
    <t>4.85 - 4.98</t>
  </si>
  <si>
    <t>5.70B</t>
  </si>
  <si>
    <t>80.38 x 100</t>
  </si>
  <si>
    <t>80.60 x 200</t>
  </si>
  <si>
    <t>79.86 - 80.66</t>
  </si>
  <si>
    <t>77.92 - 117.70</t>
  </si>
  <si>
    <t>107.03B</t>
  </si>
  <si>
    <t>58.93 x 2200</t>
  </si>
  <si>
    <t>58.94 x 100</t>
  </si>
  <si>
    <t>58.44 - 59.05</t>
  </si>
  <si>
    <t>3.62B</t>
  </si>
  <si>
    <t>30.78 x 16400</t>
  </si>
  <si>
    <t>30.79 x 15700</t>
  </si>
  <si>
    <t>30.50 - 30.89</t>
  </si>
  <si>
    <t>48.11B</t>
  </si>
  <si>
    <t>154.00 x 100</t>
  </si>
  <si>
    <t>156.82 - 157.81</t>
  </si>
  <si>
    <t>61.98B</t>
  </si>
  <si>
    <t>33.52 - 34.12</t>
  </si>
  <si>
    <t>2.66B</t>
  </si>
  <si>
    <t>107.51 x 300</t>
  </si>
  <si>
    <t>108.08 x 300</t>
  </si>
  <si>
    <t>106.68 - 107.74</t>
  </si>
  <si>
    <t>90.17B</t>
  </si>
  <si>
    <t>2.64 (2.48%)</t>
  </si>
  <si>
    <t>143.00 x 100</t>
  </si>
  <si>
    <t>143.40 x 200</t>
  </si>
  <si>
    <t>142.40 - 143.54</t>
  </si>
  <si>
    <t>48.06 x 100</t>
  </si>
  <si>
    <t>50.00 x 100</t>
  </si>
  <si>
    <t>48.30 - 49.11</t>
  </si>
  <si>
    <t>24.64B</t>
  </si>
  <si>
    <t>83.04 x 100</t>
  </si>
  <si>
    <t>87.12 x 100</t>
  </si>
  <si>
    <t>86.39 - 87.91</t>
  </si>
  <si>
    <t>6.79B</t>
  </si>
  <si>
    <t>107.52 x 5000</t>
  </si>
  <si>
    <t>107.55 x 400</t>
  </si>
  <si>
    <t>106.18 - 107.65</t>
  </si>
  <si>
    <t>579.15B</t>
  </si>
  <si>
    <t>65.41 x 300</t>
  </si>
  <si>
    <t>65.68 x 400</t>
  </si>
  <si>
    <t>64.35 - 65.71</t>
  </si>
  <si>
    <t>60.53B</t>
  </si>
  <si>
    <t>21.71 x 500</t>
  </si>
  <si>
    <t>22.10 x 500</t>
  </si>
  <si>
    <t>Nov 2 - Nov 7 (Est.)</t>
  </si>
  <si>
    <t>21.05 - 22.16</t>
  </si>
  <si>
    <t>20.77 - 65.12</t>
  </si>
  <si>
    <t>5.15B</t>
  </si>
  <si>
    <t>37.74 x 100</t>
  </si>
  <si>
    <t>37.92 x 200</t>
  </si>
  <si>
    <t>36.77 - 37.87</t>
  </si>
  <si>
    <t>23.48B</t>
  </si>
  <si>
    <t>50.32 x 100</t>
  </si>
  <si>
    <t>52.00 x 300</t>
  </si>
  <si>
    <t>49.16 - 50.87</t>
  </si>
  <si>
    <t>39.43 - 76.39</t>
  </si>
  <si>
    <t>8.90B</t>
  </si>
  <si>
    <t>32.56 x 300</t>
  </si>
  <si>
    <t>32.60 x 100</t>
  </si>
  <si>
    <t>32.42 - 32.91</t>
  </si>
  <si>
    <t>30.96B</t>
  </si>
  <si>
    <t>55.72 x 16000</t>
  </si>
  <si>
    <t>55.95 x 200</t>
  </si>
  <si>
    <t>55.17 - 56.06</t>
  </si>
  <si>
    <t>93.71B</t>
  </si>
  <si>
    <t>27.00 x 500</t>
  </si>
  <si>
    <t>27.50 x 500</t>
  </si>
  <si>
    <t>26.51 - 27.68</t>
  </si>
  <si>
    <t>47.84 x 700</t>
  </si>
  <si>
    <t>47.92 x 800</t>
  </si>
  <si>
    <t>16.98B</t>
  </si>
  <si>
    <t>47.64 - 47.92</t>
  </si>
  <si>
    <t>14.40 x 200</t>
  </si>
  <si>
    <t>14.52 x 700</t>
  </si>
  <si>
    <t>14.20 - 14.78</t>
  </si>
  <si>
    <t>9.31 - 19.30</t>
  </si>
  <si>
    <t>15.08B</t>
  </si>
  <si>
    <t>218.20 x 100</t>
  </si>
  <si>
    <t>218.23 x 700</t>
  </si>
  <si>
    <t>198.94B</t>
  </si>
  <si>
    <t>217.07 - 218.23</t>
  </si>
  <si>
    <t>181.02 - 218.23</t>
  </si>
  <si>
    <t>48.64 x 300</t>
  </si>
  <si>
    <t>48.66 x 1000</t>
  </si>
  <si>
    <t>48.13 - 48.70</t>
  </si>
  <si>
    <t>44.50 - 57.98</t>
  </si>
  <si>
    <t>245.76B</t>
  </si>
  <si>
    <t>48.01 x 3800</t>
  </si>
  <si>
    <t>48.42 x 100</t>
  </si>
  <si>
    <t>46.24 - 48.47</t>
  </si>
  <si>
    <t>15.61B</t>
  </si>
  <si>
    <t>80.57 x 100</t>
  </si>
  <si>
    <t>89.99 x 100</t>
  </si>
  <si>
    <t>Oct 31 - Nov 4 (Est.)</t>
  </si>
  <si>
    <t>83.69 - 84.74</t>
  </si>
  <si>
    <t>27.49B</t>
  </si>
  <si>
    <t>70.52 x 1900</t>
  </si>
  <si>
    <t>70.53 x 2300</t>
  </si>
  <si>
    <t>70.30 - 70.80</t>
  </si>
  <si>
    <t>42.12B</t>
  </si>
  <si>
    <t>8/31 pay</t>
  </si>
  <si>
    <t>8/10 ex</t>
  </si>
  <si>
    <t>9/2 pay</t>
  </si>
  <si>
    <t>9/14 ex</t>
  </si>
  <si>
    <t>8/11 ex</t>
  </si>
  <si>
    <t>9/1 pay</t>
  </si>
  <si>
    <t>8/16 ex</t>
  </si>
  <si>
    <t>9/8 pay</t>
  </si>
  <si>
    <t>8/15 ex</t>
  </si>
  <si>
    <t>9/12 pay</t>
  </si>
  <si>
    <t>0.60 (4.97%)</t>
  </si>
  <si>
    <t>1.76 (3.83%)</t>
  </si>
  <si>
    <t>165.49B</t>
  </si>
  <si>
    <t>1.04 (2.97%)</t>
  </si>
  <si>
    <t>1.00 (1.83%)</t>
  </si>
  <si>
    <t>2.36 (2.66%)</t>
  </si>
  <si>
    <t>1.12 (1.72%)</t>
  </si>
  <si>
    <t>1.14 (1.84%)</t>
  </si>
  <si>
    <t>0.12 (1.14%)</t>
  </si>
  <si>
    <t>0.76 (1.41%)</t>
  </si>
  <si>
    <t>1-Sep-16AVGO Earnings announcement</t>
  </si>
  <si>
    <t>2.00 (1.20%)</t>
  </si>
  <si>
    <t>0.81 (2.15%)</t>
  </si>
  <si>
    <t>0.42 (8.53%)</t>
  </si>
  <si>
    <t>1.88 (2.34%)</t>
  </si>
  <si>
    <t>0.44 (0.75%)</t>
  </si>
  <si>
    <t>1.52 (4.94%)</t>
  </si>
  <si>
    <t>1.04 (3.12%)</t>
  </si>
  <si>
    <t>136.18B</t>
  </si>
  <si>
    <t>25-Aug-16SIG Earnings announcement</t>
  </si>
  <si>
    <t>1.04 (1.20%)</t>
  </si>
  <si>
    <t>2.28 (2.12%)</t>
  </si>
  <si>
    <t>1.16 (1.77%)</t>
  </si>
  <si>
    <t>1.20 (5.60%)</t>
  </si>
  <si>
    <t>0.40 (1.06%)</t>
  </si>
  <si>
    <t>0.48 (1.47%)</t>
  </si>
  <si>
    <t>0.64 (1.15%)</t>
  </si>
  <si>
    <t>1.52 (3.18%)</t>
  </si>
  <si>
    <t>1.80 (2.13%)</t>
  </si>
  <si>
    <t>1.92 (2.72%)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</si>
</sst>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4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19" borderId="0" xfId="0" applyFont="1" applyFill="1"/>
    <xf numFmtId="166" fontId="4" fillId="19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20" borderId="0" xfId="0" applyFont="1" applyFill="1"/>
    <xf numFmtId="166" fontId="4" fillId="20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9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18" borderId="0" xfId="0" applyNumberFormat="1" applyFill="1" applyAlignment="1">
      <alignment horizontal="right" vertical="center"/>
    </xf>
    <xf numFmtId="0" fontId="0" fillId="21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92"/>
      <tableStyleElement type="headerRow" dxfId="691"/>
    </tableStyle>
  </tableStyles>
  <colors>
    <mruColors>
      <color rgb="FFFBDBD9"/>
      <color rgb="FFED5C55"/>
      <color rgb="FFF6F6DE"/>
      <color rgb="FFE7271D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5824"/>
        <c:axId val="366042488"/>
      </c:scatterChart>
      <c:valAx>
        <c:axId val="366035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042488"/>
        <c:crosses val="autoZero"/>
        <c:crossBetween val="midCat"/>
      </c:valAx>
      <c:valAx>
        <c:axId val="36604248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035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93420751412155"/>
          <c:y val="9.6034188034188048E-2"/>
          <c:w val="0.7946405583683378"/>
          <c:h val="0.83558974358974358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4840"/>
        <c:axId val="366047192"/>
      </c:scatterChart>
      <c:valAx>
        <c:axId val="366044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047192"/>
        <c:crosses val="autoZero"/>
        <c:crossBetween val="midCat"/>
      </c:valAx>
      <c:valAx>
        <c:axId val="36604719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044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Balance!$B$2:$B$266</c:f>
              <c:numCache>
                <c:formatCode>m/d/yyyy</c:formatCode>
                <c:ptCount val="26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</c:numCache>
            </c:numRef>
          </c:xVal>
          <c:yVal>
            <c:numRef>
              <c:f>Balance!$C$2:$C$266</c:f>
              <c:numCache>
                <c:formatCode>0.00</c:formatCode>
                <c:ptCount val="265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5232"/>
        <c:axId val="366046800"/>
      </c:scatterChart>
      <c:valAx>
        <c:axId val="366045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046800"/>
        <c:crosses val="autoZero"/>
        <c:crossBetween val="midCat"/>
      </c:valAx>
      <c:valAx>
        <c:axId val="36604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04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7976"/>
        <c:axId val="366048760"/>
      </c:scatterChart>
      <c:valAx>
        <c:axId val="366047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048760"/>
        <c:crosses val="autoZero"/>
        <c:crossBetween val="midCat"/>
      </c:valAx>
      <c:valAx>
        <c:axId val="366048760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047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315.95999999999998</c:v>
                </c:pt>
                <c:pt idx="1">
                  <c:v>314.56</c:v>
                </c:pt>
                <c:pt idx="2">
                  <c:v>321.33999999999997</c:v>
                </c:pt>
                <c:pt idx="3">
                  <c:v>330.11</c:v>
                </c:pt>
                <c:pt idx="4">
                  <c:v>301.83</c:v>
                </c:pt>
                <c:pt idx="5">
                  <c:v>289.93</c:v>
                </c:pt>
                <c:pt idx="6">
                  <c:v>289.02999999999997</c:v>
                </c:pt>
                <c:pt idx="7">
                  <c:v>288.35000000000002</c:v>
                </c:pt>
                <c:pt idx="8">
                  <c:v>287.04000000000002</c:v>
                </c:pt>
                <c:pt idx="9">
                  <c:v>287.35000000000002</c:v>
                </c:pt>
                <c:pt idx="10">
                  <c:v>287.77999999999997</c:v>
                </c:pt>
                <c:pt idx="11">
                  <c:v>282.45</c:v>
                </c:pt>
                <c:pt idx="12">
                  <c:v>262.41000000000003</c:v>
                </c:pt>
                <c:pt idx="13">
                  <c:v>259.82</c:v>
                </c:pt>
                <c:pt idx="14">
                  <c:v>261.5</c:v>
                </c:pt>
                <c:pt idx="15">
                  <c:v>260.3</c:v>
                </c:pt>
                <c:pt idx="16">
                  <c:v>252.87</c:v>
                </c:pt>
                <c:pt idx="17">
                  <c:v>251.19</c:v>
                </c:pt>
                <c:pt idx="18">
                  <c:v>253.36</c:v>
                </c:pt>
                <c:pt idx="19">
                  <c:v>252.54</c:v>
                </c:pt>
                <c:pt idx="20">
                  <c:v>251.3</c:v>
                </c:pt>
                <c:pt idx="21">
                  <c:v>247.27</c:v>
                </c:pt>
                <c:pt idx="22">
                  <c:v>247.48</c:v>
                </c:pt>
                <c:pt idx="23">
                  <c:v>242.03</c:v>
                </c:pt>
                <c:pt idx="24">
                  <c:v>245.06</c:v>
                </c:pt>
                <c:pt idx="25">
                  <c:v>241.82</c:v>
                </c:pt>
                <c:pt idx="26">
                  <c:v>238.91</c:v>
                </c:pt>
                <c:pt idx="27">
                  <c:v>228.52</c:v>
                </c:pt>
                <c:pt idx="28">
                  <c:v>224.6</c:v>
                </c:pt>
                <c:pt idx="29">
                  <c:v>229.02</c:v>
                </c:pt>
                <c:pt idx="30">
                  <c:v>238.62</c:v>
                </c:pt>
                <c:pt idx="31">
                  <c:v>234.6</c:v>
                </c:pt>
                <c:pt idx="32">
                  <c:v>233</c:v>
                </c:pt>
                <c:pt idx="33">
                  <c:v>237.39</c:v>
                </c:pt>
                <c:pt idx="34">
                  <c:v>238.21</c:v>
                </c:pt>
                <c:pt idx="35">
                  <c:v>242.19</c:v>
                </c:pt>
                <c:pt idx="36">
                  <c:v>238.91</c:v>
                </c:pt>
                <c:pt idx="37">
                  <c:v>241.7</c:v>
                </c:pt>
                <c:pt idx="38">
                  <c:v>244.35</c:v>
                </c:pt>
                <c:pt idx="39">
                  <c:v>246.13</c:v>
                </c:pt>
                <c:pt idx="40">
                  <c:v>250.46</c:v>
                </c:pt>
                <c:pt idx="41">
                  <c:v>254.17</c:v>
                </c:pt>
                <c:pt idx="42">
                  <c:v>252.86</c:v>
                </c:pt>
                <c:pt idx="43">
                  <c:v>289.83999999999997</c:v>
                </c:pt>
                <c:pt idx="44">
                  <c:v>290.23</c:v>
                </c:pt>
                <c:pt idx="45">
                  <c:v>289.73</c:v>
                </c:pt>
                <c:pt idx="46">
                  <c:v>286.82</c:v>
                </c:pt>
                <c:pt idx="47">
                  <c:v>289.73</c:v>
                </c:pt>
                <c:pt idx="48">
                  <c:v>282.79000000000002</c:v>
                </c:pt>
                <c:pt idx="49">
                  <c:v>282</c:v>
                </c:pt>
                <c:pt idx="50">
                  <c:v>279.7</c:v>
                </c:pt>
                <c:pt idx="51">
                  <c:v>272.94</c:v>
                </c:pt>
                <c:pt idx="52">
                  <c:v>264.85000000000002</c:v>
                </c:pt>
                <c:pt idx="53">
                  <c:v>263.66000000000003</c:v>
                </c:pt>
                <c:pt idx="54">
                  <c:v>258.72000000000003</c:v>
                </c:pt>
                <c:pt idx="55">
                  <c:v>264.29000000000002</c:v>
                </c:pt>
                <c:pt idx="56">
                  <c:v>263.52</c:v>
                </c:pt>
                <c:pt idx="57">
                  <c:v>266.26</c:v>
                </c:pt>
                <c:pt idx="58">
                  <c:v>262.02999999999997</c:v>
                </c:pt>
                <c:pt idx="59">
                  <c:v>262.70999999999998</c:v>
                </c:pt>
                <c:pt idx="60">
                  <c:v>267.25</c:v>
                </c:pt>
                <c:pt idx="61">
                  <c:v>273.27</c:v>
                </c:pt>
                <c:pt idx="62">
                  <c:v>270.17</c:v>
                </c:pt>
                <c:pt idx="63">
                  <c:v>263.61</c:v>
                </c:pt>
                <c:pt idx="64">
                  <c:v>264.62</c:v>
                </c:pt>
                <c:pt idx="65">
                  <c:v>263.12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178424"/>
        <c:axId val="383175288"/>
      </c:lineChart>
      <c:dateAx>
        <c:axId val="383178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75288"/>
        <c:crosses val="autoZero"/>
        <c:auto val="1"/>
        <c:lblOffset val="100"/>
        <c:baseTimeUnit val="days"/>
      </c:dateAx>
      <c:valAx>
        <c:axId val="38317528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48.46</c:v>
                </c:pt>
                <c:pt idx="1">
                  <c:v>48.55</c:v>
                </c:pt>
                <c:pt idx="2">
                  <c:v>48.41</c:v>
                </c:pt>
                <c:pt idx="3">
                  <c:v>46.53</c:v>
                </c:pt>
                <c:pt idx="4">
                  <c:v>46.74</c:v>
                </c:pt>
                <c:pt idx="5">
                  <c:v>46.79</c:v>
                </c:pt>
                <c:pt idx="6">
                  <c:v>46.72</c:v>
                </c:pt>
                <c:pt idx="7">
                  <c:v>46.93</c:v>
                </c:pt>
                <c:pt idx="8">
                  <c:v>46.48</c:v>
                </c:pt>
                <c:pt idx="9">
                  <c:v>47.28</c:v>
                </c:pt>
                <c:pt idx="10">
                  <c:v>46.59</c:v>
                </c:pt>
                <c:pt idx="11">
                  <c:v>46.86</c:v>
                </c:pt>
                <c:pt idx="12">
                  <c:v>47.2</c:v>
                </c:pt>
                <c:pt idx="13">
                  <c:v>44.93</c:v>
                </c:pt>
                <c:pt idx="14">
                  <c:v>45.53</c:v>
                </c:pt>
                <c:pt idx="15">
                  <c:v>45.45</c:v>
                </c:pt>
                <c:pt idx="16">
                  <c:v>45.38</c:v>
                </c:pt>
                <c:pt idx="17">
                  <c:v>45.3</c:v>
                </c:pt>
                <c:pt idx="18">
                  <c:v>45.16</c:v>
                </c:pt>
                <c:pt idx="19">
                  <c:v>44.55</c:v>
                </c:pt>
                <c:pt idx="20">
                  <c:v>44.54</c:v>
                </c:pt>
                <c:pt idx="21">
                  <c:v>43.7</c:v>
                </c:pt>
                <c:pt idx="22">
                  <c:v>43.54</c:v>
                </c:pt>
                <c:pt idx="23">
                  <c:v>42.67</c:v>
                </c:pt>
                <c:pt idx="24">
                  <c:v>43.48</c:v>
                </c:pt>
                <c:pt idx="25">
                  <c:v>43.24</c:v>
                </c:pt>
                <c:pt idx="26">
                  <c:v>43.22</c:v>
                </c:pt>
                <c:pt idx="27">
                  <c:v>42.82</c:v>
                </c:pt>
                <c:pt idx="28">
                  <c:v>41.81</c:v>
                </c:pt>
                <c:pt idx="29">
                  <c:v>43.56</c:v>
                </c:pt>
                <c:pt idx="30">
                  <c:v>46.16</c:v>
                </c:pt>
                <c:pt idx="31">
                  <c:v>45</c:v>
                </c:pt>
                <c:pt idx="32">
                  <c:v>44.88</c:v>
                </c:pt>
                <c:pt idx="33">
                  <c:v>45.38</c:v>
                </c:pt>
                <c:pt idx="34">
                  <c:v>45.01</c:v>
                </c:pt>
                <c:pt idx="35">
                  <c:v>45.05</c:v>
                </c:pt>
                <c:pt idx="36">
                  <c:v>44.74</c:v>
                </c:pt>
                <c:pt idx="37">
                  <c:v>44.87</c:v>
                </c:pt>
                <c:pt idx="38">
                  <c:v>44.77</c:v>
                </c:pt>
                <c:pt idx="39">
                  <c:v>44.53</c:v>
                </c:pt>
                <c:pt idx="40">
                  <c:v>45.76</c:v>
                </c:pt>
                <c:pt idx="41">
                  <c:v>46.51</c:v>
                </c:pt>
                <c:pt idx="42">
                  <c:v>46.61</c:v>
                </c:pt>
                <c:pt idx="43">
                  <c:v>46.52</c:v>
                </c:pt>
                <c:pt idx="44">
                  <c:v>44.52</c:v>
                </c:pt>
                <c:pt idx="45">
                  <c:v>44.96</c:v>
                </c:pt>
                <c:pt idx="46">
                  <c:v>44.46</c:v>
                </c:pt>
                <c:pt idx="47">
                  <c:v>43.34</c:v>
                </c:pt>
                <c:pt idx="48">
                  <c:v>43.06</c:v>
                </c:pt>
                <c:pt idx="49">
                  <c:v>42.86</c:v>
                </c:pt>
                <c:pt idx="50">
                  <c:v>42.68</c:v>
                </c:pt>
                <c:pt idx="51">
                  <c:v>42.44</c:v>
                </c:pt>
                <c:pt idx="52">
                  <c:v>41.21</c:v>
                </c:pt>
                <c:pt idx="53">
                  <c:v>41.51</c:v>
                </c:pt>
                <c:pt idx="54">
                  <c:v>41.12</c:v>
                </c:pt>
                <c:pt idx="55">
                  <c:v>42.04</c:v>
                </c:pt>
                <c:pt idx="56">
                  <c:v>41.02</c:v>
                </c:pt>
                <c:pt idx="57">
                  <c:v>40.450000000000003</c:v>
                </c:pt>
                <c:pt idx="58">
                  <c:v>39.159999999999997</c:v>
                </c:pt>
                <c:pt idx="59">
                  <c:v>38.619999999999997</c:v>
                </c:pt>
                <c:pt idx="60">
                  <c:v>39.64</c:v>
                </c:pt>
                <c:pt idx="61">
                  <c:v>40.81</c:v>
                </c:pt>
                <c:pt idx="62">
                  <c:v>40.770000000000003</c:v>
                </c:pt>
                <c:pt idx="63">
                  <c:v>39.65</c:v>
                </c:pt>
                <c:pt idx="64">
                  <c:v>41.4</c:v>
                </c:pt>
                <c:pt idx="65">
                  <c:v>41.94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170976"/>
        <c:axId val="383173720"/>
      </c:lineChart>
      <c:dateAx>
        <c:axId val="383170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73720"/>
        <c:crosses val="autoZero"/>
        <c:auto val="1"/>
        <c:lblOffset val="100"/>
        <c:baseTimeUnit val="days"/>
      </c:dateAx>
      <c:valAx>
        <c:axId val="38317372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7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42578</c:v>
                </c:pt>
                <c:pt idx="9">
                  <c:v>42577</c:v>
                </c:pt>
                <c:pt idx="10">
                  <c:v>42576</c:v>
                </c:pt>
                <c:pt idx="11">
                  <c:v>42573</c:v>
                </c:pt>
                <c:pt idx="12">
                  <c:v>42572</c:v>
                </c:pt>
                <c:pt idx="13">
                  <c:v>42571</c:v>
                </c:pt>
                <c:pt idx="14">
                  <c:v>42570</c:v>
                </c:pt>
                <c:pt idx="15">
                  <c:v>42569</c:v>
                </c:pt>
                <c:pt idx="16">
                  <c:v>42566</c:v>
                </c:pt>
                <c:pt idx="17">
                  <c:v>42565</c:v>
                </c:pt>
                <c:pt idx="18">
                  <c:v>42564</c:v>
                </c:pt>
                <c:pt idx="19">
                  <c:v>42563</c:v>
                </c:pt>
                <c:pt idx="20">
                  <c:v>42562</c:v>
                </c:pt>
                <c:pt idx="21">
                  <c:v>42559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87</c:v>
                </c:pt>
                <c:pt idx="1">
                  <c:v>86.21</c:v>
                </c:pt>
                <c:pt idx="2">
                  <c:v>84.39</c:v>
                </c:pt>
                <c:pt idx="3">
                  <c:v>83.59</c:v>
                </c:pt>
                <c:pt idx="4">
                  <c:v>86.69</c:v>
                </c:pt>
                <c:pt idx="5">
                  <c:v>87.91</c:v>
                </c:pt>
                <c:pt idx="6">
                  <c:v>86.92</c:v>
                </c:pt>
                <c:pt idx="7">
                  <c:v>87.22</c:v>
                </c:pt>
                <c:pt idx="9">
                  <c:v>89.46</c:v>
                </c:pt>
                <c:pt idx="10">
                  <c:v>88.86</c:v>
                </c:pt>
                <c:pt idx="11">
                  <c:v>89.53</c:v>
                </c:pt>
                <c:pt idx="12">
                  <c:v>87.46</c:v>
                </c:pt>
                <c:pt idx="13">
                  <c:v>89.55</c:v>
                </c:pt>
                <c:pt idx="14">
                  <c:v>90.39</c:v>
                </c:pt>
                <c:pt idx="15">
                  <c:v>92.26</c:v>
                </c:pt>
                <c:pt idx="16">
                  <c:v>90.34</c:v>
                </c:pt>
                <c:pt idx="17">
                  <c:v>91.59</c:v>
                </c:pt>
                <c:pt idx="18">
                  <c:v>88.77</c:v>
                </c:pt>
                <c:pt idx="19">
                  <c:v>89.07</c:v>
                </c:pt>
                <c:pt idx="20">
                  <c:v>87.78</c:v>
                </c:pt>
                <c:pt idx="21">
                  <c:v>84.23</c:v>
                </c:pt>
                <c:pt idx="22">
                  <c:v>82.47</c:v>
                </c:pt>
                <c:pt idx="23">
                  <c:v>82.08</c:v>
                </c:pt>
                <c:pt idx="24">
                  <c:v>81.290000000000006</c:v>
                </c:pt>
                <c:pt idx="25">
                  <c:v>84.15</c:v>
                </c:pt>
                <c:pt idx="26">
                  <c:v>82.41</c:v>
                </c:pt>
                <c:pt idx="27">
                  <c:v>82</c:v>
                </c:pt>
                <c:pt idx="28">
                  <c:v>80.72</c:v>
                </c:pt>
                <c:pt idx="29">
                  <c:v>79.260000000000005</c:v>
                </c:pt>
                <c:pt idx="30">
                  <c:v>82.02</c:v>
                </c:pt>
                <c:pt idx="31">
                  <c:v>86.56</c:v>
                </c:pt>
                <c:pt idx="32">
                  <c:v>85.47</c:v>
                </c:pt>
                <c:pt idx="33">
                  <c:v>85.23</c:v>
                </c:pt>
                <c:pt idx="34">
                  <c:v>86.01</c:v>
                </c:pt>
                <c:pt idx="35">
                  <c:v>84.9</c:v>
                </c:pt>
                <c:pt idx="36">
                  <c:v>82.02</c:v>
                </c:pt>
                <c:pt idx="37">
                  <c:v>82.99</c:v>
                </c:pt>
                <c:pt idx="38">
                  <c:v>83.87</c:v>
                </c:pt>
                <c:pt idx="39">
                  <c:v>85.51</c:v>
                </c:pt>
                <c:pt idx="40">
                  <c:v>89.13</c:v>
                </c:pt>
                <c:pt idx="41">
                  <c:v>89.6</c:v>
                </c:pt>
                <c:pt idx="42">
                  <c:v>89.31</c:v>
                </c:pt>
                <c:pt idx="43">
                  <c:v>85.9</c:v>
                </c:pt>
                <c:pt idx="44">
                  <c:v>86.39</c:v>
                </c:pt>
                <c:pt idx="45">
                  <c:v>88.19</c:v>
                </c:pt>
                <c:pt idx="46">
                  <c:v>92.23</c:v>
                </c:pt>
                <c:pt idx="47">
                  <c:v>98.73</c:v>
                </c:pt>
                <c:pt idx="48">
                  <c:v>98.97</c:v>
                </c:pt>
                <c:pt idx="49">
                  <c:v>99.58</c:v>
                </c:pt>
                <c:pt idx="50">
                  <c:v>97</c:v>
                </c:pt>
                <c:pt idx="51">
                  <c:v>108.37</c:v>
                </c:pt>
                <c:pt idx="52">
                  <c:v>105.78</c:v>
                </c:pt>
                <c:pt idx="53">
                  <c:v>107.95</c:v>
                </c:pt>
                <c:pt idx="54">
                  <c:v>107.2</c:v>
                </c:pt>
                <c:pt idx="55">
                  <c:v>108.67</c:v>
                </c:pt>
                <c:pt idx="56">
                  <c:v>106.76</c:v>
                </c:pt>
                <c:pt idx="57">
                  <c:v>106.1</c:v>
                </c:pt>
                <c:pt idx="58">
                  <c:v>106.2</c:v>
                </c:pt>
                <c:pt idx="59">
                  <c:v>103.1</c:v>
                </c:pt>
                <c:pt idx="60">
                  <c:v>104.1</c:v>
                </c:pt>
                <c:pt idx="61">
                  <c:v>103.98</c:v>
                </c:pt>
                <c:pt idx="62">
                  <c:v>108.11</c:v>
                </c:pt>
                <c:pt idx="63">
                  <c:v>107.62</c:v>
                </c:pt>
                <c:pt idx="64">
                  <c:v>107.99</c:v>
                </c:pt>
                <c:pt idx="65">
                  <c:v>108.7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172544"/>
        <c:axId val="383173328"/>
      </c:lineChart>
      <c:dateAx>
        <c:axId val="383172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73328"/>
        <c:crosses val="autoZero"/>
        <c:auto val="1"/>
        <c:lblOffset val="100"/>
        <c:baseTimeUnit val="days"/>
      </c:dateAx>
      <c:valAx>
        <c:axId val="3831733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7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42586</c:v>
                </c:pt>
                <c:pt idx="3">
                  <c:v>42585</c:v>
                </c:pt>
                <c:pt idx="4">
                  <c:v>42584</c:v>
                </c:pt>
                <c:pt idx="5">
                  <c:v>42583</c:v>
                </c:pt>
                <c:pt idx="6">
                  <c:v>42580</c:v>
                </c:pt>
                <c:pt idx="7">
                  <c:v>42579</c:v>
                </c:pt>
                <c:pt idx="8">
                  <c:v>42578</c:v>
                </c:pt>
                <c:pt idx="9">
                  <c:v>42577</c:v>
                </c:pt>
                <c:pt idx="10">
                  <c:v>42576</c:v>
                </c:pt>
                <c:pt idx="11">
                  <c:v>42573</c:v>
                </c:pt>
                <c:pt idx="12">
                  <c:v>42572</c:v>
                </c:pt>
                <c:pt idx="13">
                  <c:v>42571</c:v>
                </c:pt>
                <c:pt idx="14">
                  <c:v>42570</c:v>
                </c:pt>
                <c:pt idx="15">
                  <c:v>42569</c:v>
                </c:pt>
                <c:pt idx="16">
                  <c:v>42566</c:v>
                </c:pt>
                <c:pt idx="17">
                  <c:v>42565</c:v>
                </c:pt>
                <c:pt idx="18">
                  <c:v>42564</c:v>
                </c:pt>
                <c:pt idx="19">
                  <c:v>42563</c:v>
                </c:pt>
                <c:pt idx="20">
                  <c:v>42562</c:v>
                </c:pt>
                <c:pt idx="21">
                  <c:v>42559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107.48</c:v>
                </c:pt>
                <c:pt idx="1">
                  <c:v>105.87</c:v>
                </c:pt>
                <c:pt idx="3">
                  <c:v>105.79</c:v>
                </c:pt>
                <c:pt idx="4">
                  <c:v>104.48</c:v>
                </c:pt>
                <c:pt idx="5">
                  <c:v>106.05</c:v>
                </c:pt>
                <c:pt idx="6">
                  <c:v>104.21</c:v>
                </c:pt>
                <c:pt idx="7">
                  <c:v>104.34</c:v>
                </c:pt>
                <c:pt idx="8">
                  <c:v>102.95</c:v>
                </c:pt>
                <c:pt idx="9">
                  <c:v>96.67</c:v>
                </c:pt>
                <c:pt idx="10">
                  <c:v>97.34</c:v>
                </c:pt>
                <c:pt idx="11">
                  <c:v>98.66</c:v>
                </c:pt>
                <c:pt idx="12">
                  <c:v>99.43</c:v>
                </c:pt>
                <c:pt idx="13">
                  <c:v>99.96</c:v>
                </c:pt>
                <c:pt idx="14">
                  <c:v>99.87</c:v>
                </c:pt>
                <c:pt idx="15">
                  <c:v>99.83</c:v>
                </c:pt>
                <c:pt idx="16">
                  <c:v>98.78</c:v>
                </c:pt>
                <c:pt idx="17">
                  <c:v>98.79</c:v>
                </c:pt>
                <c:pt idx="18">
                  <c:v>96.87</c:v>
                </c:pt>
                <c:pt idx="19">
                  <c:v>97.42</c:v>
                </c:pt>
                <c:pt idx="20">
                  <c:v>96.98</c:v>
                </c:pt>
                <c:pt idx="21">
                  <c:v>96.68</c:v>
                </c:pt>
                <c:pt idx="22">
                  <c:v>95.94</c:v>
                </c:pt>
                <c:pt idx="23">
                  <c:v>95.53</c:v>
                </c:pt>
                <c:pt idx="24">
                  <c:v>94.99</c:v>
                </c:pt>
                <c:pt idx="25">
                  <c:v>95.89</c:v>
                </c:pt>
                <c:pt idx="26">
                  <c:v>95.6</c:v>
                </c:pt>
                <c:pt idx="27">
                  <c:v>94.4</c:v>
                </c:pt>
                <c:pt idx="28">
                  <c:v>93.59</c:v>
                </c:pt>
                <c:pt idx="29">
                  <c:v>92.04</c:v>
                </c:pt>
                <c:pt idx="30">
                  <c:v>93.4</c:v>
                </c:pt>
                <c:pt idx="31">
                  <c:v>96.1</c:v>
                </c:pt>
                <c:pt idx="32">
                  <c:v>95.55</c:v>
                </c:pt>
                <c:pt idx="33">
                  <c:v>95.91</c:v>
                </c:pt>
                <c:pt idx="34">
                  <c:v>95.1</c:v>
                </c:pt>
                <c:pt idx="35">
                  <c:v>95.33</c:v>
                </c:pt>
                <c:pt idx="36">
                  <c:v>97.55</c:v>
                </c:pt>
                <c:pt idx="37">
                  <c:v>97.14</c:v>
                </c:pt>
                <c:pt idx="38">
                  <c:v>97.46</c:v>
                </c:pt>
                <c:pt idx="39">
                  <c:v>97.34</c:v>
                </c:pt>
                <c:pt idx="40">
                  <c:v>98.83</c:v>
                </c:pt>
                <c:pt idx="41">
                  <c:v>99.65</c:v>
                </c:pt>
                <c:pt idx="42">
                  <c:v>98.94</c:v>
                </c:pt>
                <c:pt idx="43">
                  <c:v>99.03</c:v>
                </c:pt>
                <c:pt idx="44">
                  <c:v>98.63</c:v>
                </c:pt>
                <c:pt idx="45">
                  <c:v>97.92</c:v>
                </c:pt>
                <c:pt idx="46">
                  <c:v>97.72</c:v>
                </c:pt>
                <c:pt idx="47">
                  <c:v>98.46</c:v>
                </c:pt>
                <c:pt idx="48">
                  <c:v>99.86</c:v>
                </c:pt>
                <c:pt idx="49">
                  <c:v>100.35</c:v>
                </c:pt>
                <c:pt idx="50">
                  <c:v>100.41</c:v>
                </c:pt>
                <c:pt idx="51">
                  <c:v>99.62</c:v>
                </c:pt>
                <c:pt idx="52">
                  <c:v>97.9</c:v>
                </c:pt>
                <c:pt idx="53">
                  <c:v>96.43</c:v>
                </c:pt>
                <c:pt idx="54">
                  <c:v>95.22</c:v>
                </c:pt>
                <c:pt idx="55">
                  <c:v>94.2</c:v>
                </c:pt>
                <c:pt idx="56">
                  <c:v>94.56</c:v>
                </c:pt>
                <c:pt idx="57">
                  <c:v>93.49</c:v>
                </c:pt>
                <c:pt idx="58">
                  <c:v>93.88</c:v>
                </c:pt>
                <c:pt idx="59">
                  <c:v>90.52</c:v>
                </c:pt>
                <c:pt idx="60">
                  <c:v>90.34</c:v>
                </c:pt>
                <c:pt idx="61">
                  <c:v>92.51</c:v>
                </c:pt>
                <c:pt idx="62">
                  <c:v>93.42</c:v>
                </c:pt>
                <c:pt idx="63">
                  <c:v>92.79</c:v>
                </c:pt>
                <c:pt idx="64">
                  <c:v>92.72</c:v>
                </c:pt>
                <c:pt idx="65">
                  <c:v>93.24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176464"/>
        <c:axId val="383178816"/>
      </c:lineChart>
      <c:dateAx>
        <c:axId val="383176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78816"/>
        <c:crosses val="autoZero"/>
        <c:auto val="1"/>
        <c:lblOffset val="100"/>
        <c:baseTimeUnit val="days"/>
      </c:dateAx>
      <c:valAx>
        <c:axId val="3831788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7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65.52</c:v>
                </c:pt>
                <c:pt idx="1">
                  <c:v>63.94</c:v>
                </c:pt>
                <c:pt idx="2">
                  <c:v>63.83</c:v>
                </c:pt>
                <c:pt idx="3">
                  <c:v>63.47</c:v>
                </c:pt>
                <c:pt idx="4">
                  <c:v>64.13</c:v>
                </c:pt>
                <c:pt idx="5">
                  <c:v>64.459999999999994</c:v>
                </c:pt>
                <c:pt idx="6">
                  <c:v>64.790000000000006</c:v>
                </c:pt>
                <c:pt idx="7">
                  <c:v>64.59</c:v>
                </c:pt>
                <c:pt idx="8">
                  <c:v>64.37</c:v>
                </c:pt>
                <c:pt idx="9">
                  <c:v>64.33</c:v>
                </c:pt>
                <c:pt idx="10">
                  <c:v>64.28</c:v>
                </c:pt>
                <c:pt idx="11">
                  <c:v>63.43</c:v>
                </c:pt>
                <c:pt idx="12">
                  <c:v>64.48</c:v>
                </c:pt>
                <c:pt idx="13">
                  <c:v>64.16</c:v>
                </c:pt>
                <c:pt idx="14">
                  <c:v>63.99</c:v>
                </c:pt>
                <c:pt idx="15">
                  <c:v>63.78</c:v>
                </c:pt>
                <c:pt idx="16">
                  <c:v>63.61</c:v>
                </c:pt>
                <c:pt idx="17">
                  <c:v>63.1</c:v>
                </c:pt>
                <c:pt idx="18">
                  <c:v>63</c:v>
                </c:pt>
                <c:pt idx="19">
                  <c:v>62.16</c:v>
                </c:pt>
                <c:pt idx="20">
                  <c:v>61.49</c:v>
                </c:pt>
                <c:pt idx="21">
                  <c:v>59.81</c:v>
                </c:pt>
                <c:pt idx="22">
                  <c:v>59.48</c:v>
                </c:pt>
                <c:pt idx="23">
                  <c:v>59.15</c:v>
                </c:pt>
                <c:pt idx="24">
                  <c:v>60.69</c:v>
                </c:pt>
                <c:pt idx="25">
                  <c:v>60.76</c:v>
                </c:pt>
                <c:pt idx="26">
                  <c:v>59.63</c:v>
                </c:pt>
                <c:pt idx="28">
                  <c:v>57.9</c:v>
                </c:pt>
                <c:pt idx="29">
                  <c:v>57.67</c:v>
                </c:pt>
                <c:pt idx="30">
                  <c:v>60.06</c:v>
                </c:pt>
                <c:pt idx="31">
                  <c:v>63.25</c:v>
                </c:pt>
                <c:pt idx="32">
                  <c:v>61.95</c:v>
                </c:pt>
                <c:pt idx="33">
                  <c:v>62.29</c:v>
                </c:pt>
                <c:pt idx="34">
                  <c:v>62.3</c:v>
                </c:pt>
                <c:pt idx="35">
                  <c:v>61.86</c:v>
                </c:pt>
                <c:pt idx="36">
                  <c:v>61.93</c:v>
                </c:pt>
                <c:pt idx="37">
                  <c:v>61.42</c:v>
                </c:pt>
                <c:pt idx="38">
                  <c:v>61.07</c:v>
                </c:pt>
                <c:pt idx="39">
                  <c:v>63.67</c:v>
                </c:pt>
                <c:pt idx="40">
                  <c:v>64.97</c:v>
                </c:pt>
                <c:pt idx="41">
                  <c:v>65.709999999999994</c:v>
                </c:pt>
                <c:pt idx="42">
                  <c:v>66.260000000000005</c:v>
                </c:pt>
                <c:pt idx="43">
                  <c:v>65.89</c:v>
                </c:pt>
                <c:pt idx="44">
                  <c:v>65.94</c:v>
                </c:pt>
                <c:pt idx="45">
                  <c:v>65.489999999999995</c:v>
                </c:pt>
                <c:pt idx="46">
                  <c:v>66.41</c:v>
                </c:pt>
                <c:pt idx="47">
                  <c:v>65.91</c:v>
                </c:pt>
                <c:pt idx="48">
                  <c:v>65.760000000000005</c:v>
                </c:pt>
                <c:pt idx="49">
                  <c:v>65.52</c:v>
                </c:pt>
                <c:pt idx="50">
                  <c:v>65.23</c:v>
                </c:pt>
                <c:pt idx="51">
                  <c:v>65.31</c:v>
                </c:pt>
                <c:pt idx="52">
                  <c:v>64.87</c:v>
                </c:pt>
                <c:pt idx="53">
                  <c:v>63.59</c:v>
                </c:pt>
                <c:pt idx="54">
                  <c:v>63.92</c:v>
                </c:pt>
                <c:pt idx="55">
                  <c:v>62.74</c:v>
                </c:pt>
                <c:pt idx="56">
                  <c:v>63.52</c:v>
                </c:pt>
                <c:pt idx="57">
                  <c:v>62.76</c:v>
                </c:pt>
                <c:pt idx="58">
                  <c:v>64.069999999999993</c:v>
                </c:pt>
                <c:pt idx="59">
                  <c:v>64.12</c:v>
                </c:pt>
                <c:pt idx="60">
                  <c:v>64.34</c:v>
                </c:pt>
                <c:pt idx="61">
                  <c:v>64.59</c:v>
                </c:pt>
                <c:pt idx="62">
                  <c:v>64.84</c:v>
                </c:pt>
                <c:pt idx="63">
                  <c:v>63.98</c:v>
                </c:pt>
                <c:pt idx="64">
                  <c:v>64.510000000000005</c:v>
                </c:pt>
                <c:pt idx="65">
                  <c:v>63.92</c:v>
                </c:pt>
                <c:pt idx="66">
                  <c:v>64.260000000000005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177248"/>
        <c:axId val="383177640"/>
      </c:lineChart>
      <c:dateAx>
        <c:axId val="383177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77640"/>
        <c:crosses val="autoZero"/>
        <c:auto val="1"/>
        <c:lblOffset val="100"/>
        <c:baseTimeUnit val="days"/>
      </c:dateAx>
      <c:valAx>
        <c:axId val="38317764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7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22.09</c:v>
                </c:pt>
                <c:pt idx="1">
                  <c:v>21.43</c:v>
                </c:pt>
                <c:pt idx="2">
                  <c:v>24.52</c:v>
                </c:pt>
                <c:pt idx="3">
                  <c:v>24.49</c:v>
                </c:pt>
                <c:pt idx="4">
                  <c:v>24.42</c:v>
                </c:pt>
                <c:pt idx="5">
                  <c:v>24.68</c:v>
                </c:pt>
                <c:pt idx="6">
                  <c:v>24.66</c:v>
                </c:pt>
                <c:pt idx="7">
                  <c:v>25.41</c:v>
                </c:pt>
                <c:pt idx="8">
                  <c:v>25.8</c:v>
                </c:pt>
                <c:pt idx="9">
                  <c:v>25.33</c:v>
                </c:pt>
                <c:pt idx="10">
                  <c:v>25.18</c:v>
                </c:pt>
                <c:pt idx="11">
                  <c:v>26.29</c:v>
                </c:pt>
                <c:pt idx="12">
                  <c:v>26.61</c:v>
                </c:pt>
                <c:pt idx="13">
                  <c:v>26.55</c:v>
                </c:pt>
                <c:pt idx="14">
                  <c:v>27.69</c:v>
                </c:pt>
                <c:pt idx="15">
                  <c:v>27.44</c:v>
                </c:pt>
                <c:pt idx="16">
                  <c:v>27.87</c:v>
                </c:pt>
                <c:pt idx="17">
                  <c:v>26.92</c:v>
                </c:pt>
                <c:pt idx="18">
                  <c:v>26.03</c:v>
                </c:pt>
                <c:pt idx="19">
                  <c:v>24.67</c:v>
                </c:pt>
                <c:pt idx="20">
                  <c:v>24.86</c:v>
                </c:pt>
                <c:pt idx="21">
                  <c:v>23.5</c:v>
                </c:pt>
                <c:pt idx="22">
                  <c:v>23.75</c:v>
                </c:pt>
                <c:pt idx="23">
                  <c:v>23.54</c:v>
                </c:pt>
                <c:pt idx="24">
                  <c:v>24.22</c:v>
                </c:pt>
                <c:pt idx="25">
                  <c:v>24.1</c:v>
                </c:pt>
                <c:pt idx="26">
                  <c:v>24.34</c:v>
                </c:pt>
                <c:pt idx="27">
                  <c:v>24.06</c:v>
                </c:pt>
                <c:pt idx="28">
                  <c:v>23.48</c:v>
                </c:pt>
                <c:pt idx="29">
                  <c:v>25.43</c:v>
                </c:pt>
                <c:pt idx="30">
                  <c:v>27.64</c:v>
                </c:pt>
                <c:pt idx="31">
                  <c:v>27.02</c:v>
                </c:pt>
                <c:pt idx="32">
                  <c:v>27.31</c:v>
                </c:pt>
                <c:pt idx="33">
                  <c:v>27.96</c:v>
                </c:pt>
                <c:pt idx="34">
                  <c:v>28.35</c:v>
                </c:pt>
                <c:pt idx="35">
                  <c:v>27.59</c:v>
                </c:pt>
                <c:pt idx="36">
                  <c:v>27.68</c:v>
                </c:pt>
                <c:pt idx="37">
                  <c:v>27.73</c:v>
                </c:pt>
                <c:pt idx="38">
                  <c:v>28.62</c:v>
                </c:pt>
                <c:pt idx="39">
                  <c:v>29.23</c:v>
                </c:pt>
                <c:pt idx="40">
                  <c:v>29.79</c:v>
                </c:pt>
                <c:pt idx="41">
                  <c:v>31.08</c:v>
                </c:pt>
                <c:pt idx="42">
                  <c:v>31.96</c:v>
                </c:pt>
                <c:pt idx="43">
                  <c:v>31.15</c:v>
                </c:pt>
                <c:pt idx="44">
                  <c:v>28.61</c:v>
                </c:pt>
                <c:pt idx="45">
                  <c:v>27.98</c:v>
                </c:pt>
                <c:pt idx="46">
                  <c:v>27.64</c:v>
                </c:pt>
                <c:pt idx="47">
                  <c:v>27.66</c:v>
                </c:pt>
                <c:pt idx="48">
                  <c:v>27.7</c:v>
                </c:pt>
                <c:pt idx="49">
                  <c:v>28.96</c:v>
                </c:pt>
                <c:pt idx="50">
                  <c:v>29.52</c:v>
                </c:pt>
                <c:pt idx="51">
                  <c:v>27.61</c:v>
                </c:pt>
                <c:pt idx="52">
                  <c:v>29.85</c:v>
                </c:pt>
                <c:pt idx="53">
                  <c:v>28.59</c:v>
                </c:pt>
                <c:pt idx="54">
                  <c:v>28.74</c:v>
                </c:pt>
                <c:pt idx="55">
                  <c:v>28.58</c:v>
                </c:pt>
                <c:pt idx="56">
                  <c:v>29.12</c:v>
                </c:pt>
                <c:pt idx="57">
                  <c:v>28.62</c:v>
                </c:pt>
                <c:pt idx="58">
                  <c:v>27.65</c:v>
                </c:pt>
                <c:pt idx="59">
                  <c:v>27.85</c:v>
                </c:pt>
                <c:pt idx="60">
                  <c:v>29.46</c:v>
                </c:pt>
                <c:pt idx="62">
                  <c:v>30.5</c:v>
                </c:pt>
                <c:pt idx="63">
                  <c:v>30.41</c:v>
                </c:pt>
                <c:pt idx="64">
                  <c:v>31</c:v>
                </c:pt>
                <c:pt idx="65">
                  <c:v>30.79</c:v>
                </c:pt>
                <c:pt idx="66">
                  <c:v>32.11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181168"/>
        <c:axId val="383181952"/>
      </c:lineChart>
      <c:dateAx>
        <c:axId val="383181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81952"/>
        <c:crosses val="autoZero"/>
        <c:auto val="1"/>
        <c:lblOffset val="100"/>
        <c:baseTimeUnit val="days"/>
      </c:dateAx>
      <c:valAx>
        <c:axId val="3831819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8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37.85</c:v>
                </c:pt>
                <c:pt idx="1">
                  <c:v>36.42</c:v>
                </c:pt>
                <c:pt idx="2">
                  <c:v>35.880000000000003</c:v>
                </c:pt>
                <c:pt idx="3">
                  <c:v>35.54</c:v>
                </c:pt>
                <c:pt idx="4">
                  <c:v>37.04</c:v>
                </c:pt>
                <c:pt idx="5">
                  <c:v>37.01</c:v>
                </c:pt>
                <c:pt idx="6">
                  <c:v>37.47</c:v>
                </c:pt>
                <c:pt idx="7">
                  <c:v>37.479999999999997</c:v>
                </c:pt>
                <c:pt idx="8">
                  <c:v>38.28</c:v>
                </c:pt>
                <c:pt idx="9">
                  <c:v>37.36</c:v>
                </c:pt>
                <c:pt idx="10">
                  <c:v>37.83</c:v>
                </c:pt>
                <c:pt idx="11">
                  <c:v>37.32</c:v>
                </c:pt>
                <c:pt idx="12">
                  <c:v>42.03</c:v>
                </c:pt>
                <c:pt idx="13">
                  <c:v>42.72</c:v>
                </c:pt>
                <c:pt idx="14">
                  <c:v>43.18</c:v>
                </c:pt>
                <c:pt idx="15">
                  <c:v>43.16</c:v>
                </c:pt>
                <c:pt idx="16">
                  <c:v>43.17</c:v>
                </c:pt>
                <c:pt idx="17">
                  <c:v>42.4</c:v>
                </c:pt>
                <c:pt idx="18">
                  <c:v>42.84</c:v>
                </c:pt>
                <c:pt idx="19">
                  <c:v>41.04</c:v>
                </c:pt>
                <c:pt idx="20">
                  <c:v>40.54</c:v>
                </c:pt>
                <c:pt idx="21">
                  <c:v>39.85</c:v>
                </c:pt>
                <c:pt idx="22">
                  <c:v>39.130000000000003</c:v>
                </c:pt>
                <c:pt idx="23">
                  <c:v>39.21</c:v>
                </c:pt>
                <c:pt idx="24">
                  <c:v>39.6</c:v>
                </c:pt>
                <c:pt idx="25">
                  <c:v>39.21</c:v>
                </c:pt>
                <c:pt idx="26">
                  <c:v>38.89</c:v>
                </c:pt>
                <c:pt idx="27">
                  <c:v>37.43</c:v>
                </c:pt>
                <c:pt idx="28">
                  <c:v>36.76</c:v>
                </c:pt>
                <c:pt idx="29">
                  <c:v>38.31</c:v>
                </c:pt>
                <c:pt idx="30">
                  <c:v>39.590000000000003</c:v>
                </c:pt>
                <c:pt idx="31">
                  <c:v>40.26</c:v>
                </c:pt>
                <c:pt idx="32">
                  <c:v>40.520000000000003</c:v>
                </c:pt>
                <c:pt idx="33">
                  <c:v>40.020000000000003</c:v>
                </c:pt>
                <c:pt idx="34">
                  <c:v>39.74</c:v>
                </c:pt>
                <c:pt idx="35">
                  <c:v>39.78</c:v>
                </c:pt>
                <c:pt idx="36">
                  <c:v>39.94</c:v>
                </c:pt>
                <c:pt idx="37">
                  <c:v>39.880000000000003</c:v>
                </c:pt>
                <c:pt idx="38">
                  <c:v>42.16</c:v>
                </c:pt>
                <c:pt idx="39">
                  <c:v>43.63</c:v>
                </c:pt>
                <c:pt idx="40">
                  <c:v>44.19</c:v>
                </c:pt>
                <c:pt idx="41">
                  <c:v>43.5</c:v>
                </c:pt>
                <c:pt idx="42">
                  <c:v>43.07</c:v>
                </c:pt>
                <c:pt idx="43">
                  <c:v>41.77</c:v>
                </c:pt>
                <c:pt idx="45">
                  <c:v>41.69</c:v>
                </c:pt>
                <c:pt idx="46">
                  <c:v>42.17</c:v>
                </c:pt>
                <c:pt idx="47">
                  <c:v>42.54</c:v>
                </c:pt>
                <c:pt idx="48">
                  <c:v>42.48</c:v>
                </c:pt>
                <c:pt idx="49">
                  <c:v>42.33</c:v>
                </c:pt>
                <c:pt idx="50">
                  <c:v>41.79</c:v>
                </c:pt>
                <c:pt idx="51">
                  <c:v>42.53</c:v>
                </c:pt>
                <c:pt idx="52">
                  <c:v>42.8</c:v>
                </c:pt>
                <c:pt idx="53">
                  <c:v>42.21</c:v>
                </c:pt>
                <c:pt idx="54">
                  <c:v>42.19</c:v>
                </c:pt>
                <c:pt idx="55">
                  <c:v>42.17</c:v>
                </c:pt>
                <c:pt idx="56">
                  <c:v>42.9</c:v>
                </c:pt>
                <c:pt idx="57">
                  <c:v>42.2</c:v>
                </c:pt>
                <c:pt idx="58">
                  <c:v>42.23</c:v>
                </c:pt>
                <c:pt idx="59">
                  <c:v>41.56</c:v>
                </c:pt>
                <c:pt idx="60">
                  <c:v>41.22</c:v>
                </c:pt>
                <c:pt idx="61">
                  <c:v>42.11</c:v>
                </c:pt>
                <c:pt idx="62">
                  <c:v>42.85</c:v>
                </c:pt>
                <c:pt idx="63">
                  <c:v>42.19</c:v>
                </c:pt>
                <c:pt idx="64">
                  <c:v>41.73</c:v>
                </c:pt>
                <c:pt idx="65">
                  <c:v>41.53</c:v>
                </c:pt>
                <c:pt idx="66">
                  <c:v>41.66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182736"/>
        <c:axId val="383184696"/>
      </c:lineChart>
      <c:dateAx>
        <c:axId val="383182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84696"/>
        <c:crosses val="autoZero"/>
        <c:auto val="1"/>
        <c:lblOffset val="100"/>
        <c:baseTimeUnit val="days"/>
      </c:dateAx>
      <c:valAx>
        <c:axId val="3831846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8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50.66</c:v>
                </c:pt>
                <c:pt idx="1">
                  <c:v>49.43</c:v>
                </c:pt>
                <c:pt idx="2">
                  <c:v>49.44</c:v>
                </c:pt>
                <c:pt idx="3">
                  <c:v>49.96</c:v>
                </c:pt>
                <c:pt idx="4">
                  <c:v>50.6</c:v>
                </c:pt>
                <c:pt idx="5">
                  <c:v>50.53</c:v>
                </c:pt>
                <c:pt idx="6">
                  <c:v>50.69</c:v>
                </c:pt>
                <c:pt idx="7">
                  <c:v>50.51</c:v>
                </c:pt>
                <c:pt idx="8">
                  <c:v>58.09</c:v>
                </c:pt>
                <c:pt idx="9">
                  <c:v>57.9</c:v>
                </c:pt>
                <c:pt idx="10">
                  <c:v>57.89</c:v>
                </c:pt>
                <c:pt idx="11">
                  <c:v>57.2</c:v>
                </c:pt>
                <c:pt idx="12">
                  <c:v>57.83</c:v>
                </c:pt>
                <c:pt idx="13">
                  <c:v>57.45</c:v>
                </c:pt>
                <c:pt idx="14">
                  <c:v>57.47</c:v>
                </c:pt>
                <c:pt idx="15">
                  <c:v>57.25</c:v>
                </c:pt>
                <c:pt idx="16">
                  <c:v>57.43</c:v>
                </c:pt>
                <c:pt idx="17">
                  <c:v>56.86</c:v>
                </c:pt>
                <c:pt idx="18">
                  <c:v>56.16</c:v>
                </c:pt>
                <c:pt idx="19">
                  <c:v>56.24</c:v>
                </c:pt>
                <c:pt idx="20">
                  <c:v>56.38</c:v>
                </c:pt>
                <c:pt idx="21">
                  <c:v>54.94</c:v>
                </c:pt>
                <c:pt idx="22">
                  <c:v>54.96</c:v>
                </c:pt>
                <c:pt idx="23">
                  <c:v>54.25</c:v>
                </c:pt>
                <c:pt idx="24">
                  <c:v>55.5</c:v>
                </c:pt>
                <c:pt idx="25">
                  <c:v>55.93</c:v>
                </c:pt>
                <c:pt idx="26">
                  <c:v>54.56</c:v>
                </c:pt>
                <c:pt idx="27">
                  <c:v>53.05</c:v>
                </c:pt>
                <c:pt idx="28">
                  <c:v>51.16</c:v>
                </c:pt>
                <c:pt idx="29">
                  <c:v>53.35</c:v>
                </c:pt>
                <c:pt idx="30">
                  <c:v>57.17</c:v>
                </c:pt>
                <c:pt idx="31">
                  <c:v>54.7</c:v>
                </c:pt>
                <c:pt idx="32">
                  <c:v>54.7</c:v>
                </c:pt>
                <c:pt idx="33">
                  <c:v>54.14</c:v>
                </c:pt>
                <c:pt idx="34">
                  <c:v>53.19</c:v>
                </c:pt>
                <c:pt idx="35">
                  <c:v>53.71</c:v>
                </c:pt>
                <c:pt idx="36">
                  <c:v>53.27</c:v>
                </c:pt>
                <c:pt idx="37">
                  <c:v>52.66</c:v>
                </c:pt>
                <c:pt idx="38">
                  <c:v>52.21</c:v>
                </c:pt>
                <c:pt idx="39">
                  <c:v>52.73</c:v>
                </c:pt>
                <c:pt idx="40">
                  <c:v>55.44</c:v>
                </c:pt>
                <c:pt idx="41">
                  <c:v>54.92</c:v>
                </c:pt>
                <c:pt idx="42">
                  <c:v>54.85</c:v>
                </c:pt>
                <c:pt idx="43">
                  <c:v>54.53</c:v>
                </c:pt>
                <c:pt idx="44">
                  <c:v>53.55</c:v>
                </c:pt>
                <c:pt idx="45">
                  <c:v>54.9</c:v>
                </c:pt>
                <c:pt idx="46">
                  <c:v>54.42</c:v>
                </c:pt>
                <c:pt idx="47">
                  <c:v>54.58</c:v>
                </c:pt>
                <c:pt idx="48">
                  <c:v>54.2</c:v>
                </c:pt>
                <c:pt idx="49">
                  <c:v>53.98</c:v>
                </c:pt>
                <c:pt idx="50">
                  <c:v>52.86</c:v>
                </c:pt>
                <c:pt idx="51">
                  <c:v>52.7</c:v>
                </c:pt>
                <c:pt idx="52">
                  <c:v>51.29</c:v>
                </c:pt>
                <c:pt idx="53">
                  <c:v>51.73</c:v>
                </c:pt>
                <c:pt idx="54">
                  <c:v>50.68</c:v>
                </c:pt>
                <c:pt idx="55">
                  <c:v>50.97</c:v>
                </c:pt>
                <c:pt idx="56">
                  <c:v>50.97</c:v>
                </c:pt>
                <c:pt idx="57">
                  <c:v>51.36</c:v>
                </c:pt>
                <c:pt idx="58">
                  <c:v>50.49</c:v>
                </c:pt>
                <c:pt idx="59">
                  <c:v>51.12</c:v>
                </c:pt>
                <c:pt idx="60">
                  <c:v>50.72</c:v>
                </c:pt>
                <c:pt idx="61">
                  <c:v>51.97</c:v>
                </c:pt>
                <c:pt idx="62">
                  <c:v>50.15</c:v>
                </c:pt>
                <c:pt idx="63">
                  <c:v>49.94</c:v>
                </c:pt>
                <c:pt idx="64">
                  <c:v>49.51</c:v>
                </c:pt>
                <c:pt idx="65">
                  <c:v>49.54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050720"/>
        <c:axId val="366047584"/>
      </c:lineChart>
      <c:dateAx>
        <c:axId val="366050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047584"/>
        <c:crosses val="autoZero"/>
        <c:auto val="1"/>
        <c:lblOffset val="100"/>
        <c:baseTimeUnit val="days"/>
      </c:dateAx>
      <c:valAx>
        <c:axId val="3660475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05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13.87</c:v>
                </c:pt>
                <c:pt idx="1">
                  <c:v>13.41</c:v>
                </c:pt>
                <c:pt idx="2">
                  <c:v>13.42</c:v>
                </c:pt>
                <c:pt idx="3">
                  <c:v>12.9</c:v>
                </c:pt>
                <c:pt idx="4">
                  <c:v>12.92</c:v>
                </c:pt>
                <c:pt idx="5">
                  <c:v>13.64</c:v>
                </c:pt>
                <c:pt idx="6">
                  <c:v>13.35</c:v>
                </c:pt>
                <c:pt idx="7">
                  <c:v>13.13</c:v>
                </c:pt>
                <c:pt idx="8">
                  <c:v>13.78</c:v>
                </c:pt>
                <c:pt idx="9">
                  <c:v>13.58</c:v>
                </c:pt>
                <c:pt idx="10">
                  <c:v>14.11</c:v>
                </c:pt>
                <c:pt idx="11">
                  <c:v>14.42</c:v>
                </c:pt>
                <c:pt idx="12">
                  <c:v>14.84</c:v>
                </c:pt>
                <c:pt idx="13">
                  <c:v>14.75</c:v>
                </c:pt>
                <c:pt idx="14">
                  <c:v>15.18</c:v>
                </c:pt>
                <c:pt idx="15">
                  <c:v>15.21</c:v>
                </c:pt>
                <c:pt idx="16">
                  <c:v>15.27</c:v>
                </c:pt>
                <c:pt idx="17">
                  <c:v>15.29</c:v>
                </c:pt>
                <c:pt idx="18">
                  <c:v>15.6</c:v>
                </c:pt>
                <c:pt idx="19">
                  <c:v>14.69</c:v>
                </c:pt>
                <c:pt idx="20">
                  <c:v>14.92</c:v>
                </c:pt>
                <c:pt idx="21">
                  <c:v>14.74</c:v>
                </c:pt>
                <c:pt idx="22">
                  <c:v>14.84</c:v>
                </c:pt>
                <c:pt idx="23">
                  <c:v>14.72</c:v>
                </c:pt>
                <c:pt idx="24">
                  <c:v>15.68</c:v>
                </c:pt>
                <c:pt idx="25">
                  <c:v>15.01</c:v>
                </c:pt>
                <c:pt idx="26">
                  <c:v>15.14</c:v>
                </c:pt>
                <c:pt idx="27">
                  <c:v>14.78</c:v>
                </c:pt>
                <c:pt idx="28">
                  <c:v>13.66</c:v>
                </c:pt>
                <c:pt idx="29">
                  <c:v>14.59</c:v>
                </c:pt>
                <c:pt idx="30">
                  <c:v>15.27</c:v>
                </c:pt>
                <c:pt idx="31">
                  <c:v>14.75</c:v>
                </c:pt>
                <c:pt idx="32">
                  <c:v>15.09</c:v>
                </c:pt>
                <c:pt idx="33">
                  <c:v>14.48</c:v>
                </c:pt>
                <c:pt idx="34">
                  <c:v>13.16</c:v>
                </c:pt>
                <c:pt idx="35">
                  <c:v>12.67</c:v>
                </c:pt>
                <c:pt idx="36">
                  <c:v>13.06</c:v>
                </c:pt>
                <c:pt idx="37">
                  <c:v>13.23</c:v>
                </c:pt>
                <c:pt idx="38">
                  <c:v>13.28</c:v>
                </c:pt>
                <c:pt idx="39">
                  <c:v>13.42</c:v>
                </c:pt>
                <c:pt idx="40">
                  <c:v>14.26</c:v>
                </c:pt>
                <c:pt idx="41">
                  <c:v>14.53</c:v>
                </c:pt>
                <c:pt idx="42">
                  <c:v>14.62</c:v>
                </c:pt>
                <c:pt idx="43">
                  <c:v>13.96</c:v>
                </c:pt>
                <c:pt idx="44">
                  <c:v>13.32</c:v>
                </c:pt>
                <c:pt idx="45">
                  <c:v>13.38</c:v>
                </c:pt>
                <c:pt idx="46">
                  <c:v>13.23</c:v>
                </c:pt>
                <c:pt idx="47">
                  <c:v>13.07</c:v>
                </c:pt>
                <c:pt idx="48">
                  <c:v>12.9</c:v>
                </c:pt>
                <c:pt idx="49">
                  <c:v>13.17</c:v>
                </c:pt>
                <c:pt idx="50">
                  <c:v>13.54</c:v>
                </c:pt>
                <c:pt idx="51">
                  <c:v>13.02</c:v>
                </c:pt>
                <c:pt idx="52">
                  <c:v>13.19</c:v>
                </c:pt>
                <c:pt idx="53">
                  <c:v>13.11</c:v>
                </c:pt>
                <c:pt idx="54">
                  <c:v>12.74</c:v>
                </c:pt>
                <c:pt idx="55">
                  <c:v>12.66</c:v>
                </c:pt>
                <c:pt idx="56">
                  <c:v>12.86</c:v>
                </c:pt>
                <c:pt idx="57">
                  <c:v>12.78</c:v>
                </c:pt>
                <c:pt idx="59">
                  <c:v>12.3</c:v>
                </c:pt>
                <c:pt idx="60">
                  <c:v>12.33</c:v>
                </c:pt>
                <c:pt idx="61">
                  <c:v>12.46</c:v>
                </c:pt>
                <c:pt idx="62">
                  <c:v>11.94</c:v>
                </c:pt>
                <c:pt idx="63">
                  <c:v>11.44</c:v>
                </c:pt>
                <c:pt idx="64">
                  <c:v>12.03</c:v>
                </c:pt>
                <c:pt idx="65">
                  <c:v>12.07</c:v>
                </c:pt>
                <c:pt idx="66">
                  <c:v>12.17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182048"/>
        <c:axId val="395180480"/>
      </c:lineChart>
      <c:dateAx>
        <c:axId val="39518204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80480"/>
        <c:crosses val="autoZero"/>
        <c:auto val="1"/>
        <c:lblOffset val="100"/>
        <c:baseTimeUnit val="days"/>
      </c:dateAx>
      <c:valAx>
        <c:axId val="39518048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8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32.619999999999997</c:v>
                </c:pt>
                <c:pt idx="1">
                  <c:v>32.549999999999997</c:v>
                </c:pt>
                <c:pt idx="2">
                  <c:v>33.200000000000003</c:v>
                </c:pt>
                <c:pt idx="3">
                  <c:v>32.61</c:v>
                </c:pt>
                <c:pt idx="4">
                  <c:v>34.01</c:v>
                </c:pt>
                <c:pt idx="5">
                  <c:v>34.19</c:v>
                </c:pt>
                <c:pt idx="6">
                  <c:v>34.4</c:v>
                </c:pt>
                <c:pt idx="7">
                  <c:v>35.57</c:v>
                </c:pt>
                <c:pt idx="8">
                  <c:v>36.42</c:v>
                </c:pt>
                <c:pt idx="9">
                  <c:v>35.79</c:v>
                </c:pt>
                <c:pt idx="10">
                  <c:v>35.979999999999997</c:v>
                </c:pt>
                <c:pt idx="11">
                  <c:v>35.96</c:v>
                </c:pt>
                <c:pt idx="12">
                  <c:v>36.4</c:v>
                </c:pt>
                <c:pt idx="13">
                  <c:v>36.21</c:v>
                </c:pt>
                <c:pt idx="14">
                  <c:v>36.340000000000003</c:v>
                </c:pt>
                <c:pt idx="15">
                  <c:v>36.71</c:v>
                </c:pt>
                <c:pt idx="16">
                  <c:v>37.299999999999997</c:v>
                </c:pt>
                <c:pt idx="17">
                  <c:v>37.479999999999997</c:v>
                </c:pt>
                <c:pt idx="18">
                  <c:v>37.39</c:v>
                </c:pt>
                <c:pt idx="19">
                  <c:v>37.54</c:v>
                </c:pt>
                <c:pt idx="20">
                  <c:v>37.86</c:v>
                </c:pt>
                <c:pt idx="21">
                  <c:v>37.32</c:v>
                </c:pt>
                <c:pt idx="22">
                  <c:v>37.58</c:v>
                </c:pt>
                <c:pt idx="23">
                  <c:v>37.33</c:v>
                </c:pt>
                <c:pt idx="24">
                  <c:v>36.549999999999997</c:v>
                </c:pt>
                <c:pt idx="25">
                  <c:v>36.79</c:v>
                </c:pt>
                <c:pt idx="26">
                  <c:v>36.450000000000003</c:v>
                </c:pt>
                <c:pt idx="27">
                  <c:v>36.049999999999997</c:v>
                </c:pt>
                <c:pt idx="28">
                  <c:v>36.619999999999997</c:v>
                </c:pt>
                <c:pt idx="29">
                  <c:v>35.14</c:v>
                </c:pt>
                <c:pt idx="30">
                  <c:v>34.67</c:v>
                </c:pt>
                <c:pt idx="31">
                  <c:v>34.22</c:v>
                </c:pt>
                <c:pt idx="32">
                  <c:v>34.47</c:v>
                </c:pt>
                <c:pt idx="33">
                  <c:v>34.71</c:v>
                </c:pt>
                <c:pt idx="34">
                  <c:v>35.18</c:v>
                </c:pt>
                <c:pt idx="35">
                  <c:v>35.47</c:v>
                </c:pt>
                <c:pt idx="36">
                  <c:v>35.71</c:v>
                </c:pt>
                <c:pt idx="37">
                  <c:v>35.76</c:v>
                </c:pt>
                <c:pt idx="38">
                  <c:v>36.14</c:v>
                </c:pt>
                <c:pt idx="39">
                  <c:v>36.81</c:v>
                </c:pt>
                <c:pt idx="40">
                  <c:v>36.58</c:v>
                </c:pt>
                <c:pt idx="41">
                  <c:v>36.520000000000003</c:v>
                </c:pt>
                <c:pt idx="42">
                  <c:v>36.29</c:v>
                </c:pt>
                <c:pt idx="43">
                  <c:v>36.020000000000003</c:v>
                </c:pt>
                <c:pt idx="44">
                  <c:v>36.25</c:v>
                </c:pt>
                <c:pt idx="45">
                  <c:v>36.44</c:v>
                </c:pt>
                <c:pt idx="46">
                  <c:v>36.42</c:v>
                </c:pt>
                <c:pt idx="47">
                  <c:v>35.76</c:v>
                </c:pt>
                <c:pt idx="48">
                  <c:v>35.71</c:v>
                </c:pt>
                <c:pt idx="49">
                  <c:v>35.590000000000003</c:v>
                </c:pt>
                <c:pt idx="50">
                  <c:v>34.94</c:v>
                </c:pt>
                <c:pt idx="51">
                  <c:v>35.520000000000003</c:v>
                </c:pt>
                <c:pt idx="52">
                  <c:v>34.799999999999997</c:v>
                </c:pt>
                <c:pt idx="53">
                  <c:v>34.619999999999997</c:v>
                </c:pt>
                <c:pt idx="54">
                  <c:v>34.83</c:v>
                </c:pt>
                <c:pt idx="55">
                  <c:v>34.369999999999997</c:v>
                </c:pt>
                <c:pt idx="56">
                  <c:v>34.46</c:v>
                </c:pt>
                <c:pt idx="57">
                  <c:v>34.76</c:v>
                </c:pt>
                <c:pt idx="58">
                  <c:v>34.86</c:v>
                </c:pt>
                <c:pt idx="59">
                  <c:v>34.89</c:v>
                </c:pt>
                <c:pt idx="60">
                  <c:v>34.71</c:v>
                </c:pt>
                <c:pt idx="62">
                  <c:v>35.24</c:v>
                </c:pt>
                <c:pt idx="63">
                  <c:v>35.840000000000003</c:v>
                </c:pt>
                <c:pt idx="64">
                  <c:v>34.549999999999997</c:v>
                </c:pt>
                <c:pt idx="65">
                  <c:v>34.92</c:v>
                </c:pt>
                <c:pt idx="66">
                  <c:v>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189104"/>
        <c:axId val="395186752"/>
      </c:lineChart>
      <c:dateAx>
        <c:axId val="395189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86752"/>
        <c:crosses val="autoZero"/>
        <c:auto val="1"/>
        <c:lblOffset val="100"/>
        <c:baseTimeUnit val="days"/>
      </c:dateAx>
      <c:valAx>
        <c:axId val="39518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8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42577</c:v>
                </c:pt>
                <c:pt idx="10">
                  <c:v>42576</c:v>
                </c:pt>
                <c:pt idx="11">
                  <c:v>42573</c:v>
                </c:pt>
                <c:pt idx="12">
                  <c:v>42572</c:v>
                </c:pt>
                <c:pt idx="13">
                  <c:v>42571</c:v>
                </c:pt>
                <c:pt idx="14">
                  <c:v>42570</c:v>
                </c:pt>
                <c:pt idx="15">
                  <c:v>42569</c:v>
                </c:pt>
                <c:pt idx="16">
                  <c:v>42566</c:v>
                </c:pt>
                <c:pt idx="17">
                  <c:v>42565</c:v>
                </c:pt>
                <c:pt idx="18">
                  <c:v>42564</c:v>
                </c:pt>
                <c:pt idx="19">
                  <c:v>42563</c:v>
                </c:pt>
                <c:pt idx="20">
                  <c:v>42562</c:v>
                </c:pt>
                <c:pt idx="21">
                  <c:v>42559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12.19</c:v>
                </c:pt>
                <c:pt idx="1">
                  <c:v>12.08</c:v>
                </c:pt>
                <c:pt idx="2">
                  <c:v>12.13</c:v>
                </c:pt>
                <c:pt idx="3">
                  <c:v>11.94</c:v>
                </c:pt>
                <c:pt idx="4">
                  <c:v>12.48</c:v>
                </c:pt>
                <c:pt idx="5">
                  <c:v>12.66</c:v>
                </c:pt>
                <c:pt idx="6">
                  <c:v>12.71</c:v>
                </c:pt>
                <c:pt idx="7">
                  <c:v>13.84</c:v>
                </c:pt>
                <c:pt idx="8">
                  <c:v>13.86</c:v>
                </c:pt>
                <c:pt idx="10">
                  <c:v>13.83</c:v>
                </c:pt>
                <c:pt idx="11">
                  <c:v>13.84</c:v>
                </c:pt>
                <c:pt idx="12">
                  <c:v>13.92</c:v>
                </c:pt>
                <c:pt idx="13">
                  <c:v>13.74</c:v>
                </c:pt>
                <c:pt idx="14">
                  <c:v>13.65</c:v>
                </c:pt>
                <c:pt idx="15">
                  <c:v>13.65</c:v>
                </c:pt>
                <c:pt idx="16">
                  <c:v>13.57</c:v>
                </c:pt>
                <c:pt idx="17">
                  <c:v>13.59</c:v>
                </c:pt>
                <c:pt idx="18">
                  <c:v>13.48</c:v>
                </c:pt>
                <c:pt idx="19">
                  <c:v>13.45</c:v>
                </c:pt>
                <c:pt idx="20">
                  <c:v>13.27</c:v>
                </c:pt>
                <c:pt idx="21">
                  <c:v>13.09</c:v>
                </c:pt>
                <c:pt idx="22">
                  <c:v>12.75</c:v>
                </c:pt>
                <c:pt idx="23">
                  <c:v>12.57</c:v>
                </c:pt>
                <c:pt idx="24">
                  <c:v>12.4</c:v>
                </c:pt>
                <c:pt idx="25">
                  <c:v>12.72</c:v>
                </c:pt>
                <c:pt idx="26">
                  <c:v>12.57</c:v>
                </c:pt>
                <c:pt idx="27">
                  <c:v>12.55</c:v>
                </c:pt>
                <c:pt idx="28">
                  <c:v>12.39</c:v>
                </c:pt>
                <c:pt idx="29">
                  <c:v>12.16</c:v>
                </c:pt>
                <c:pt idx="30">
                  <c:v>12.52</c:v>
                </c:pt>
                <c:pt idx="31">
                  <c:v>13.4</c:v>
                </c:pt>
                <c:pt idx="32">
                  <c:v>13.18</c:v>
                </c:pt>
                <c:pt idx="33">
                  <c:v>13.22</c:v>
                </c:pt>
                <c:pt idx="34">
                  <c:v>13.42</c:v>
                </c:pt>
                <c:pt idx="35">
                  <c:v>13.26</c:v>
                </c:pt>
                <c:pt idx="36">
                  <c:v>13.12</c:v>
                </c:pt>
                <c:pt idx="37">
                  <c:v>13.01</c:v>
                </c:pt>
                <c:pt idx="38">
                  <c:v>12.84</c:v>
                </c:pt>
                <c:pt idx="39">
                  <c:v>12.98</c:v>
                </c:pt>
                <c:pt idx="40">
                  <c:v>13.1</c:v>
                </c:pt>
                <c:pt idx="41">
                  <c:v>13.26</c:v>
                </c:pt>
                <c:pt idx="42">
                  <c:v>13.36</c:v>
                </c:pt>
                <c:pt idx="43">
                  <c:v>13.38</c:v>
                </c:pt>
                <c:pt idx="44">
                  <c:v>13.18</c:v>
                </c:pt>
                <c:pt idx="45">
                  <c:v>13.04</c:v>
                </c:pt>
                <c:pt idx="46">
                  <c:v>13.21</c:v>
                </c:pt>
                <c:pt idx="47">
                  <c:v>13.11</c:v>
                </c:pt>
                <c:pt idx="48">
                  <c:v>13.49</c:v>
                </c:pt>
                <c:pt idx="49">
                  <c:v>13.45</c:v>
                </c:pt>
                <c:pt idx="50">
                  <c:v>13.46</c:v>
                </c:pt>
                <c:pt idx="51">
                  <c:v>13.52</c:v>
                </c:pt>
                <c:pt idx="52">
                  <c:v>13.29</c:v>
                </c:pt>
                <c:pt idx="53">
                  <c:v>13.13</c:v>
                </c:pt>
                <c:pt idx="54">
                  <c:v>13.19</c:v>
                </c:pt>
                <c:pt idx="55">
                  <c:v>13.09</c:v>
                </c:pt>
                <c:pt idx="56">
                  <c:v>13.16</c:v>
                </c:pt>
                <c:pt idx="57">
                  <c:v>13.14</c:v>
                </c:pt>
                <c:pt idx="58">
                  <c:v>13.32</c:v>
                </c:pt>
                <c:pt idx="59">
                  <c:v>13.22</c:v>
                </c:pt>
                <c:pt idx="60">
                  <c:v>13.35</c:v>
                </c:pt>
                <c:pt idx="61">
                  <c:v>13.32</c:v>
                </c:pt>
                <c:pt idx="62">
                  <c:v>13.49</c:v>
                </c:pt>
                <c:pt idx="63">
                  <c:v>13.32</c:v>
                </c:pt>
                <c:pt idx="64">
                  <c:v>13.44</c:v>
                </c:pt>
                <c:pt idx="65">
                  <c:v>13.32</c:v>
                </c:pt>
                <c:pt idx="66">
                  <c:v>13.31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185184"/>
        <c:axId val="395189496"/>
      </c:lineChart>
      <c:dateAx>
        <c:axId val="395185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89496"/>
        <c:crosses val="autoZero"/>
        <c:auto val="1"/>
        <c:lblOffset val="100"/>
        <c:baseTimeUnit val="days"/>
      </c:dateAx>
      <c:valAx>
        <c:axId val="39518949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8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13.01</c:v>
                </c:pt>
                <c:pt idx="1">
                  <c:v>12.97</c:v>
                </c:pt>
                <c:pt idx="2">
                  <c:v>13.52</c:v>
                </c:pt>
                <c:pt idx="3">
                  <c:v>13.45</c:v>
                </c:pt>
                <c:pt idx="4">
                  <c:v>13.43</c:v>
                </c:pt>
                <c:pt idx="5">
                  <c:v>13.74</c:v>
                </c:pt>
                <c:pt idx="6">
                  <c:v>14.23</c:v>
                </c:pt>
                <c:pt idx="7">
                  <c:v>14.06</c:v>
                </c:pt>
                <c:pt idx="8">
                  <c:v>14.75</c:v>
                </c:pt>
                <c:pt idx="9">
                  <c:v>14.69</c:v>
                </c:pt>
                <c:pt idx="10">
                  <c:v>14.76</c:v>
                </c:pt>
                <c:pt idx="11">
                  <c:v>14.63</c:v>
                </c:pt>
                <c:pt idx="12">
                  <c:v>14.43</c:v>
                </c:pt>
                <c:pt idx="13">
                  <c:v>14.49</c:v>
                </c:pt>
                <c:pt idx="14">
                  <c:v>14.95</c:v>
                </c:pt>
                <c:pt idx="15">
                  <c:v>14.92</c:v>
                </c:pt>
                <c:pt idx="16">
                  <c:v>15</c:v>
                </c:pt>
                <c:pt idx="17">
                  <c:v>15.02</c:v>
                </c:pt>
                <c:pt idx="18">
                  <c:v>14.98</c:v>
                </c:pt>
                <c:pt idx="19">
                  <c:v>14.73</c:v>
                </c:pt>
                <c:pt idx="20">
                  <c:v>14.51</c:v>
                </c:pt>
                <c:pt idx="21">
                  <c:v>14.23</c:v>
                </c:pt>
                <c:pt idx="22">
                  <c:v>14.33</c:v>
                </c:pt>
                <c:pt idx="23">
                  <c:v>14.31</c:v>
                </c:pt>
                <c:pt idx="24">
                  <c:v>14.71</c:v>
                </c:pt>
                <c:pt idx="25">
                  <c:v>14.75</c:v>
                </c:pt>
                <c:pt idx="26">
                  <c:v>14.58</c:v>
                </c:pt>
                <c:pt idx="27">
                  <c:v>14.22</c:v>
                </c:pt>
                <c:pt idx="28">
                  <c:v>13.41</c:v>
                </c:pt>
                <c:pt idx="29">
                  <c:v>13.7</c:v>
                </c:pt>
                <c:pt idx="30">
                  <c:v>14.18</c:v>
                </c:pt>
                <c:pt idx="31">
                  <c:v>13.79</c:v>
                </c:pt>
                <c:pt idx="32">
                  <c:v>14.11</c:v>
                </c:pt>
                <c:pt idx="33">
                  <c:v>14.14</c:v>
                </c:pt>
                <c:pt idx="34">
                  <c:v>14.24</c:v>
                </c:pt>
                <c:pt idx="35">
                  <c:v>13.75</c:v>
                </c:pt>
                <c:pt idx="36">
                  <c:v>13.56</c:v>
                </c:pt>
                <c:pt idx="37">
                  <c:v>13.88</c:v>
                </c:pt>
                <c:pt idx="38">
                  <c:v>14.25</c:v>
                </c:pt>
                <c:pt idx="39">
                  <c:v>14.51</c:v>
                </c:pt>
                <c:pt idx="40">
                  <c:v>15.6</c:v>
                </c:pt>
                <c:pt idx="41">
                  <c:v>15.85</c:v>
                </c:pt>
                <c:pt idx="42">
                  <c:v>15.86</c:v>
                </c:pt>
                <c:pt idx="43">
                  <c:v>16</c:v>
                </c:pt>
                <c:pt idx="44">
                  <c:v>15.3</c:v>
                </c:pt>
                <c:pt idx="45">
                  <c:v>15.19</c:v>
                </c:pt>
                <c:pt idx="46">
                  <c:v>15.08</c:v>
                </c:pt>
                <c:pt idx="47">
                  <c:v>14.8</c:v>
                </c:pt>
                <c:pt idx="48">
                  <c:v>14.74</c:v>
                </c:pt>
                <c:pt idx="49">
                  <c:v>14.52</c:v>
                </c:pt>
                <c:pt idx="50">
                  <c:v>14.51</c:v>
                </c:pt>
                <c:pt idx="51">
                  <c:v>14.95</c:v>
                </c:pt>
                <c:pt idx="52">
                  <c:v>14.83</c:v>
                </c:pt>
                <c:pt idx="53">
                  <c:v>14.95</c:v>
                </c:pt>
                <c:pt idx="54">
                  <c:v>14.53</c:v>
                </c:pt>
                <c:pt idx="55">
                  <c:v>14.42</c:v>
                </c:pt>
                <c:pt idx="56">
                  <c:v>14.77</c:v>
                </c:pt>
                <c:pt idx="57">
                  <c:v>14.77</c:v>
                </c:pt>
                <c:pt idx="58">
                  <c:v>14.71</c:v>
                </c:pt>
                <c:pt idx="59">
                  <c:v>15.03</c:v>
                </c:pt>
                <c:pt idx="60">
                  <c:v>15.03</c:v>
                </c:pt>
                <c:pt idx="61">
                  <c:v>15.29</c:v>
                </c:pt>
                <c:pt idx="62">
                  <c:v>14.91</c:v>
                </c:pt>
                <c:pt idx="63">
                  <c:v>15.28</c:v>
                </c:pt>
                <c:pt idx="64">
                  <c:v>15</c:v>
                </c:pt>
                <c:pt idx="65">
                  <c:v>15.02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183224"/>
        <c:axId val="395180872"/>
      </c:lineChart>
      <c:dateAx>
        <c:axId val="3951832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80872"/>
        <c:crosses val="autoZero"/>
        <c:auto val="1"/>
        <c:lblOffset val="100"/>
        <c:baseTimeUnit val="days"/>
      </c:dateAx>
      <c:valAx>
        <c:axId val="39518087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83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55.85</c:v>
                </c:pt>
                <c:pt idx="1">
                  <c:v>54.79</c:v>
                </c:pt>
                <c:pt idx="2">
                  <c:v>54.75</c:v>
                </c:pt>
                <c:pt idx="3">
                  <c:v>54.92</c:v>
                </c:pt>
                <c:pt idx="4">
                  <c:v>55.41</c:v>
                </c:pt>
                <c:pt idx="5">
                  <c:v>55.5</c:v>
                </c:pt>
                <c:pt idx="6">
                  <c:v>55.45</c:v>
                </c:pt>
                <c:pt idx="7">
                  <c:v>55.79</c:v>
                </c:pt>
                <c:pt idx="8">
                  <c:v>56.37</c:v>
                </c:pt>
                <c:pt idx="9">
                  <c:v>57.14</c:v>
                </c:pt>
                <c:pt idx="10">
                  <c:v>56.73</c:v>
                </c:pt>
                <c:pt idx="11">
                  <c:v>56.99</c:v>
                </c:pt>
                <c:pt idx="12">
                  <c:v>57.76</c:v>
                </c:pt>
                <c:pt idx="13">
                  <c:v>57.76</c:v>
                </c:pt>
                <c:pt idx="14">
                  <c:v>57.74</c:v>
                </c:pt>
                <c:pt idx="15">
                  <c:v>57.87</c:v>
                </c:pt>
                <c:pt idx="16">
                  <c:v>58.49</c:v>
                </c:pt>
                <c:pt idx="17">
                  <c:v>57.99</c:v>
                </c:pt>
                <c:pt idx="18">
                  <c:v>58.06</c:v>
                </c:pt>
                <c:pt idx="19">
                  <c:v>56.83</c:v>
                </c:pt>
                <c:pt idx="20">
                  <c:v>56.72</c:v>
                </c:pt>
                <c:pt idx="21">
                  <c:v>55.92</c:v>
                </c:pt>
                <c:pt idx="22">
                  <c:v>55.8</c:v>
                </c:pt>
                <c:pt idx="23">
                  <c:v>55.2</c:v>
                </c:pt>
                <c:pt idx="24">
                  <c:v>55.61</c:v>
                </c:pt>
                <c:pt idx="25">
                  <c:v>55.2</c:v>
                </c:pt>
                <c:pt idx="26">
                  <c:v>55.13</c:v>
                </c:pt>
                <c:pt idx="27">
                  <c:v>53.09</c:v>
                </c:pt>
                <c:pt idx="28">
                  <c:v>51.89</c:v>
                </c:pt>
                <c:pt idx="29">
                  <c:v>52.59</c:v>
                </c:pt>
                <c:pt idx="30">
                  <c:v>54.12</c:v>
                </c:pt>
                <c:pt idx="31">
                  <c:v>54.57</c:v>
                </c:pt>
                <c:pt idx="32">
                  <c:v>54.77</c:v>
                </c:pt>
                <c:pt idx="33">
                  <c:v>54.36</c:v>
                </c:pt>
                <c:pt idx="34">
                  <c:v>53.71</c:v>
                </c:pt>
                <c:pt idx="35">
                  <c:v>53.47</c:v>
                </c:pt>
                <c:pt idx="36">
                  <c:v>54.31</c:v>
                </c:pt>
                <c:pt idx="37">
                  <c:v>54.12</c:v>
                </c:pt>
                <c:pt idx="38">
                  <c:v>54.91</c:v>
                </c:pt>
                <c:pt idx="39">
                  <c:v>55.11</c:v>
                </c:pt>
                <c:pt idx="40">
                  <c:v>54.94</c:v>
                </c:pt>
                <c:pt idx="41">
                  <c:v>54.12</c:v>
                </c:pt>
                <c:pt idx="42">
                  <c:v>53.55</c:v>
                </c:pt>
                <c:pt idx="43">
                  <c:v>54.3</c:v>
                </c:pt>
                <c:pt idx="44">
                  <c:v>53.45</c:v>
                </c:pt>
                <c:pt idx="45">
                  <c:v>54.53</c:v>
                </c:pt>
                <c:pt idx="47">
                  <c:v>54.93</c:v>
                </c:pt>
                <c:pt idx="48">
                  <c:v>55.22</c:v>
                </c:pt>
                <c:pt idx="49">
                  <c:v>56.19</c:v>
                </c:pt>
                <c:pt idx="50">
                  <c:v>55.84</c:v>
                </c:pt>
                <c:pt idx="51">
                  <c:v>55.99</c:v>
                </c:pt>
                <c:pt idx="52">
                  <c:v>56.59</c:v>
                </c:pt>
                <c:pt idx="53">
                  <c:v>55.99</c:v>
                </c:pt>
                <c:pt idx="54">
                  <c:v>56.48</c:v>
                </c:pt>
                <c:pt idx="55">
                  <c:v>57.04</c:v>
                </c:pt>
                <c:pt idx="56">
                  <c:v>56.12</c:v>
                </c:pt>
                <c:pt idx="57">
                  <c:v>57.1</c:v>
                </c:pt>
                <c:pt idx="58">
                  <c:v>57.14</c:v>
                </c:pt>
                <c:pt idx="59">
                  <c:v>57.31</c:v>
                </c:pt>
                <c:pt idx="60">
                  <c:v>57.99</c:v>
                </c:pt>
                <c:pt idx="61">
                  <c:v>57.01</c:v>
                </c:pt>
                <c:pt idx="62">
                  <c:v>59.2</c:v>
                </c:pt>
                <c:pt idx="63">
                  <c:v>58.72</c:v>
                </c:pt>
                <c:pt idx="64">
                  <c:v>58.43</c:v>
                </c:pt>
                <c:pt idx="65">
                  <c:v>58.19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182832"/>
        <c:axId val="395188712"/>
      </c:lineChart>
      <c:dateAx>
        <c:axId val="395182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88712"/>
        <c:crosses val="autoZero"/>
        <c:auto val="1"/>
        <c:lblOffset val="100"/>
        <c:baseTimeUnit val="days"/>
      </c:dateAx>
      <c:valAx>
        <c:axId val="39518871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8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27.27</c:v>
                </c:pt>
                <c:pt idx="1">
                  <c:v>26.44</c:v>
                </c:pt>
                <c:pt idx="2">
                  <c:v>27.3</c:v>
                </c:pt>
                <c:pt idx="3">
                  <c:v>27.26</c:v>
                </c:pt>
                <c:pt idx="4">
                  <c:v>26.63</c:v>
                </c:pt>
                <c:pt idx="5">
                  <c:v>27</c:v>
                </c:pt>
                <c:pt idx="6">
                  <c:v>27.65</c:v>
                </c:pt>
                <c:pt idx="7">
                  <c:v>28.88</c:v>
                </c:pt>
                <c:pt idx="8">
                  <c:v>29.34</c:v>
                </c:pt>
                <c:pt idx="9">
                  <c:v>28.63</c:v>
                </c:pt>
                <c:pt idx="10">
                  <c:v>28.28</c:v>
                </c:pt>
                <c:pt idx="11">
                  <c:v>28.89</c:v>
                </c:pt>
                <c:pt idx="12">
                  <c:v>29.01</c:v>
                </c:pt>
                <c:pt idx="13">
                  <c:v>28.68</c:v>
                </c:pt>
                <c:pt idx="14">
                  <c:v>29.28</c:v>
                </c:pt>
                <c:pt idx="15">
                  <c:v>28.69</c:v>
                </c:pt>
                <c:pt idx="16">
                  <c:v>28.18</c:v>
                </c:pt>
                <c:pt idx="17">
                  <c:v>27.41</c:v>
                </c:pt>
                <c:pt idx="18">
                  <c:v>26.48</c:v>
                </c:pt>
                <c:pt idx="19">
                  <c:v>25.69</c:v>
                </c:pt>
                <c:pt idx="20">
                  <c:v>25.48</c:v>
                </c:pt>
                <c:pt idx="21">
                  <c:v>24.99</c:v>
                </c:pt>
                <c:pt idx="22">
                  <c:v>25.23</c:v>
                </c:pt>
                <c:pt idx="23">
                  <c:v>25.47</c:v>
                </c:pt>
                <c:pt idx="24">
                  <c:v>26.57</c:v>
                </c:pt>
                <c:pt idx="25">
                  <c:v>26.18</c:v>
                </c:pt>
                <c:pt idx="26">
                  <c:v>25.62</c:v>
                </c:pt>
                <c:pt idx="27">
                  <c:v>25.26</c:v>
                </c:pt>
                <c:pt idx="28">
                  <c:v>24.69</c:v>
                </c:pt>
                <c:pt idx="29">
                  <c:v>26.91</c:v>
                </c:pt>
                <c:pt idx="30">
                  <c:v>28</c:v>
                </c:pt>
                <c:pt idx="31">
                  <c:v>26.74</c:v>
                </c:pt>
                <c:pt idx="32">
                  <c:v>26.97</c:v>
                </c:pt>
                <c:pt idx="33">
                  <c:v>26.88</c:v>
                </c:pt>
                <c:pt idx="34">
                  <c:v>26.74</c:v>
                </c:pt>
                <c:pt idx="35">
                  <c:v>25.9</c:v>
                </c:pt>
                <c:pt idx="36">
                  <c:v>26.3</c:v>
                </c:pt>
                <c:pt idx="37">
                  <c:v>26.29</c:v>
                </c:pt>
                <c:pt idx="38">
                  <c:v>26.91</c:v>
                </c:pt>
                <c:pt idx="39">
                  <c:v>26.97</c:v>
                </c:pt>
                <c:pt idx="40">
                  <c:v>27.53</c:v>
                </c:pt>
                <c:pt idx="41">
                  <c:v>28.02</c:v>
                </c:pt>
                <c:pt idx="42">
                  <c:v>29.03</c:v>
                </c:pt>
                <c:pt idx="43">
                  <c:v>28.36</c:v>
                </c:pt>
                <c:pt idx="44">
                  <c:v>26.7</c:v>
                </c:pt>
                <c:pt idx="45">
                  <c:v>25.65</c:v>
                </c:pt>
                <c:pt idx="46">
                  <c:v>25.23</c:v>
                </c:pt>
                <c:pt idx="47">
                  <c:v>25.23</c:v>
                </c:pt>
                <c:pt idx="49">
                  <c:v>25.69</c:v>
                </c:pt>
                <c:pt idx="50">
                  <c:v>26.13</c:v>
                </c:pt>
                <c:pt idx="51">
                  <c:v>26.49</c:v>
                </c:pt>
                <c:pt idx="52">
                  <c:v>25.96</c:v>
                </c:pt>
                <c:pt idx="53">
                  <c:v>26.31</c:v>
                </c:pt>
                <c:pt idx="54">
                  <c:v>25.94</c:v>
                </c:pt>
                <c:pt idx="55">
                  <c:v>25.67</c:v>
                </c:pt>
                <c:pt idx="56">
                  <c:v>25.23</c:v>
                </c:pt>
                <c:pt idx="57">
                  <c:v>26.2</c:v>
                </c:pt>
                <c:pt idx="58">
                  <c:v>25.8</c:v>
                </c:pt>
                <c:pt idx="59">
                  <c:v>24.84</c:v>
                </c:pt>
                <c:pt idx="60">
                  <c:v>25.44</c:v>
                </c:pt>
                <c:pt idx="61">
                  <c:v>26.07</c:v>
                </c:pt>
                <c:pt idx="62">
                  <c:v>26.06</c:v>
                </c:pt>
                <c:pt idx="63">
                  <c:v>24.93</c:v>
                </c:pt>
                <c:pt idx="64">
                  <c:v>25.99</c:v>
                </c:pt>
                <c:pt idx="65">
                  <c:v>26.08</c:v>
                </c:pt>
                <c:pt idx="66">
                  <c:v>27.11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191456"/>
        <c:axId val="395192632"/>
      </c:lineChart>
      <c:dateAx>
        <c:axId val="395191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92632"/>
        <c:crosses val="autoZero"/>
        <c:auto val="1"/>
        <c:lblOffset val="100"/>
        <c:baseTimeUnit val="days"/>
      </c:dateAx>
      <c:valAx>
        <c:axId val="3951926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9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14-Jun-16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47.89</c:v>
                </c:pt>
                <c:pt idx="1">
                  <c:v>47.71</c:v>
                </c:pt>
                <c:pt idx="2">
                  <c:v>47.49</c:v>
                </c:pt>
                <c:pt idx="3">
                  <c:v>47.73</c:v>
                </c:pt>
                <c:pt idx="4">
                  <c:v>47.76</c:v>
                </c:pt>
                <c:pt idx="5">
                  <c:v>48.28</c:v>
                </c:pt>
                <c:pt idx="6">
                  <c:v>47.84</c:v>
                </c:pt>
                <c:pt idx="7">
                  <c:v>47.83</c:v>
                </c:pt>
                <c:pt idx="8">
                  <c:v>47.5</c:v>
                </c:pt>
                <c:pt idx="9">
                  <c:v>47.34</c:v>
                </c:pt>
                <c:pt idx="10">
                  <c:v>47.29</c:v>
                </c:pt>
                <c:pt idx="11">
                  <c:v>47.26</c:v>
                </c:pt>
                <c:pt idx="12">
                  <c:v>47.4</c:v>
                </c:pt>
                <c:pt idx="13">
                  <c:v>46.95</c:v>
                </c:pt>
                <c:pt idx="14">
                  <c:v>47.31</c:v>
                </c:pt>
                <c:pt idx="15">
                  <c:v>47.22</c:v>
                </c:pt>
                <c:pt idx="16">
                  <c:v>47.51</c:v>
                </c:pt>
                <c:pt idx="17">
                  <c:v>47.02</c:v>
                </c:pt>
                <c:pt idx="18">
                  <c:v>47.02</c:v>
                </c:pt>
                <c:pt idx="19">
                  <c:v>46.34</c:v>
                </c:pt>
                <c:pt idx="20">
                  <c:v>45.66</c:v>
                </c:pt>
                <c:pt idx="21">
                  <c:v>44.92</c:v>
                </c:pt>
                <c:pt idx="22">
                  <c:v>45.11</c:v>
                </c:pt>
                <c:pt idx="23">
                  <c:v>45.25</c:v>
                </c:pt>
                <c:pt idx="24">
                  <c:v>46.72</c:v>
                </c:pt>
                <c:pt idx="25">
                  <c:v>46.66</c:v>
                </c:pt>
                <c:pt idx="26">
                  <c:v>45.65</c:v>
                </c:pt>
                <c:pt idx="27">
                  <c:v>44.74</c:v>
                </c:pt>
                <c:pt idx="28">
                  <c:v>43.32</c:v>
                </c:pt>
                <c:pt idx="29">
                  <c:v>44.48</c:v>
                </c:pt>
                <c:pt idx="30">
                  <c:v>50.14</c:v>
                </c:pt>
                <c:pt idx="31">
                  <c:v>48.62</c:v>
                </c:pt>
                <c:pt idx="32">
                  <c:v>48.6</c:v>
                </c:pt>
                <c:pt idx="33">
                  <c:v>48.14</c:v>
                </c:pt>
                <c:pt idx="34">
                  <c:v>46.87</c:v>
                </c:pt>
                <c:pt idx="35">
                  <c:v>46.08</c:v>
                </c:pt>
                <c:pt idx="36">
                  <c:v>45.86</c:v>
                </c:pt>
                <c:pt idx="37">
                  <c:v>45.57</c:v>
                </c:pt>
                <c:pt idx="39">
                  <c:v>47.36</c:v>
                </c:pt>
                <c:pt idx="40">
                  <c:v>48.14</c:v>
                </c:pt>
                <c:pt idx="41">
                  <c:v>49.83</c:v>
                </c:pt>
                <c:pt idx="42">
                  <c:v>50.56</c:v>
                </c:pt>
                <c:pt idx="43">
                  <c:v>50.49</c:v>
                </c:pt>
                <c:pt idx="44">
                  <c:v>50.14</c:v>
                </c:pt>
                <c:pt idx="45">
                  <c:v>50.01</c:v>
                </c:pt>
                <c:pt idx="46">
                  <c:v>49.68</c:v>
                </c:pt>
                <c:pt idx="47">
                  <c:v>49.54</c:v>
                </c:pt>
                <c:pt idx="48">
                  <c:v>49.61</c:v>
                </c:pt>
                <c:pt idx="49">
                  <c:v>49.97</c:v>
                </c:pt>
                <c:pt idx="50">
                  <c:v>50.1</c:v>
                </c:pt>
                <c:pt idx="51">
                  <c:v>49.93</c:v>
                </c:pt>
                <c:pt idx="52">
                  <c:v>49.38</c:v>
                </c:pt>
                <c:pt idx="53">
                  <c:v>48.48</c:v>
                </c:pt>
                <c:pt idx="54">
                  <c:v>48.6</c:v>
                </c:pt>
                <c:pt idx="55">
                  <c:v>48.16</c:v>
                </c:pt>
                <c:pt idx="56">
                  <c:v>48.46</c:v>
                </c:pt>
                <c:pt idx="57">
                  <c:v>48.3</c:v>
                </c:pt>
                <c:pt idx="58">
                  <c:v>48.69</c:v>
                </c:pt>
                <c:pt idx="59">
                  <c:v>48.1</c:v>
                </c:pt>
                <c:pt idx="60">
                  <c:v>48.6</c:v>
                </c:pt>
                <c:pt idx="61">
                  <c:v>48.75</c:v>
                </c:pt>
                <c:pt idx="62">
                  <c:v>49.01</c:v>
                </c:pt>
                <c:pt idx="63">
                  <c:v>48.53</c:v>
                </c:pt>
                <c:pt idx="64">
                  <c:v>48.64</c:v>
                </c:pt>
                <c:pt idx="65">
                  <c:v>48.45</c:v>
                </c:pt>
                <c:pt idx="66">
                  <c:v>48.69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191848"/>
        <c:axId val="394959360"/>
      </c:lineChart>
      <c:catAx>
        <c:axId val="395191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59360"/>
        <c:crosses val="autoZero"/>
        <c:auto val="1"/>
        <c:lblAlgn val="ctr"/>
        <c:lblOffset val="100"/>
        <c:noMultiLvlLbl val="0"/>
      </c:catAx>
      <c:valAx>
        <c:axId val="3949593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91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14.52</c:v>
                </c:pt>
                <c:pt idx="1">
                  <c:v>14.03</c:v>
                </c:pt>
                <c:pt idx="2">
                  <c:v>13.51</c:v>
                </c:pt>
                <c:pt idx="3">
                  <c:v>13.4</c:v>
                </c:pt>
                <c:pt idx="4">
                  <c:v>13.56</c:v>
                </c:pt>
                <c:pt idx="5">
                  <c:v>13.74</c:v>
                </c:pt>
                <c:pt idx="6">
                  <c:v>13.81</c:v>
                </c:pt>
                <c:pt idx="7">
                  <c:v>14.19</c:v>
                </c:pt>
                <c:pt idx="8">
                  <c:v>14.67</c:v>
                </c:pt>
                <c:pt idx="9">
                  <c:v>13.92</c:v>
                </c:pt>
                <c:pt idx="10">
                  <c:v>13.13</c:v>
                </c:pt>
                <c:pt idx="11">
                  <c:v>13.18</c:v>
                </c:pt>
                <c:pt idx="12">
                  <c:v>13.59</c:v>
                </c:pt>
                <c:pt idx="13">
                  <c:v>13.22</c:v>
                </c:pt>
                <c:pt idx="14">
                  <c:v>13.34</c:v>
                </c:pt>
                <c:pt idx="15">
                  <c:v>13.13</c:v>
                </c:pt>
                <c:pt idx="16">
                  <c:v>13.29</c:v>
                </c:pt>
                <c:pt idx="17">
                  <c:v>13.29</c:v>
                </c:pt>
                <c:pt idx="18">
                  <c:v>13.23</c:v>
                </c:pt>
                <c:pt idx="19">
                  <c:v>12.64</c:v>
                </c:pt>
                <c:pt idx="20">
                  <c:v>12.62</c:v>
                </c:pt>
                <c:pt idx="21">
                  <c:v>12.2</c:v>
                </c:pt>
                <c:pt idx="22">
                  <c:v>11.73</c:v>
                </c:pt>
                <c:pt idx="23">
                  <c:v>11.91</c:v>
                </c:pt>
                <c:pt idx="24">
                  <c:v>12.5</c:v>
                </c:pt>
                <c:pt idx="25">
                  <c:v>13.76</c:v>
                </c:pt>
                <c:pt idx="26">
                  <c:v>13.19</c:v>
                </c:pt>
                <c:pt idx="27">
                  <c:v>12.99</c:v>
                </c:pt>
                <c:pt idx="28">
                  <c:v>12.23</c:v>
                </c:pt>
                <c:pt idx="29">
                  <c:v>13.21</c:v>
                </c:pt>
                <c:pt idx="30">
                  <c:v>14.05</c:v>
                </c:pt>
                <c:pt idx="31">
                  <c:v>12.72</c:v>
                </c:pt>
                <c:pt idx="32">
                  <c:v>12.75</c:v>
                </c:pt>
                <c:pt idx="33">
                  <c:v>12.32</c:v>
                </c:pt>
                <c:pt idx="34">
                  <c:v>12.2</c:v>
                </c:pt>
                <c:pt idx="35">
                  <c:v>11.95</c:v>
                </c:pt>
                <c:pt idx="36">
                  <c:v>12.02</c:v>
                </c:pt>
                <c:pt idx="37">
                  <c:v>11.92</c:v>
                </c:pt>
                <c:pt idx="38">
                  <c:v>12.05</c:v>
                </c:pt>
                <c:pt idx="39">
                  <c:v>12.14</c:v>
                </c:pt>
                <c:pt idx="40">
                  <c:v>12.51</c:v>
                </c:pt>
                <c:pt idx="41">
                  <c:v>12.58</c:v>
                </c:pt>
                <c:pt idx="42">
                  <c:v>13</c:v>
                </c:pt>
                <c:pt idx="43">
                  <c:v>12.77</c:v>
                </c:pt>
                <c:pt idx="44">
                  <c:v>12.86</c:v>
                </c:pt>
                <c:pt idx="45">
                  <c:v>13.11</c:v>
                </c:pt>
                <c:pt idx="46">
                  <c:v>13.09</c:v>
                </c:pt>
                <c:pt idx="47">
                  <c:v>12.72</c:v>
                </c:pt>
                <c:pt idx="48">
                  <c:v>12.31</c:v>
                </c:pt>
                <c:pt idx="49">
                  <c:v>11.95</c:v>
                </c:pt>
                <c:pt idx="50">
                  <c:v>11.6</c:v>
                </c:pt>
                <c:pt idx="51">
                  <c:v>11.49</c:v>
                </c:pt>
                <c:pt idx="52">
                  <c:v>11.14</c:v>
                </c:pt>
                <c:pt idx="53">
                  <c:v>10.8</c:v>
                </c:pt>
                <c:pt idx="54">
                  <c:v>10.07</c:v>
                </c:pt>
                <c:pt idx="55">
                  <c:v>10.050000000000001</c:v>
                </c:pt>
                <c:pt idx="56">
                  <c:v>9.67</c:v>
                </c:pt>
                <c:pt idx="57">
                  <c:v>9.68</c:v>
                </c:pt>
                <c:pt idx="58">
                  <c:v>9.56</c:v>
                </c:pt>
                <c:pt idx="59">
                  <c:v>9.6300000000000008</c:v>
                </c:pt>
                <c:pt idx="60">
                  <c:v>10.1</c:v>
                </c:pt>
                <c:pt idx="61">
                  <c:v>10.09</c:v>
                </c:pt>
                <c:pt idx="62">
                  <c:v>9.8699999999999992</c:v>
                </c:pt>
                <c:pt idx="63">
                  <c:v>9.99</c:v>
                </c:pt>
                <c:pt idx="64">
                  <c:v>10.06</c:v>
                </c:pt>
                <c:pt idx="65">
                  <c:v>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960536"/>
        <c:axId val="394958968"/>
      </c:lineChart>
      <c:dateAx>
        <c:axId val="394960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58968"/>
        <c:crosses val="autoZero"/>
        <c:auto val="1"/>
        <c:lblOffset val="100"/>
        <c:baseTimeUnit val="days"/>
      </c:dateAx>
      <c:valAx>
        <c:axId val="39495896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6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45.98</c:v>
                </c:pt>
                <c:pt idx="1">
                  <c:v>45.82</c:v>
                </c:pt>
                <c:pt idx="2">
                  <c:v>45.74</c:v>
                </c:pt>
                <c:pt idx="3">
                  <c:v>45.39</c:v>
                </c:pt>
                <c:pt idx="4">
                  <c:v>45.5</c:v>
                </c:pt>
                <c:pt idx="5">
                  <c:v>45.81</c:v>
                </c:pt>
                <c:pt idx="6">
                  <c:v>45.73</c:v>
                </c:pt>
                <c:pt idx="7">
                  <c:v>45.59</c:v>
                </c:pt>
                <c:pt idx="8">
                  <c:v>45.68</c:v>
                </c:pt>
                <c:pt idx="9">
                  <c:v>45.12</c:v>
                </c:pt>
                <c:pt idx="10">
                  <c:v>45.12</c:v>
                </c:pt>
                <c:pt idx="11">
                  <c:v>44.88</c:v>
                </c:pt>
                <c:pt idx="12">
                  <c:v>45.01</c:v>
                </c:pt>
                <c:pt idx="13">
                  <c:v>44.97</c:v>
                </c:pt>
                <c:pt idx="14">
                  <c:v>45.53</c:v>
                </c:pt>
                <c:pt idx="15">
                  <c:v>45.47</c:v>
                </c:pt>
                <c:pt idx="16">
                  <c:v>44.05</c:v>
                </c:pt>
                <c:pt idx="17">
                  <c:v>44.24</c:v>
                </c:pt>
                <c:pt idx="18">
                  <c:v>44.17</c:v>
                </c:pt>
                <c:pt idx="19">
                  <c:v>43.03</c:v>
                </c:pt>
                <c:pt idx="20">
                  <c:v>42.75</c:v>
                </c:pt>
                <c:pt idx="21">
                  <c:v>41.9</c:v>
                </c:pt>
                <c:pt idx="22">
                  <c:v>41.96</c:v>
                </c:pt>
                <c:pt idx="23">
                  <c:v>41.76</c:v>
                </c:pt>
                <c:pt idx="24">
                  <c:v>42.71</c:v>
                </c:pt>
                <c:pt idx="25">
                  <c:v>42.38</c:v>
                </c:pt>
                <c:pt idx="26">
                  <c:v>41.17</c:v>
                </c:pt>
                <c:pt idx="27">
                  <c:v>40.26</c:v>
                </c:pt>
                <c:pt idx="28">
                  <c:v>39.64</c:v>
                </c:pt>
                <c:pt idx="29">
                  <c:v>41.37</c:v>
                </c:pt>
                <c:pt idx="30">
                  <c:v>43.29</c:v>
                </c:pt>
                <c:pt idx="31">
                  <c:v>42.37</c:v>
                </c:pt>
                <c:pt idx="32">
                  <c:v>42.45</c:v>
                </c:pt>
                <c:pt idx="33">
                  <c:v>42.68</c:v>
                </c:pt>
                <c:pt idx="34">
                  <c:v>41.96</c:v>
                </c:pt>
                <c:pt idx="35">
                  <c:v>41.73</c:v>
                </c:pt>
                <c:pt idx="36">
                  <c:v>41.59</c:v>
                </c:pt>
                <c:pt idx="37">
                  <c:v>41.73</c:v>
                </c:pt>
                <c:pt idx="38">
                  <c:v>41.98</c:v>
                </c:pt>
                <c:pt idx="39">
                  <c:v>43.18</c:v>
                </c:pt>
                <c:pt idx="40">
                  <c:v>43.59</c:v>
                </c:pt>
                <c:pt idx="41">
                  <c:v>44.11</c:v>
                </c:pt>
                <c:pt idx="42">
                  <c:v>43.91</c:v>
                </c:pt>
                <c:pt idx="43">
                  <c:v>43.12</c:v>
                </c:pt>
                <c:pt idx="44">
                  <c:v>42.93</c:v>
                </c:pt>
                <c:pt idx="45">
                  <c:v>42.9</c:v>
                </c:pt>
                <c:pt idx="46">
                  <c:v>42.11</c:v>
                </c:pt>
                <c:pt idx="47">
                  <c:v>42.16</c:v>
                </c:pt>
                <c:pt idx="48">
                  <c:v>42.09</c:v>
                </c:pt>
                <c:pt idx="49">
                  <c:v>41.84</c:v>
                </c:pt>
                <c:pt idx="50">
                  <c:v>42.13</c:v>
                </c:pt>
                <c:pt idx="52">
                  <c:v>41.42</c:v>
                </c:pt>
                <c:pt idx="53">
                  <c:v>40.93</c:v>
                </c:pt>
                <c:pt idx="54">
                  <c:v>40.43</c:v>
                </c:pt>
                <c:pt idx="55">
                  <c:v>40.26</c:v>
                </c:pt>
                <c:pt idx="56">
                  <c:v>40.29</c:v>
                </c:pt>
                <c:pt idx="57">
                  <c:v>41.19</c:v>
                </c:pt>
                <c:pt idx="58">
                  <c:v>42.21</c:v>
                </c:pt>
                <c:pt idx="59">
                  <c:v>41.97</c:v>
                </c:pt>
                <c:pt idx="60">
                  <c:v>42.6</c:v>
                </c:pt>
                <c:pt idx="61">
                  <c:v>42.81</c:v>
                </c:pt>
                <c:pt idx="62">
                  <c:v>43.09</c:v>
                </c:pt>
                <c:pt idx="63">
                  <c:v>42.52</c:v>
                </c:pt>
                <c:pt idx="64">
                  <c:v>42.1</c:v>
                </c:pt>
                <c:pt idx="65">
                  <c:v>41.5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956616"/>
        <c:axId val="394950344"/>
      </c:lineChart>
      <c:dateAx>
        <c:axId val="394956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50344"/>
        <c:crosses val="autoZero"/>
        <c:auto val="1"/>
        <c:lblOffset val="100"/>
        <c:baseTimeUnit val="days"/>
      </c:dateAx>
      <c:valAx>
        <c:axId val="394950344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5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INTC!$W$2:$W$70</c:f>
              <c:strCache>
                <c:ptCount val="69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3-Aug-16</c:v>
                </c:pt>
                <c:pt idx="4">
                  <c:v>2-Aug-16</c:v>
                </c:pt>
                <c:pt idx="5">
                  <c:v>1-Aug-16</c:v>
                </c:pt>
                <c:pt idx="6">
                  <c:v>29-Jul-16</c:v>
                </c:pt>
                <c:pt idx="7">
                  <c:v>28-Jul-16</c:v>
                </c:pt>
                <c:pt idx="8">
                  <c:v>27-Jul-16</c:v>
                </c:pt>
                <c:pt idx="9">
                  <c:v>26-Jul-16</c:v>
                </c:pt>
                <c:pt idx="10">
                  <c:v>25-Jul-16</c:v>
                </c:pt>
                <c:pt idx="11">
                  <c:v>22-Jul-16</c:v>
                </c:pt>
                <c:pt idx="12">
                  <c:v>21-Jul-16</c:v>
                </c:pt>
                <c:pt idx="13">
                  <c:v>20-Jul-16</c:v>
                </c:pt>
                <c:pt idx="14">
                  <c:v>19-Jul-16</c:v>
                </c:pt>
                <c:pt idx="15">
                  <c:v>18-Jul-16</c:v>
                </c:pt>
                <c:pt idx="16">
                  <c:v>15-Jul-16</c:v>
                </c:pt>
                <c:pt idx="17">
                  <c:v>14-Jul-16</c:v>
                </c:pt>
                <c:pt idx="18">
                  <c:v>13-Jul-16</c:v>
                </c:pt>
                <c:pt idx="19">
                  <c:v>12-Jul-16</c:v>
                </c:pt>
                <c:pt idx="20">
                  <c:v>11-Jul-16</c:v>
                </c:pt>
                <c:pt idx="21">
                  <c:v>8-Jul-16</c:v>
                </c:pt>
                <c:pt idx="22">
                  <c:v>7-Jul-16</c:v>
                </c:pt>
                <c:pt idx="23">
                  <c:v>6-Jul-16</c:v>
                </c:pt>
                <c:pt idx="24">
                  <c:v>5-Jul-16</c:v>
                </c:pt>
                <c:pt idx="25">
                  <c:v>1-Jul-16</c:v>
                </c:pt>
                <c:pt idx="26">
                  <c:v>30-Jun-16</c:v>
                </c:pt>
                <c:pt idx="27">
                  <c:v>29-Jun-16</c:v>
                </c:pt>
                <c:pt idx="28">
                  <c:v>28-Jun-16</c:v>
                </c:pt>
                <c:pt idx="29">
                  <c:v>27-Jun-16</c:v>
                </c:pt>
                <c:pt idx="30">
                  <c:v>24-Jun-16</c:v>
                </c:pt>
                <c:pt idx="31">
                  <c:v>23-Jun-16</c:v>
                </c:pt>
                <c:pt idx="32">
                  <c:v>22-Jun-16</c:v>
                </c:pt>
                <c:pt idx="33">
                  <c:v>21-Jun-16</c:v>
                </c:pt>
                <c:pt idx="34">
                  <c:v>20-Jun-16</c:v>
                </c:pt>
                <c:pt idx="35">
                  <c:v>17-Jun-16</c:v>
                </c:pt>
                <c:pt idx="36">
                  <c:v>16-Jun-16</c:v>
                </c:pt>
                <c:pt idx="37">
                  <c:v>15-Jun-16</c:v>
                </c:pt>
                <c:pt idx="38">
                  <c:v>14-Jun-16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4-May-16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INTC!$AA$2:$AA$70</c:f>
              <c:numCache>
                <c:formatCode>0.00</c:formatCode>
                <c:ptCount val="69"/>
                <c:pt idx="0">
                  <c:v>34.979999999999997</c:v>
                </c:pt>
                <c:pt idx="1">
                  <c:v>34.58</c:v>
                </c:pt>
                <c:pt idx="2">
                  <c:v>34.25</c:v>
                </c:pt>
                <c:pt idx="4">
                  <c:v>34.56</c:v>
                </c:pt>
                <c:pt idx="5">
                  <c:v>34.85</c:v>
                </c:pt>
                <c:pt idx="6">
                  <c:v>34.86</c:v>
                </c:pt>
                <c:pt idx="7">
                  <c:v>34.770000000000003</c:v>
                </c:pt>
                <c:pt idx="8">
                  <c:v>34.83</c:v>
                </c:pt>
                <c:pt idx="9">
                  <c:v>35.090000000000003</c:v>
                </c:pt>
                <c:pt idx="10">
                  <c:v>34.69</c:v>
                </c:pt>
                <c:pt idx="11">
                  <c:v>34.659999999999997</c:v>
                </c:pt>
                <c:pt idx="12">
                  <c:v>34.270000000000003</c:v>
                </c:pt>
                <c:pt idx="13">
                  <c:v>35.69</c:v>
                </c:pt>
                <c:pt idx="14">
                  <c:v>35.15</c:v>
                </c:pt>
                <c:pt idx="15">
                  <c:v>35.049999999999997</c:v>
                </c:pt>
                <c:pt idx="16">
                  <c:v>35.07</c:v>
                </c:pt>
                <c:pt idx="17">
                  <c:v>35.200000000000003</c:v>
                </c:pt>
                <c:pt idx="18">
                  <c:v>35.01</c:v>
                </c:pt>
                <c:pt idx="19">
                  <c:v>34.94</c:v>
                </c:pt>
                <c:pt idx="20">
                  <c:v>34.380000000000003</c:v>
                </c:pt>
                <c:pt idx="21">
                  <c:v>34</c:v>
                </c:pt>
                <c:pt idx="22">
                  <c:v>33.200000000000003</c:v>
                </c:pt>
                <c:pt idx="23">
                  <c:v>32.97</c:v>
                </c:pt>
                <c:pt idx="24">
                  <c:v>32.68</c:v>
                </c:pt>
                <c:pt idx="25">
                  <c:v>32.75</c:v>
                </c:pt>
                <c:pt idx="26">
                  <c:v>32.799999999999997</c:v>
                </c:pt>
                <c:pt idx="27">
                  <c:v>31.93</c:v>
                </c:pt>
                <c:pt idx="28">
                  <c:v>31.19</c:v>
                </c:pt>
                <c:pt idx="29">
                  <c:v>30.72</c:v>
                </c:pt>
                <c:pt idx="30">
                  <c:v>31.55</c:v>
                </c:pt>
                <c:pt idx="31">
                  <c:v>32.99</c:v>
                </c:pt>
                <c:pt idx="32">
                  <c:v>32.29</c:v>
                </c:pt>
                <c:pt idx="33">
                  <c:v>32.32</c:v>
                </c:pt>
                <c:pt idx="34">
                  <c:v>32.17</c:v>
                </c:pt>
                <c:pt idx="35">
                  <c:v>31.76</c:v>
                </c:pt>
                <c:pt idx="36">
                  <c:v>31.69</c:v>
                </c:pt>
                <c:pt idx="37">
                  <c:v>31.61</c:v>
                </c:pt>
                <c:pt idx="38">
                  <c:v>32.14</c:v>
                </c:pt>
                <c:pt idx="39">
                  <c:v>32.17</c:v>
                </c:pt>
                <c:pt idx="40">
                  <c:v>32.04</c:v>
                </c:pt>
                <c:pt idx="41">
                  <c:v>31.94</c:v>
                </c:pt>
                <c:pt idx="42">
                  <c:v>31.89</c:v>
                </c:pt>
                <c:pt idx="43">
                  <c:v>31.88</c:v>
                </c:pt>
                <c:pt idx="44">
                  <c:v>31.68</c:v>
                </c:pt>
                <c:pt idx="45">
                  <c:v>31.62</c:v>
                </c:pt>
                <c:pt idx="46">
                  <c:v>31.76</c:v>
                </c:pt>
                <c:pt idx="47">
                  <c:v>31.66</c:v>
                </c:pt>
                <c:pt idx="48">
                  <c:v>31.59</c:v>
                </c:pt>
                <c:pt idx="49">
                  <c:v>31.57</c:v>
                </c:pt>
                <c:pt idx="50">
                  <c:v>31.49</c:v>
                </c:pt>
                <c:pt idx="51">
                  <c:v>31.39</c:v>
                </c:pt>
                <c:pt idx="52">
                  <c:v>31.06</c:v>
                </c:pt>
                <c:pt idx="53">
                  <c:v>30.23</c:v>
                </c:pt>
                <c:pt idx="54">
                  <c:v>30.15</c:v>
                </c:pt>
                <c:pt idx="55">
                  <c:v>29.63</c:v>
                </c:pt>
                <c:pt idx="56">
                  <c:v>29.99</c:v>
                </c:pt>
                <c:pt idx="57">
                  <c:v>29.98</c:v>
                </c:pt>
                <c:pt idx="58">
                  <c:v>30.39</c:v>
                </c:pt>
                <c:pt idx="59">
                  <c:v>29.91</c:v>
                </c:pt>
                <c:pt idx="60">
                  <c:v>29.76</c:v>
                </c:pt>
                <c:pt idx="61">
                  <c:v>30.06</c:v>
                </c:pt>
                <c:pt idx="62">
                  <c:v>30.14</c:v>
                </c:pt>
                <c:pt idx="63">
                  <c:v>29.8</c:v>
                </c:pt>
                <c:pt idx="64">
                  <c:v>30.04</c:v>
                </c:pt>
                <c:pt idx="65">
                  <c:v>29.9</c:v>
                </c:pt>
                <c:pt idx="66">
                  <c:v>29.85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947992"/>
        <c:axId val="394947208"/>
      </c:lineChart>
      <c:catAx>
        <c:axId val="394947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47208"/>
        <c:crosses val="autoZero"/>
        <c:auto val="1"/>
        <c:lblAlgn val="ctr"/>
        <c:lblOffset val="100"/>
        <c:noMultiLvlLbl val="0"/>
      </c:catAx>
      <c:valAx>
        <c:axId val="3949472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47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54.64</c:v>
                </c:pt>
                <c:pt idx="1">
                  <c:v>53.87</c:v>
                </c:pt>
                <c:pt idx="2">
                  <c:v>53.39</c:v>
                </c:pt>
                <c:pt idx="3">
                  <c:v>51.75</c:v>
                </c:pt>
                <c:pt idx="4">
                  <c:v>51.23</c:v>
                </c:pt>
                <c:pt idx="5">
                  <c:v>53.65</c:v>
                </c:pt>
                <c:pt idx="6">
                  <c:v>52.17</c:v>
                </c:pt>
                <c:pt idx="7">
                  <c:v>51.6</c:v>
                </c:pt>
                <c:pt idx="8">
                  <c:v>53.68</c:v>
                </c:pt>
                <c:pt idx="9">
                  <c:v>52.81</c:v>
                </c:pt>
                <c:pt idx="10">
                  <c:v>54.12</c:v>
                </c:pt>
                <c:pt idx="11">
                  <c:v>54.91</c:v>
                </c:pt>
                <c:pt idx="12">
                  <c:v>56.36</c:v>
                </c:pt>
                <c:pt idx="13">
                  <c:v>56.11</c:v>
                </c:pt>
                <c:pt idx="14">
                  <c:v>57.6</c:v>
                </c:pt>
                <c:pt idx="15">
                  <c:v>56.93</c:v>
                </c:pt>
                <c:pt idx="16">
                  <c:v>58.01</c:v>
                </c:pt>
                <c:pt idx="17">
                  <c:v>58.02</c:v>
                </c:pt>
                <c:pt idx="18">
                  <c:v>60.13</c:v>
                </c:pt>
                <c:pt idx="19">
                  <c:v>56.07</c:v>
                </c:pt>
                <c:pt idx="20">
                  <c:v>56.81</c:v>
                </c:pt>
                <c:pt idx="21">
                  <c:v>56.48</c:v>
                </c:pt>
                <c:pt idx="22">
                  <c:v>56.88</c:v>
                </c:pt>
                <c:pt idx="23">
                  <c:v>56.96</c:v>
                </c:pt>
                <c:pt idx="24">
                  <c:v>60.15</c:v>
                </c:pt>
                <c:pt idx="25">
                  <c:v>60.1</c:v>
                </c:pt>
                <c:pt idx="26">
                  <c:v>57.77</c:v>
                </c:pt>
                <c:pt idx="27">
                  <c:v>55.14</c:v>
                </c:pt>
                <c:pt idx="28">
                  <c:v>52.63</c:v>
                </c:pt>
                <c:pt idx="29">
                  <c:v>55.83</c:v>
                </c:pt>
                <c:pt idx="30">
                  <c:v>59.77</c:v>
                </c:pt>
                <c:pt idx="31">
                  <c:v>58.02</c:v>
                </c:pt>
                <c:pt idx="32">
                  <c:v>58.7</c:v>
                </c:pt>
                <c:pt idx="33">
                  <c:v>58.32</c:v>
                </c:pt>
                <c:pt idx="34">
                  <c:v>56.96</c:v>
                </c:pt>
                <c:pt idx="35">
                  <c:v>56.1</c:v>
                </c:pt>
                <c:pt idx="36">
                  <c:v>57.15</c:v>
                </c:pt>
                <c:pt idx="37">
                  <c:v>57.82</c:v>
                </c:pt>
                <c:pt idx="39">
                  <c:v>57.49</c:v>
                </c:pt>
                <c:pt idx="40">
                  <c:v>57.7</c:v>
                </c:pt>
                <c:pt idx="41">
                  <c:v>60.38</c:v>
                </c:pt>
                <c:pt idx="42">
                  <c:v>61.86</c:v>
                </c:pt>
                <c:pt idx="43">
                  <c:v>61.57</c:v>
                </c:pt>
                <c:pt idx="44">
                  <c:v>60.31</c:v>
                </c:pt>
                <c:pt idx="45">
                  <c:v>58.36</c:v>
                </c:pt>
                <c:pt idx="46">
                  <c:v>59.23</c:v>
                </c:pt>
                <c:pt idx="47">
                  <c:v>58.92</c:v>
                </c:pt>
                <c:pt idx="48">
                  <c:v>59.93</c:v>
                </c:pt>
                <c:pt idx="49">
                  <c:v>60.23</c:v>
                </c:pt>
                <c:pt idx="50">
                  <c:v>60.44</c:v>
                </c:pt>
                <c:pt idx="51">
                  <c:v>60.64</c:v>
                </c:pt>
                <c:pt idx="52">
                  <c:v>58.2</c:v>
                </c:pt>
                <c:pt idx="53">
                  <c:v>58.59</c:v>
                </c:pt>
                <c:pt idx="54">
                  <c:v>57.66</c:v>
                </c:pt>
                <c:pt idx="55">
                  <c:v>57.26</c:v>
                </c:pt>
                <c:pt idx="56">
                  <c:v>57.96</c:v>
                </c:pt>
                <c:pt idx="57">
                  <c:v>57.66</c:v>
                </c:pt>
                <c:pt idx="58">
                  <c:v>58.42</c:v>
                </c:pt>
                <c:pt idx="59">
                  <c:v>57.76</c:v>
                </c:pt>
                <c:pt idx="60">
                  <c:v>58.14</c:v>
                </c:pt>
                <c:pt idx="61">
                  <c:v>58.32</c:v>
                </c:pt>
                <c:pt idx="62">
                  <c:v>57.71</c:v>
                </c:pt>
                <c:pt idx="63">
                  <c:v>54.47</c:v>
                </c:pt>
                <c:pt idx="64">
                  <c:v>56.15</c:v>
                </c:pt>
                <c:pt idx="65">
                  <c:v>55.88</c:v>
                </c:pt>
                <c:pt idx="66">
                  <c:v>55.32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954264"/>
        <c:axId val="394946816"/>
      </c:lineChart>
      <c:dateAx>
        <c:axId val="394954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46816"/>
        <c:crosses val="autoZero"/>
        <c:auto val="1"/>
        <c:lblOffset val="100"/>
        <c:baseTimeUnit val="days"/>
      </c:dateAx>
      <c:valAx>
        <c:axId val="3949468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54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42562.00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13-Jun-16</c:v>
                </c:pt>
                <c:pt idx="39">
                  <c:v>10-Jun-16</c:v>
                </c:pt>
                <c:pt idx="40">
                  <c:v>9-Jun-16</c:v>
                </c:pt>
                <c:pt idx="41">
                  <c:v>8-Jun-16</c:v>
                </c:pt>
                <c:pt idx="42">
                  <c:v>7-Jun-16</c:v>
                </c:pt>
                <c:pt idx="43">
                  <c:v>6-Jun-16</c:v>
                </c:pt>
                <c:pt idx="44">
                  <c:v>3-Jun-16</c:v>
                </c:pt>
                <c:pt idx="45">
                  <c:v>2-Jun-16</c:v>
                </c:pt>
                <c:pt idx="46">
                  <c:v>1-Jun-16</c:v>
                </c:pt>
                <c:pt idx="47">
                  <c:v>31-May-16</c:v>
                </c:pt>
                <c:pt idx="48">
                  <c:v>27-May-16</c:v>
                </c:pt>
                <c:pt idx="49">
                  <c:v>26-May-16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93.85</c:v>
                </c:pt>
                <c:pt idx="1">
                  <c:v>92.67</c:v>
                </c:pt>
                <c:pt idx="2">
                  <c:v>92.87</c:v>
                </c:pt>
                <c:pt idx="3">
                  <c:v>91.3</c:v>
                </c:pt>
                <c:pt idx="4">
                  <c:v>93.06</c:v>
                </c:pt>
                <c:pt idx="5">
                  <c:v>93.05</c:v>
                </c:pt>
                <c:pt idx="6">
                  <c:v>93.08</c:v>
                </c:pt>
                <c:pt idx="7">
                  <c:v>91.63</c:v>
                </c:pt>
                <c:pt idx="8">
                  <c:v>93.01</c:v>
                </c:pt>
                <c:pt idx="9">
                  <c:v>92.28</c:v>
                </c:pt>
                <c:pt idx="10">
                  <c:v>92.85</c:v>
                </c:pt>
                <c:pt idx="11">
                  <c:v>90.93</c:v>
                </c:pt>
                <c:pt idx="12">
                  <c:v>94.12</c:v>
                </c:pt>
                <c:pt idx="13">
                  <c:v>93.95</c:v>
                </c:pt>
                <c:pt idx="14">
                  <c:v>94.12</c:v>
                </c:pt>
                <c:pt idx="15">
                  <c:v>93.98</c:v>
                </c:pt>
                <c:pt idx="16">
                  <c:v>94.7</c:v>
                </c:pt>
                <c:pt idx="17">
                  <c:v>94.14</c:v>
                </c:pt>
                <c:pt idx="18">
                  <c:v>92.06</c:v>
                </c:pt>
                <c:pt idx="19">
                  <c:v>91.39</c:v>
                </c:pt>
                <c:pt idx="20">
                  <c:v>90.69</c:v>
                </c:pt>
                <c:pt idx="21">
                  <c:v>88.03</c:v>
                </c:pt>
                <c:pt idx="22">
                  <c:v>87.44</c:v>
                </c:pt>
                <c:pt idx="23">
                  <c:v>87.16</c:v>
                </c:pt>
                <c:pt idx="24">
                  <c:v>87.34</c:v>
                </c:pt>
                <c:pt idx="25">
                  <c:v>87.25</c:v>
                </c:pt>
                <c:pt idx="26">
                  <c:v>86.28</c:v>
                </c:pt>
                <c:pt idx="27">
                  <c:v>84.8</c:v>
                </c:pt>
                <c:pt idx="28">
                  <c:v>82.49</c:v>
                </c:pt>
                <c:pt idx="29">
                  <c:v>85.25</c:v>
                </c:pt>
                <c:pt idx="30">
                  <c:v>88.54</c:v>
                </c:pt>
                <c:pt idx="31">
                  <c:v>87.49</c:v>
                </c:pt>
                <c:pt idx="32">
                  <c:v>87.65</c:v>
                </c:pt>
                <c:pt idx="33">
                  <c:v>88.09</c:v>
                </c:pt>
                <c:pt idx="34">
                  <c:v>87.58</c:v>
                </c:pt>
                <c:pt idx="35">
                  <c:v>87.09</c:v>
                </c:pt>
                <c:pt idx="36">
                  <c:v>87.54</c:v>
                </c:pt>
                <c:pt idx="37">
                  <c:v>87.98</c:v>
                </c:pt>
                <c:pt idx="38">
                  <c:v>88.71</c:v>
                </c:pt>
                <c:pt idx="39">
                  <c:v>88.78</c:v>
                </c:pt>
                <c:pt idx="40">
                  <c:v>89.39</c:v>
                </c:pt>
                <c:pt idx="41">
                  <c:v>89.04</c:v>
                </c:pt>
                <c:pt idx="42">
                  <c:v>87.57</c:v>
                </c:pt>
                <c:pt idx="43">
                  <c:v>86.85</c:v>
                </c:pt>
                <c:pt idx="44">
                  <c:v>86.38</c:v>
                </c:pt>
                <c:pt idx="45">
                  <c:v>84.61</c:v>
                </c:pt>
                <c:pt idx="46">
                  <c:v>84.11</c:v>
                </c:pt>
                <c:pt idx="47">
                  <c:v>84.19</c:v>
                </c:pt>
                <c:pt idx="48">
                  <c:v>82.97</c:v>
                </c:pt>
                <c:pt idx="49">
                  <c:v>82.34</c:v>
                </c:pt>
                <c:pt idx="51">
                  <c:v>82.91</c:v>
                </c:pt>
                <c:pt idx="52">
                  <c:v>81.290000000000006</c:v>
                </c:pt>
                <c:pt idx="53">
                  <c:v>81.489999999999995</c:v>
                </c:pt>
                <c:pt idx="54">
                  <c:v>82.41</c:v>
                </c:pt>
                <c:pt idx="55">
                  <c:v>81.44</c:v>
                </c:pt>
                <c:pt idx="56">
                  <c:v>82.48</c:v>
                </c:pt>
                <c:pt idx="57">
                  <c:v>82.19</c:v>
                </c:pt>
                <c:pt idx="58">
                  <c:v>82.02</c:v>
                </c:pt>
                <c:pt idx="59">
                  <c:v>82</c:v>
                </c:pt>
                <c:pt idx="60">
                  <c:v>83.84</c:v>
                </c:pt>
                <c:pt idx="61">
                  <c:v>84.49</c:v>
                </c:pt>
                <c:pt idx="62">
                  <c:v>86.1</c:v>
                </c:pt>
                <c:pt idx="63">
                  <c:v>84.63</c:v>
                </c:pt>
                <c:pt idx="64">
                  <c:v>85.73</c:v>
                </c:pt>
                <c:pt idx="65">
                  <c:v>85.19</c:v>
                </c:pt>
                <c:pt idx="66">
                  <c:v>85.64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947600"/>
        <c:axId val="394953480"/>
      </c:lineChart>
      <c:catAx>
        <c:axId val="394947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53480"/>
        <c:crosses val="autoZero"/>
        <c:auto val="1"/>
        <c:lblAlgn val="ctr"/>
        <c:lblOffset val="100"/>
        <c:noMultiLvlLbl val="0"/>
      </c:catAx>
      <c:valAx>
        <c:axId val="394953480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4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218.18</c:v>
                </c:pt>
                <c:pt idx="1">
                  <c:v>216.41</c:v>
                </c:pt>
                <c:pt idx="2">
                  <c:v>216.18</c:v>
                </c:pt>
                <c:pt idx="3">
                  <c:v>215.55</c:v>
                </c:pt>
                <c:pt idx="4">
                  <c:v>216.94</c:v>
                </c:pt>
                <c:pt idx="5">
                  <c:v>217.12</c:v>
                </c:pt>
                <c:pt idx="6">
                  <c:v>216.77</c:v>
                </c:pt>
                <c:pt idx="7">
                  <c:v>216.52</c:v>
                </c:pt>
                <c:pt idx="8">
                  <c:v>216.75</c:v>
                </c:pt>
                <c:pt idx="9">
                  <c:v>216.65</c:v>
                </c:pt>
                <c:pt idx="10">
                  <c:v>217.24</c:v>
                </c:pt>
                <c:pt idx="11">
                  <c:v>216.27</c:v>
                </c:pt>
                <c:pt idx="12">
                  <c:v>217.09</c:v>
                </c:pt>
                <c:pt idx="13">
                  <c:v>216.19</c:v>
                </c:pt>
                <c:pt idx="14">
                  <c:v>216.41</c:v>
                </c:pt>
                <c:pt idx="15">
                  <c:v>215.83</c:v>
                </c:pt>
                <c:pt idx="16">
                  <c:v>216.12</c:v>
                </c:pt>
                <c:pt idx="17">
                  <c:v>214.92</c:v>
                </c:pt>
                <c:pt idx="18">
                  <c:v>214.95</c:v>
                </c:pt>
                <c:pt idx="19">
                  <c:v>213.4</c:v>
                </c:pt>
                <c:pt idx="20">
                  <c:v>212.65</c:v>
                </c:pt>
                <c:pt idx="21">
                  <c:v>209.53</c:v>
                </c:pt>
                <c:pt idx="22">
                  <c:v>209.66</c:v>
                </c:pt>
                <c:pt idx="23">
                  <c:v>208.41</c:v>
                </c:pt>
                <c:pt idx="24">
                  <c:v>209.92</c:v>
                </c:pt>
                <c:pt idx="25">
                  <c:v>209.48</c:v>
                </c:pt>
                <c:pt idx="26">
                  <c:v>206.66</c:v>
                </c:pt>
                <c:pt idx="27">
                  <c:v>203.2</c:v>
                </c:pt>
                <c:pt idx="28">
                  <c:v>199.6</c:v>
                </c:pt>
                <c:pt idx="29">
                  <c:v>203.24</c:v>
                </c:pt>
                <c:pt idx="30">
                  <c:v>210.81</c:v>
                </c:pt>
                <c:pt idx="31">
                  <c:v>208.1</c:v>
                </c:pt>
                <c:pt idx="32">
                  <c:v>208.44</c:v>
                </c:pt>
                <c:pt idx="33">
                  <c:v>207.85</c:v>
                </c:pt>
                <c:pt idx="34">
                  <c:v>206.52</c:v>
                </c:pt>
                <c:pt idx="36">
                  <c:v>208.37</c:v>
                </c:pt>
                <c:pt idx="37">
                  <c:v>207.75</c:v>
                </c:pt>
                <c:pt idx="38">
                  <c:v>208.04</c:v>
                </c:pt>
                <c:pt idx="39">
                  <c:v>208.45</c:v>
                </c:pt>
                <c:pt idx="40">
                  <c:v>210.07</c:v>
                </c:pt>
                <c:pt idx="41">
                  <c:v>212.08</c:v>
                </c:pt>
                <c:pt idx="42">
                  <c:v>212.37</c:v>
                </c:pt>
                <c:pt idx="43">
                  <c:v>211.68</c:v>
                </c:pt>
                <c:pt idx="44">
                  <c:v>211.35</c:v>
                </c:pt>
                <c:pt idx="45">
                  <c:v>210.28</c:v>
                </c:pt>
                <c:pt idx="46">
                  <c:v>210.91</c:v>
                </c:pt>
                <c:pt idx="47">
                  <c:v>210.27</c:v>
                </c:pt>
                <c:pt idx="48">
                  <c:v>209.84</c:v>
                </c:pt>
                <c:pt idx="49">
                  <c:v>210.24</c:v>
                </c:pt>
                <c:pt idx="50">
                  <c:v>209.34</c:v>
                </c:pt>
                <c:pt idx="51">
                  <c:v>209.28</c:v>
                </c:pt>
                <c:pt idx="52">
                  <c:v>207.87</c:v>
                </c:pt>
                <c:pt idx="53">
                  <c:v>205.21</c:v>
                </c:pt>
                <c:pt idx="54">
                  <c:v>205.49</c:v>
                </c:pt>
                <c:pt idx="55">
                  <c:v>204.2</c:v>
                </c:pt>
                <c:pt idx="56">
                  <c:v>204.91</c:v>
                </c:pt>
                <c:pt idx="57">
                  <c:v>204.85</c:v>
                </c:pt>
                <c:pt idx="58">
                  <c:v>206.78</c:v>
                </c:pt>
                <c:pt idx="59">
                  <c:v>204.76</c:v>
                </c:pt>
                <c:pt idx="60">
                  <c:v>206.56</c:v>
                </c:pt>
                <c:pt idx="61">
                  <c:v>206.5</c:v>
                </c:pt>
                <c:pt idx="62">
                  <c:v>208.45</c:v>
                </c:pt>
                <c:pt idx="63">
                  <c:v>205.89</c:v>
                </c:pt>
                <c:pt idx="64">
                  <c:v>205.72</c:v>
                </c:pt>
                <c:pt idx="65">
                  <c:v>204.97</c:v>
                </c:pt>
                <c:pt idx="66" formatCode="General">
                  <c:v>205.01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948776"/>
        <c:axId val="394951912"/>
      </c:lineChart>
      <c:dateAx>
        <c:axId val="394948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51912"/>
        <c:crosses val="autoZero"/>
        <c:auto val="1"/>
        <c:lblOffset val="100"/>
        <c:baseTimeUnit val="days"/>
      </c:dateAx>
      <c:valAx>
        <c:axId val="39495191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4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42584</c:v>
                </c:pt>
                <c:pt idx="5">
                  <c:v>42583</c:v>
                </c:pt>
                <c:pt idx="6">
                  <c:v>42580</c:v>
                </c:pt>
                <c:pt idx="7">
                  <c:v>42579</c:v>
                </c:pt>
                <c:pt idx="8">
                  <c:v>42578</c:v>
                </c:pt>
                <c:pt idx="9">
                  <c:v>42577</c:v>
                </c:pt>
                <c:pt idx="10">
                  <c:v>42576</c:v>
                </c:pt>
                <c:pt idx="11">
                  <c:v>42573</c:v>
                </c:pt>
                <c:pt idx="12">
                  <c:v>42572</c:v>
                </c:pt>
                <c:pt idx="13">
                  <c:v>42571</c:v>
                </c:pt>
                <c:pt idx="14">
                  <c:v>42570</c:v>
                </c:pt>
                <c:pt idx="15">
                  <c:v>42569</c:v>
                </c:pt>
                <c:pt idx="16">
                  <c:v>42566</c:v>
                </c:pt>
                <c:pt idx="17">
                  <c:v>42565</c:v>
                </c:pt>
                <c:pt idx="18">
                  <c:v>42564</c:v>
                </c:pt>
                <c:pt idx="19">
                  <c:v>42563</c:v>
                </c:pt>
                <c:pt idx="20">
                  <c:v>42562</c:v>
                </c:pt>
                <c:pt idx="21">
                  <c:v>42559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42500</c:v>
                </c:pt>
                <c:pt idx="64">
                  <c:v>42499</c:v>
                </c:pt>
                <c:pt idx="65">
                  <c:v>42496</c:v>
                </c:pt>
                <c:pt idx="66">
                  <c:v>42495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66.55</c:v>
                </c:pt>
                <c:pt idx="1">
                  <c:v>65.16</c:v>
                </c:pt>
                <c:pt idx="2">
                  <c:v>64.39</c:v>
                </c:pt>
                <c:pt idx="3">
                  <c:v>65.040000000000006</c:v>
                </c:pt>
                <c:pt idx="5">
                  <c:v>66.14</c:v>
                </c:pt>
                <c:pt idx="6">
                  <c:v>66.02</c:v>
                </c:pt>
                <c:pt idx="7">
                  <c:v>66.47</c:v>
                </c:pt>
                <c:pt idx="8">
                  <c:v>66.47</c:v>
                </c:pt>
                <c:pt idx="9">
                  <c:v>65.87</c:v>
                </c:pt>
                <c:pt idx="10">
                  <c:v>64.94</c:v>
                </c:pt>
                <c:pt idx="11">
                  <c:v>64.81</c:v>
                </c:pt>
                <c:pt idx="12">
                  <c:v>70.92</c:v>
                </c:pt>
                <c:pt idx="13">
                  <c:v>69.489999999999995</c:v>
                </c:pt>
                <c:pt idx="14">
                  <c:v>68.33</c:v>
                </c:pt>
                <c:pt idx="15">
                  <c:v>68.7</c:v>
                </c:pt>
                <c:pt idx="16">
                  <c:v>67.39</c:v>
                </c:pt>
                <c:pt idx="17">
                  <c:v>67.39</c:v>
                </c:pt>
                <c:pt idx="18">
                  <c:v>65.349999999999994</c:v>
                </c:pt>
                <c:pt idx="19">
                  <c:v>65.8</c:v>
                </c:pt>
                <c:pt idx="20">
                  <c:v>64.64</c:v>
                </c:pt>
                <c:pt idx="21">
                  <c:v>62.91</c:v>
                </c:pt>
                <c:pt idx="22">
                  <c:v>60.89</c:v>
                </c:pt>
                <c:pt idx="23">
                  <c:v>59.16</c:v>
                </c:pt>
                <c:pt idx="24">
                  <c:v>58.82</c:v>
                </c:pt>
                <c:pt idx="25">
                  <c:v>62.6</c:v>
                </c:pt>
                <c:pt idx="26">
                  <c:v>63.28</c:v>
                </c:pt>
                <c:pt idx="27">
                  <c:v>61.73</c:v>
                </c:pt>
                <c:pt idx="28">
                  <c:v>60.26</c:v>
                </c:pt>
                <c:pt idx="29">
                  <c:v>58.01</c:v>
                </c:pt>
                <c:pt idx="30">
                  <c:v>61.61</c:v>
                </c:pt>
                <c:pt idx="31">
                  <c:v>67.209999999999994</c:v>
                </c:pt>
                <c:pt idx="32">
                  <c:v>65.349999999999994</c:v>
                </c:pt>
                <c:pt idx="33">
                  <c:v>65.459999999999994</c:v>
                </c:pt>
                <c:pt idx="34">
                  <c:v>65.95</c:v>
                </c:pt>
                <c:pt idx="35">
                  <c:v>63.97</c:v>
                </c:pt>
                <c:pt idx="36">
                  <c:v>64.78</c:v>
                </c:pt>
                <c:pt idx="37">
                  <c:v>64.989999999999995</c:v>
                </c:pt>
                <c:pt idx="38">
                  <c:v>65.010000000000005</c:v>
                </c:pt>
                <c:pt idx="39">
                  <c:v>64.959999999999994</c:v>
                </c:pt>
                <c:pt idx="40">
                  <c:v>65.55</c:v>
                </c:pt>
                <c:pt idx="41">
                  <c:v>67.97</c:v>
                </c:pt>
                <c:pt idx="42">
                  <c:v>68.38</c:v>
                </c:pt>
                <c:pt idx="43">
                  <c:v>68.67</c:v>
                </c:pt>
                <c:pt idx="44">
                  <c:v>66.11</c:v>
                </c:pt>
                <c:pt idx="45">
                  <c:v>66.94</c:v>
                </c:pt>
                <c:pt idx="46">
                  <c:v>66.58</c:v>
                </c:pt>
                <c:pt idx="47">
                  <c:v>67.27</c:v>
                </c:pt>
                <c:pt idx="48">
                  <c:v>66.760000000000005</c:v>
                </c:pt>
                <c:pt idx="49">
                  <c:v>66.5</c:v>
                </c:pt>
                <c:pt idx="50">
                  <c:v>66.17</c:v>
                </c:pt>
                <c:pt idx="51">
                  <c:v>66.27</c:v>
                </c:pt>
                <c:pt idx="52">
                  <c:v>66.459999999999994</c:v>
                </c:pt>
                <c:pt idx="53">
                  <c:v>65.81</c:v>
                </c:pt>
                <c:pt idx="54">
                  <c:v>64.56</c:v>
                </c:pt>
                <c:pt idx="55">
                  <c:v>62.8</c:v>
                </c:pt>
                <c:pt idx="56">
                  <c:v>63.57</c:v>
                </c:pt>
                <c:pt idx="57">
                  <c:v>62.31</c:v>
                </c:pt>
                <c:pt idx="58">
                  <c:v>62.42</c:v>
                </c:pt>
                <c:pt idx="59">
                  <c:v>60.75</c:v>
                </c:pt>
                <c:pt idx="60">
                  <c:v>61.66</c:v>
                </c:pt>
                <c:pt idx="61">
                  <c:v>64.59</c:v>
                </c:pt>
                <c:pt idx="62">
                  <c:v>64.86</c:v>
                </c:pt>
                <c:pt idx="64">
                  <c:v>65.05</c:v>
                </c:pt>
                <c:pt idx="65">
                  <c:v>64.63</c:v>
                </c:pt>
                <c:pt idx="66">
                  <c:v>64.349999999999994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190280"/>
        <c:axId val="468923080"/>
      </c:lineChart>
      <c:dateAx>
        <c:axId val="395190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923080"/>
        <c:crosses val="autoZero"/>
        <c:auto val="1"/>
        <c:lblOffset val="100"/>
        <c:baseTimeUnit val="days"/>
      </c:dateAx>
      <c:valAx>
        <c:axId val="4689230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9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61.95</c:v>
                </c:pt>
                <c:pt idx="1">
                  <c:v>61.8</c:v>
                </c:pt>
                <c:pt idx="2">
                  <c:v>62.26</c:v>
                </c:pt>
                <c:pt idx="3">
                  <c:v>61.82</c:v>
                </c:pt>
                <c:pt idx="4">
                  <c:v>62.71</c:v>
                </c:pt>
                <c:pt idx="5">
                  <c:v>63.21</c:v>
                </c:pt>
                <c:pt idx="6">
                  <c:v>63.56</c:v>
                </c:pt>
                <c:pt idx="7">
                  <c:v>63.65</c:v>
                </c:pt>
                <c:pt idx="8">
                  <c:v>63.33</c:v>
                </c:pt>
                <c:pt idx="9">
                  <c:v>63.47</c:v>
                </c:pt>
                <c:pt idx="10">
                  <c:v>63.33</c:v>
                </c:pt>
                <c:pt idx="11">
                  <c:v>62.96</c:v>
                </c:pt>
                <c:pt idx="12">
                  <c:v>63.63</c:v>
                </c:pt>
                <c:pt idx="13">
                  <c:v>62.58</c:v>
                </c:pt>
                <c:pt idx="14">
                  <c:v>62.72</c:v>
                </c:pt>
                <c:pt idx="15">
                  <c:v>62.29</c:v>
                </c:pt>
                <c:pt idx="16">
                  <c:v>62.43</c:v>
                </c:pt>
                <c:pt idx="17">
                  <c:v>61.73</c:v>
                </c:pt>
                <c:pt idx="18">
                  <c:v>61.19</c:v>
                </c:pt>
                <c:pt idx="19">
                  <c:v>59.53</c:v>
                </c:pt>
                <c:pt idx="20">
                  <c:v>59.91</c:v>
                </c:pt>
                <c:pt idx="21">
                  <c:v>59</c:v>
                </c:pt>
                <c:pt idx="22">
                  <c:v>59.38</c:v>
                </c:pt>
                <c:pt idx="23">
                  <c:v>59.2</c:v>
                </c:pt>
                <c:pt idx="24">
                  <c:v>59.24</c:v>
                </c:pt>
                <c:pt idx="25">
                  <c:v>59.06</c:v>
                </c:pt>
                <c:pt idx="26">
                  <c:v>58.52</c:v>
                </c:pt>
                <c:pt idx="27">
                  <c:v>57.51</c:v>
                </c:pt>
                <c:pt idx="28">
                  <c:v>56.4</c:v>
                </c:pt>
                <c:pt idx="29">
                  <c:v>57.01</c:v>
                </c:pt>
                <c:pt idx="30">
                  <c:v>59.58</c:v>
                </c:pt>
                <c:pt idx="31">
                  <c:v>59.02</c:v>
                </c:pt>
                <c:pt idx="32">
                  <c:v>58.4</c:v>
                </c:pt>
                <c:pt idx="33">
                  <c:v>58.91</c:v>
                </c:pt>
                <c:pt idx="34">
                  <c:v>58.39</c:v>
                </c:pt>
                <c:pt idx="35">
                  <c:v>57.99</c:v>
                </c:pt>
                <c:pt idx="36">
                  <c:v>58.09</c:v>
                </c:pt>
                <c:pt idx="37">
                  <c:v>58.37</c:v>
                </c:pt>
                <c:pt idx="38">
                  <c:v>58.52</c:v>
                </c:pt>
                <c:pt idx="39">
                  <c:v>59.19</c:v>
                </c:pt>
                <c:pt idx="40">
                  <c:v>60.21</c:v>
                </c:pt>
                <c:pt idx="41">
                  <c:v>60.72</c:v>
                </c:pt>
                <c:pt idx="42">
                  <c:v>60.6</c:v>
                </c:pt>
                <c:pt idx="44">
                  <c:v>60.42</c:v>
                </c:pt>
                <c:pt idx="45">
                  <c:v>59.97</c:v>
                </c:pt>
                <c:pt idx="46">
                  <c:v>58.84</c:v>
                </c:pt>
                <c:pt idx="47">
                  <c:v>59.08</c:v>
                </c:pt>
                <c:pt idx="48">
                  <c:v>59.29</c:v>
                </c:pt>
                <c:pt idx="49">
                  <c:v>60.01</c:v>
                </c:pt>
                <c:pt idx="50">
                  <c:v>60.24</c:v>
                </c:pt>
                <c:pt idx="51">
                  <c:v>59.17</c:v>
                </c:pt>
                <c:pt idx="52">
                  <c:v>58.25</c:v>
                </c:pt>
                <c:pt idx="53">
                  <c:v>58.07</c:v>
                </c:pt>
                <c:pt idx="54">
                  <c:v>58.28</c:v>
                </c:pt>
                <c:pt idx="55">
                  <c:v>57.58</c:v>
                </c:pt>
                <c:pt idx="56">
                  <c:v>59.08</c:v>
                </c:pt>
                <c:pt idx="57">
                  <c:v>58.89</c:v>
                </c:pt>
                <c:pt idx="58">
                  <c:v>58.97</c:v>
                </c:pt>
                <c:pt idx="59">
                  <c:v>58.78</c:v>
                </c:pt>
                <c:pt idx="60">
                  <c:v>59.69</c:v>
                </c:pt>
                <c:pt idx="61">
                  <c:v>59.5</c:v>
                </c:pt>
                <c:pt idx="62">
                  <c:v>59.93</c:v>
                </c:pt>
                <c:pt idx="63">
                  <c:v>58.55</c:v>
                </c:pt>
                <c:pt idx="64">
                  <c:v>59.39</c:v>
                </c:pt>
                <c:pt idx="65">
                  <c:v>59.07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25824"/>
        <c:axId val="468923864"/>
      </c:lineChart>
      <c:dateAx>
        <c:axId val="468925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923864"/>
        <c:crosses val="autoZero"/>
        <c:auto val="1"/>
        <c:lblOffset val="100"/>
        <c:baseTimeUnit val="days"/>
      </c:dateAx>
      <c:valAx>
        <c:axId val="4689238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92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42585</c:v>
                </c:pt>
                <c:pt idx="4">
                  <c:v>42584</c:v>
                </c:pt>
                <c:pt idx="5">
                  <c:v>42583</c:v>
                </c:pt>
                <c:pt idx="6">
                  <c:v>42580</c:v>
                </c:pt>
                <c:pt idx="7">
                  <c:v>42579</c:v>
                </c:pt>
                <c:pt idx="8">
                  <c:v>42578</c:v>
                </c:pt>
                <c:pt idx="9">
                  <c:v>42577</c:v>
                </c:pt>
                <c:pt idx="10">
                  <c:v>42576</c:v>
                </c:pt>
                <c:pt idx="11">
                  <c:v>42573</c:v>
                </c:pt>
                <c:pt idx="12">
                  <c:v>42572</c:v>
                </c:pt>
                <c:pt idx="13">
                  <c:v>42571</c:v>
                </c:pt>
                <c:pt idx="14">
                  <c:v>42570</c:v>
                </c:pt>
                <c:pt idx="15">
                  <c:v>42569</c:v>
                </c:pt>
                <c:pt idx="16">
                  <c:v>42566</c:v>
                </c:pt>
                <c:pt idx="17">
                  <c:v>42565</c:v>
                </c:pt>
                <c:pt idx="18">
                  <c:v>42564</c:v>
                </c:pt>
                <c:pt idx="19">
                  <c:v>42563</c:v>
                </c:pt>
                <c:pt idx="20">
                  <c:v>42562</c:v>
                </c:pt>
                <c:pt idx="21">
                  <c:v>42559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48.68</c:v>
                </c:pt>
                <c:pt idx="1">
                  <c:v>47.84</c:v>
                </c:pt>
                <c:pt idx="2">
                  <c:v>47.57</c:v>
                </c:pt>
                <c:pt idx="4">
                  <c:v>47.7</c:v>
                </c:pt>
                <c:pt idx="5">
                  <c:v>47.81</c:v>
                </c:pt>
                <c:pt idx="6">
                  <c:v>47.97</c:v>
                </c:pt>
                <c:pt idx="7">
                  <c:v>48.13</c:v>
                </c:pt>
                <c:pt idx="8">
                  <c:v>48</c:v>
                </c:pt>
                <c:pt idx="9">
                  <c:v>47.97</c:v>
                </c:pt>
                <c:pt idx="10">
                  <c:v>48.12</c:v>
                </c:pt>
                <c:pt idx="11">
                  <c:v>48.32</c:v>
                </c:pt>
                <c:pt idx="12">
                  <c:v>48.3</c:v>
                </c:pt>
                <c:pt idx="13">
                  <c:v>48.61</c:v>
                </c:pt>
                <c:pt idx="14">
                  <c:v>48.37</c:v>
                </c:pt>
                <c:pt idx="15">
                  <c:v>48.28</c:v>
                </c:pt>
                <c:pt idx="16">
                  <c:v>47.71</c:v>
                </c:pt>
                <c:pt idx="17">
                  <c:v>48.94</c:v>
                </c:pt>
                <c:pt idx="18">
                  <c:v>48.27</c:v>
                </c:pt>
                <c:pt idx="19">
                  <c:v>48.35</c:v>
                </c:pt>
                <c:pt idx="20">
                  <c:v>48.08</c:v>
                </c:pt>
                <c:pt idx="21">
                  <c:v>47.79</c:v>
                </c:pt>
                <c:pt idx="22">
                  <c:v>46.8</c:v>
                </c:pt>
                <c:pt idx="23">
                  <c:v>46.65</c:v>
                </c:pt>
                <c:pt idx="24">
                  <c:v>46.21</c:v>
                </c:pt>
                <c:pt idx="25">
                  <c:v>47.03</c:v>
                </c:pt>
                <c:pt idx="26">
                  <c:v>47.33</c:v>
                </c:pt>
                <c:pt idx="27">
                  <c:v>46.97</c:v>
                </c:pt>
                <c:pt idx="28">
                  <c:v>46.1</c:v>
                </c:pt>
                <c:pt idx="29">
                  <c:v>45.01</c:v>
                </c:pt>
                <c:pt idx="30">
                  <c:v>45.71</c:v>
                </c:pt>
                <c:pt idx="31">
                  <c:v>47.91</c:v>
                </c:pt>
                <c:pt idx="32">
                  <c:v>46.97</c:v>
                </c:pt>
                <c:pt idx="33">
                  <c:v>47.23</c:v>
                </c:pt>
                <c:pt idx="34">
                  <c:v>46.93</c:v>
                </c:pt>
                <c:pt idx="35">
                  <c:v>46.6</c:v>
                </c:pt>
                <c:pt idx="36">
                  <c:v>46.85</c:v>
                </c:pt>
                <c:pt idx="37">
                  <c:v>46.78</c:v>
                </c:pt>
                <c:pt idx="38">
                  <c:v>46.88</c:v>
                </c:pt>
                <c:pt idx="39">
                  <c:v>47.97</c:v>
                </c:pt>
                <c:pt idx="40">
                  <c:v>48.34</c:v>
                </c:pt>
                <c:pt idx="41">
                  <c:v>49.14</c:v>
                </c:pt>
                <c:pt idx="42">
                  <c:v>50</c:v>
                </c:pt>
                <c:pt idx="43">
                  <c:v>50.27</c:v>
                </c:pt>
                <c:pt idx="44">
                  <c:v>50.49</c:v>
                </c:pt>
                <c:pt idx="45">
                  <c:v>50.19</c:v>
                </c:pt>
                <c:pt idx="46">
                  <c:v>51.11</c:v>
                </c:pt>
                <c:pt idx="47">
                  <c:v>51</c:v>
                </c:pt>
                <c:pt idx="48">
                  <c:v>50.72</c:v>
                </c:pt>
                <c:pt idx="49">
                  <c:v>50.85</c:v>
                </c:pt>
                <c:pt idx="50">
                  <c:v>50.55</c:v>
                </c:pt>
                <c:pt idx="51">
                  <c:v>50.5</c:v>
                </c:pt>
                <c:pt idx="52">
                  <c:v>49.2</c:v>
                </c:pt>
                <c:pt idx="53">
                  <c:v>48.7</c:v>
                </c:pt>
                <c:pt idx="54">
                  <c:v>48.75</c:v>
                </c:pt>
                <c:pt idx="55">
                  <c:v>48.38</c:v>
                </c:pt>
                <c:pt idx="56">
                  <c:v>48.65</c:v>
                </c:pt>
                <c:pt idx="57">
                  <c:v>47.62</c:v>
                </c:pt>
                <c:pt idx="58">
                  <c:v>48.27</c:v>
                </c:pt>
                <c:pt idx="59">
                  <c:v>48.24</c:v>
                </c:pt>
                <c:pt idx="60">
                  <c:v>49.2</c:v>
                </c:pt>
                <c:pt idx="61">
                  <c:v>49.08</c:v>
                </c:pt>
                <c:pt idx="62">
                  <c:v>49.4</c:v>
                </c:pt>
                <c:pt idx="63">
                  <c:v>48.88</c:v>
                </c:pt>
                <c:pt idx="64">
                  <c:v>49.02</c:v>
                </c:pt>
                <c:pt idx="65">
                  <c:v>48.96</c:v>
                </c:pt>
                <c:pt idx="66">
                  <c:v>48.94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16808"/>
        <c:axId val="468921904"/>
      </c:lineChart>
      <c:dateAx>
        <c:axId val="468916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921904"/>
        <c:crosses val="autoZero"/>
        <c:auto val="1"/>
        <c:lblOffset val="100"/>
        <c:baseTimeUnit val="days"/>
      </c:dateAx>
      <c:valAx>
        <c:axId val="46892190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916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42585</c:v>
                </c:pt>
                <c:pt idx="4">
                  <c:v>42584</c:v>
                </c:pt>
                <c:pt idx="5">
                  <c:v>42583</c:v>
                </c:pt>
                <c:pt idx="6">
                  <c:v>42580</c:v>
                </c:pt>
                <c:pt idx="7">
                  <c:v>42579</c:v>
                </c:pt>
                <c:pt idx="8">
                  <c:v>42578</c:v>
                </c:pt>
                <c:pt idx="9">
                  <c:v>42577</c:v>
                </c:pt>
                <c:pt idx="10">
                  <c:v>42576</c:v>
                </c:pt>
                <c:pt idx="11">
                  <c:v>42573</c:v>
                </c:pt>
                <c:pt idx="12">
                  <c:v>42572</c:v>
                </c:pt>
                <c:pt idx="13">
                  <c:v>42571</c:v>
                </c:pt>
                <c:pt idx="14">
                  <c:v>42570</c:v>
                </c:pt>
                <c:pt idx="15">
                  <c:v>42569</c:v>
                </c:pt>
                <c:pt idx="16">
                  <c:v>42566</c:v>
                </c:pt>
                <c:pt idx="17">
                  <c:v>42565</c:v>
                </c:pt>
                <c:pt idx="18">
                  <c:v>42564</c:v>
                </c:pt>
                <c:pt idx="19">
                  <c:v>42563</c:v>
                </c:pt>
                <c:pt idx="20">
                  <c:v>42562</c:v>
                </c:pt>
                <c:pt idx="21">
                  <c:v>42559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10.5</c:v>
                </c:pt>
                <c:pt idx="1">
                  <c:v>10.4</c:v>
                </c:pt>
                <c:pt idx="2">
                  <c:v>10.41</c:v>
                </c:pt>
                <c:pt idx="4">
                  <c:v>10.32</c:v>
                </c:pt>
                <c:pt idx="5">
                  <c:v>10.47</c:v>
                </c:pt>
                <c:pt idx="6">
                  <c:v>10.62</c:v>
                </c:pt>
                <c:pt idx="7">
                  <c:v>10.68</c:v>
                </c:pt>
                <c:pt idx="8">
                  <c:v>10.74</c:v>
                </c:pt>
                <c:pt idx="9">
                  <c:v>10.67</c:v>
                </c:pt>
                <c:pt idx="10">
                  <c:v>10.49</c:v>
                </c:pt>
                <c:pt idx="11">
                  <c:v>10.57</c:v>
                </c:pt>
                <c:pt idx="12">
                  <c:v>10.6</c:v>
                </c:pt>
                <c:pt idx="13">
                  <c:v>10.61</c:v>
                </c:pt>
                <c:pt idx="14">
                  <c:v>10.63</c:v>
                </c:pt>
                <c:pt idx="15">
                  <c:v>10.92</c:v>
                </c:pt>
                <c:pt idx="16">
                  <c:v>10.92</c:v>
                </c:pt>
                <c:pt idx="17">
                  <c:v>10.71</c:v>
                </c:pt>
                <c:pt idx="18">
                  <c:v>10.71</c:v>
                </c:pt>
                <c:pt idx="19">
                  <c:v>10.69</c:v>
                </c:pt>
                <c:pt idx="20">
                  <c:v>10.14</c:v>
                </c:pt>
                <c:pt idx="21">
                  <c:v>9.82</c:v>
                </c:pt>
                <c:pt idx="22">
                  <c:v>9.34</c:v>
                </c:pt>
                <c:pt idx="23">
                  <c:v>9.19</c:v>
                </c:pt>
                <c:pt idx="24">
                  <c:v>9.26</c:v>
                </c:pt>
                <c:pt idx="25">
                  <c:v>9.5500000000000007</c:v>
                </c:pt>
                <c:pt idx="26">
                  <c:v>9.27</c:v>
                </c:pt>
                <c:pt idx="27">
                  <c:v>9.1</c:v>
                </c:pt>
                <c:pt idx="28">
                  <c:v>9.33</c:v>
                </c:pt>
                <c:pt idx="29">
                  <c:v>9.1</c:v>
                </c:pt>
                <c:pt idx="30">
                  <c:v>9.3800000000000008</c:v>
                </c:pt>
                <c:pt idx="31">
                  <c:v>10.15</c:v>
                </c:pt>
                <c:pt idx="32">
                  <c:v>9.89</c:v>
                </c:pt>
                <c:pt idx="33">
                  <c:v>9.86</c:v>
                </c:pt>
                <c:pt idx="34">
                  <c:v>9.76</c:v>
                </c:pt>
                <c:pt idx="35">
                  <c:v>9.58</c:v>
                </c:pt>
                <c:pt idx="36">
                  <c:v>9.39</c:v>
                </c:pt>
                <c:pt idx="37">
                  <c:v>9.4499999999999993</c:v>
                </c:pt>
                <c:pt idx="38">
                  <c:v>9.1</c:v>
                </c:pt>
                <c:pt idx="39">
                  <c:v>9.32</c:v>
                </c:pt>
                <c:pt idx="40">
                  <c:v>9.49</c:v>
                </c:pt>
                <c:pt idx="41">
                  <c:v>9.84</c:v>
                </c:pt>
                <c:pt idx="42">
                  <c:v>9.89</c:v>
                </c:pt>
                <c:pt idx="43">
                  <c:v>9.7899999999999991</c:v>
                </c:pt>
                <c:pt idx="44">
                  <c:v>9.84</c:v>
                </c:pt>
                <c:pt idx="45">
                  <c:v>9.52</c:v>
                </c:pt>
                <c:pt idx="46">
                  <c:v>9.33</c:v>
                </c:pt>
                <c:pt idx="47">
                  <c:v>9.3000000000000007</c:v>
                </c:pt>
                <c:pt idx="48">
                  <c:v>9.27</c:v>
                </c:pt>
                <c:pt idx="49">
                  <c:v>9.35</c:v>
                </c:pt>
                <c:pt idx="50">
                  <c:v>9.51</c:v>
                </c:pt>
                <c:pt idx="51">
                  <c:v>9.6</c:v>
                </c:pt>
                <c:pt idx="52">
                  <c:v>9.42</c:v>
                </c:pt>
                <c:pt idx="53">
                  <c:v>9.2799999999999994</c:v>
                </c:pt>
                <c:pt idx="54">
                  <c:v>9.11</c:v>
                </c:pt>
                <c:pt idx="55">
                  <c:v>9.1199999999999992</c:v>
                </c:pt>
                <c:pt idx="56">
                  <c:v>9.02</c:v>
                </c:pt>
                <c:pt idx="57">
                  <c:v>9.3000000000000007</c:v>
                </c:pt>
                <c:pt idx="58">
                  <c:v>9.2799999999999994</c:v>
                </c:pt>
                <c:pt idx="59">
                  <c:v>9.1999999999999993</c:v>
                </c:pt>
                <c:pt idx="60">
                  <c:v>9.44</c:v>
                </c:pt>
                <c:pt idx="61">
                  <c:v>9.5399999999999991</c:v>
                </c:pt>
                <c:pt idx="62">
                  <c:v>9.67</c:v>
                </c:pt>
                <c:pt idx="63">
                  <c:v>9.4600000000000009</c:v>
                </c:pt>
                <c:pt idx="64">
                  <c:v>10.039999999999999</c:v>
                </c:pt>
                <c:pt idx="65">
                  <c:v>10.02</c:v>
                </c:pt>
                <c:pt idx="66">
                  <c:v>10.24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12496"/>
        <c:axId val="468920336"/>
      </c:lineChart>
      <c:dateAx>
        <c:axId val="468912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920336"/>
        <c:crosses val="autoZero"/>
        <c:auto val="1"/>
        <c:lblOffset val="100"/>
        <c:baseTimeUnit val="days"/>
      </c:dateAx>
      <c:valAx>
        <c:axId val="46892033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91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17.55</c:v>
                </c:pt>
                <c:pt idx="1">
                  <c:v>16.8</c:v>
                </c:pt>
                <c:pt idx="2">
                  <c:v>16.47</c:v>
                </c:pt>
                <c:pt idx="3">
                  <c:v>20.14</c:v>
                </c:pt>
                <c:pt idx="4">
                  <c:v>21.5</c:v>
                </c:pt>
                <c:pt idx="5">
                  <c:v>21.69</c:v>
                </c:pt>
                <c:pt idx="6">
                  <c:v>21.84</c:v>
                </c:pt>
                <c:pt idx="7">
                  <c:v>21.66</c:v>
                </c:pt>
                <c:pt idx="8">
                  <c:v>21.75</c:v>
                </c:pt>
                <c:pt idx="9">
                  <c:v>21.58</c:v>
                </c:pt>
                <c:pt idx="10">
                  <c:v>21.48</c:v>
                </c:pt>
                <c:pt idx="11">
                  <c:v>21.26</c:v>
                </c:pt>
                <c:pt idx="12">
                  <c:v>21.54</c:v>
                </c:pt>
                <c:pt idx="13">
                  <c:v>20.81</c:v>
                </c:pt>
                <c:pt idx="14">
                  <c:v>20.94</c:v>
                </c:pt>
                <c:pt idx="15">
                  <c:v>21.06</c:v>
                </c:pt>
                <c:pt idx="16">
                  <c:v>21.02</c:v>
                </c:pt>
                <c:pt idx="17">
                  <c:v>20.99</c:v>
                </c:pt>
                <c:pt idx="18">
                  <c:v>21.59</c:v>
                </c:pt>
                <c:pt idx="19">
                  <c:v>21.33</c:v>
                </c:pt>
                <c:pt idx="20">
                  <c:v>21.43</c:v>
                </c:pt>
                <c:pt idx="21">
                  <c:v>20.71</c:v>
                </c:pt>
                <c:pt idx="22">
                  <c:v>20.059999999999999</c:v>
                </c:pt>
                <c:pt idx="23">
                  <c:v>19.899999999999999</c:v>
                </c:pt>
                <c:pt idx="24">
                  <c:v>21.04</c:v>
                </c:pt>
                <c:pt idx="25">
                  <c:v>20.61</c:v>
                </c:pt>
                <c:pt idx="26">
                  <c:v>20.67</c:v>
                </c:pt>
                <c:pt idx="27">
                  <c:v>19.63</c:v>
                </c:pt>
                <c:pt idx="28">
                  <c:v>18.850000000000001</c:v>
                </c:pt>
                <c:pt idx="29">
                  <c:v>20.010000000000002</c:v>
                </c:pt>
                <c:pt idx="30">
                  <c:v>21.45</c:v>
                </c:pt>
                <c:pt idx="31">
                  <c:v>21.07</c:v>
                </c:pt>
                <c:pt idx="32">
                  <c:v>21.36</c:v>
                </c:pt>
                <c:pt idx="33">
                  <c:v>21.17</c:v>
                </c:pt>
                <c:pt idx="34">
                  <c:v>20.69</c:v>
                </c:pt>
                <c:pt idx="35">
                  <c:v>20.16</c:v>
                </c:pt>
                <c:pt idx="36">
                  <c:v>20.27</c:v>
                </c:pt>
                <c:pt idx="37">
                  <c:v>19.55</c:v>
                </c:pt>
                <c:pt idx="38">
                  <c:v>19.86</c:v>
                </c:pt>
                <c:pt idx="39">
                  <c:v>20.3</c:v>
                </c:pt>
                <c:pt idx="40">
                  <c:v>21.43</c:v>
                </c:pt>
                <c:pt idx="41">
                  <c:v>21.54</c:v>
                </c:pt>
                <c:pt idx="42">
                  <c:v>21.78</c:v>
                </c:pt>
                <c:pt idx="43">
                  <c:v>21.2</c:v>
                </c:pt>
                <c:pt idx="44">
                  <c:v>21.08</c:v>
                </c:pt>
                <c:pt idx="45">
                  <c:v>21.63</c:v>
                </c:pt>
                <c:pt idx="46">
                  <c:v>22.66</c:v>
                </c:pt>
                <c:pt idx="47">
                  <c:v>21.86</c:v>
                </c:pt>
                <c:pt idx="48">
                  <c:v>22.19</c:v>
                </c:pt>
                <c:pt idx="49">
                  <c:v>22.02</c:v>
                </c:pt>
                <c:pt idx="50">
                  <c:v>22.38</c:v>
                </c:pt>
                <c:pt idx="51">
                  <c:v>22.27</c:v>
                </c:pt>
                <c:pt idx="52">
                  <c:v>22.22</c:v>
                </c:pt>
                <c:pt idx="53">
                  <c:v>22.12</c:v>
                </c:pt>
                <c:pt idx="54">
                  <c:v>21.86</c:v>
                </c:pt>
                <c:pt idx="55">
                  <c:v>21.37</c:v>
                </c:pt>
                <c:pt idx="56">
                  <c:v>22.13</c:v>
                </c:pt>
                <c:pt idx="57">
                  <c:v>22.04</c:v>
                </c:pt>
                <c:pt idx="58">
                  <c:v>22.17</c:v>
                </c:pt>
                <c:pt idx="59">
                  <c:v>22.42</c:v>
                </c:pt>
                <c:pt idx="60">
                  <c:v>22.17</c:v>
                </c:pt>
                <c:pt idx="61">
                  <c:v>24.07</c:v>
                </c:pt>
                <c:pt idx="62">
                  <c:v>23.7</c:v>
                </c:pt>
                <c:pt idx="63">
                  <c:v>23.71</c:v>
                </c:pt>
                <c:pt idx="64">
                  <c:v>24.11</c:v>
                </c:pt>
                <c:pt idx="65">
                  <c:v>24.57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14456"/>
        <c:axId val="468921120"/>
      </c:lineChart>
      <c:dateAx>
        <c:axId val="468914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921120"/>
        <c:crosses val="autoZero"/>
        <c:auto val="1"/>
        <c:lblOffset val="100"/>
        <c:baseTimeUnit val="days"/>
      </c:dateAx>
      <c:valAx>
        <c:axId val="46892112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91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53.75</c:v>
                </c:pt>
                <c:pt idx="1">
                  <c:v>53.28</c:v>
                </c:pt>
                <c:pt idx="2">
                  <c:v>53.51</c:v>
                </c:pt>
                <c:pt idx="3">
                  <c:v>53.82</c:v>
                </c:pt>
                <c:pt idx="4">
                  <c:v>53.97</c:v>
                </c:pt>
                <c:pt idx="5">
                  <c:v>52.46</c:v>
                </c:pt>
                <c:pt idx="6">
                  <c:v>49.39</c:v>
                </c:pt>
                <c:pt idx="7">
                  <c:v>49.16</c:v>
                </c:pt>
                <c:pt idx="8">
                  <c:v>49.56</c:v>
                </c:pt>
                <c:pt idx="9">
                  <c:v>48.97</c:v>
                </c:pt>
                <c:pt idx="10">
                  <c:v>48.98</c:v>
                </c:pt>
                <c:pt idx="11">
                  <c:v>48.62</c:v>
                </c:pt>
                <c:pt idx="12">
                  <c:v>48.83</c:v>
                </c:pt>
                <c:pt idx="13">
                  <c:v>48.04</c:v>
                </c:pt>
                <c:pt idx="14">
                  <c:v>48.31</c:v>
                </c:pt>
                <c:pt idx="15">
                  <c:v>48.69</c:v>
                </c:pt>
                <c:pt idx="16">
                  <c:v>48.72</c:v>
                </c:pt>
                <c:pt idx="17">
                  <c:v>48.97</c:v>
                </c:pt>
                <c:pt idx="18">
                  <c:v>49.29</c:v>
                </c:pt>
                <c:pt idx="19">
                  <c:v>48.59</c:v>
                </c:pt>
                <c:pt idx="20">
                  <c:v>48.86</c:v>
                </c:pt>
                <c:pt idx="21">
                  <c:v>48.11</c:v>
                </c:pt>
                <c:pt idx="22">
                  <c:v>48.17</c:v>
                </c:pt>
                <c:pt idx="23">
                  <c:v>48.02</c:v>
                </c:pt>
                <c:pt idx="24">
                  <c:v>48.78</c:v>
                </c:pt>
                <c:pt idx="25">
                  <c:v>48.57</c:v>
                </c:pt>
                <c:pt idx="26">
                  <c:v>47.84</c:v>
                </c:pt>
                <c:pt idx="27">
                  <c:v>46.96</c:v>
                </c:pt>
                <c:pt idx="28">
                  <c:v>45.08</c:v>
                </c:pt>
                <c:pt idx="29">
                  <c:v>46.51</c:v>
                </c:pt>
                <c:pt idx="30">
                  <c:v>49.46</c:v>
                </c:pt>
                <c:pt idx="31">
                  <c:v>48.58</c:v>
                </c:pt>
                <c:pt idx="32">
                  <c:v>48.51</c:v>
                </c:pt>
                <c:pt idx="33">
                  <c:v>48.61</c:v>
                </c:pt>
                <c:pt idx="34">
                  <c:v>48.37</c:v>
                </c:pt>
                <c:pt idx="35">
                  <c:v>48.72</c:v>
                </c:pt>
                <c:pt idx="36">
                  <c:v>48.46</c:v>
                </c:pt>
                <c:pt idx="37">
                  <c:v>48.06</c:v>
                </c:pt>
                <c:pt idx="38">
                  <c:v>47.73</c:v>
                </c:pt>
                <c:pt idx="39">
                  <c:v>47.95</c:v>
                </c:pt>
                <c:pt idx="40">
                  <c:v>48.96</c:v>
                </c:pt>
                <c:pt idx="41">
                  <c:v>48.98</c:v>
                </c:pt>
                <c:pt idx="42">
                  <c:v>48.86</c:v>
                </c:pt>
                <c:pt idx="43">
                  <c:v>48.06</c:v>
                </c:pt>
                <c:pt idx="44">
                  <c:v>47.96</c:v>
                </c:pt>
                <c:pt idx="45">
                  <c:v>48</c:v>
                </c:pt>
                <c:pt idx="46">
                  <c:v>47.93</c:v>
                </c:pt>
                <c:pt idx="47">
                  <c:v>47.69</c:v>
                </c:pt>
                <c:pt idx="48">
                  <c:v>47.76</c:v>
                </c:pt>
                <c:pt idx="49">
                  <c:v>47.72</c:v>
                </c:pt>
                <c:pt idx="51">
                  <c:v>47.88</c:v>
                </c:pt>
                <c:pt idx="52">
                  <c:v>47.89</c:v>
                </c:pt>
                <c:pt idx="53">
                  <c:v>47.5</c:v>
                </c:pt>
                <c:pt idx="54">
                  <c:v>47.14</c:v>
                </c:pt>
                <c:pt idx="55">
                  <c:v>47.17</c:v>
                </c:pt>
                <c:pt idx="56">
                  <c:v>47.12</c:v>
                </c:pt>
                <c:pt idx="57">
                  <c:v>47.5</c:v>
                </c:pt>
                <c:pt idx="58">
                  <c:v>47.94</c:v>
                </c:pt>
                <c:pt idx="59">
                  <c:v>47.49</c:v>
                </c:pt>
                <c:pt idx="60">
                  <c:v>48.54</c:v>
                </c:pt>
                <c:pt idx="61">
                  <c:v>48.41</c:v>
                </c:pt>
                <c:pt idx="62">
                  <c:v>49.17</c:v>
                </c:pt>
                <c:pt idx="63">
                  <c:v>47.82</c:v>
                </c:pt>
                <c:pt idx="64">
                  <c:v>47.04</c:v>
                </c:pt>
                <c:pt idx="65">
                  <c:v>46.91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13672"/>
        <c:axId val="468916024"/>
      </c:lineChart>
      <c:dateAx>
        <c:axId val="468913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916024"/>
        <c:crosses val="autoZero"/>
        <c:auto val="1"/>
        <c:lblOffset val="100"/>
        <c:baseTimeUnit val="days"/>
      </c:dateAx>
      <c:valAx>
        <c:axId val="46891602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91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50.41</c:v>
                </c:pt>
                <c:pt idx="1">
                  <c:v>49.67</c:v>
                </c:pt>
                <c:pt idx="2">
                  <c:v>49.02</c:v>
                </c:pt>
                <c:pt idx="3">
                  <c:v>50.32</c:v>
                </c:pt>
                <c:pt idx="4">
                  <c:v>52.9</c:v>
                </c:pt>
                <c:pt idx="5">
                  <c:v>51.72</c:v>
                </c:pt>
                <c:pt idx="6">
                  <c:v>52.06</c:v>
                </c:pt>
                <c:pt idx="7">
                  <c:v>52.33</c:v>
                </c:pt>
                <c:pt idx="8">
                  <c:v>52.16</c:v>
                </c:pt>
                <c:pt idx="9">
                  <c:v>51.68</c:v>
                </c:pt>
                <c:pt idx="10">
                  <c:v>51.44</c:v>
                </c:pt>
                <c:pt idx="11">
                  <c:v>51.35</c:v>
                </c:pt>
                <c:pt idx="12">
                  <c:v>51.59</c:v>
                </c:pt>
                <c:pt idx="13">
                  <c:v>51.19</c:v>
                </c:pt>
                <c:pt idx="14">
                  <c:v>52</c:v>
                </c:pt>
                <c:pt idx="15">
                  <c:v>51.64</c:v>
                </c:pt>
                <c:pt idx="16">
                  <c:v>51.57</c:v>
                </c:pt>
                <c:pt idx="17">
                  <c:v>51.72</c:v>
                </c:pt>
                <c:pt idx="18">
                  <c:v>51.91</c:v>
                </c:pt>
                <c:pt idx="19">
                  <c:v>51.1</c:v>
                </c:pt>
                <c:pt idx="20">
                  <c:v>50.23</c:v>
                </c:pt>
                <c:pt idx="21">
                  <c:v>49.05</c:v>
                </c:pt>
                <c:pt idx="22">
                  <c:v>48.54</c:v>
                </c:pt>
                <c:pt idx="23">
                  <c:v>49.16</c:v>
                </c:pt>
                <c:pt idx="24">
                  <c:v>50.08</c:v>
                </c:pt>
                <c:pt idx="25">
                  <c:v>49.48</c:v>
                </c:pt>
                <c:pt idx="26">
                  <c:v>48.42</c:v>
                </c:pt>
                <c:pt idx="27">
                  <c:v>47.44</c:v>
                </c:pt>
                <c:pt idx="28">
                  <c:v>46.19</c:v>
                </c:pt>
                <c:pt idx="29">
                  <c:v>47.61</c:v>
                </c:pt>
                <c:pt idx="30">
                  <c:v>50.82</c:v>
                </c:pt>
                <c:pt idx="31">
                  <c:v>50.8</c:v>
                </c:pt>
                <c:pt idx="32">
                  <c:v>50.66</c:v>
                </c:pt>
                <c:pt idx="33">
                  <c:v>50.04</c:v>
                </c:pt>
                <c:pt idx="34">
                  <c:v>49.97</c:v>
                </c:pt>
                <c:pt idx="35">
                  <c:v>49.09</c:v>
                </c:pt>
                <c:pt idx="36">
                  <c:v>49.88</c:v>
                </c:pt>
                <c:pt idx="37">
                  <c:v>49.42</c:v>
                </c:pt>
                <c:pt idx="38">
                  <c:v>49.67</c:v>
                </c:pt>
                <c:pt idx="39">
                  <c:v>49.84</c:v>
                </c:pt>
                <c:pt idx="40">
                  <c:v>50.74</c:v>
                </c:pt>
                <c:pt idx="41">
                  <c:v>50.67</c:v>
                </c:pt>
                <c:pt idx="42">
                  <c:v>50.85</c:v>
                </c:pt>
                <c:pt idx="43">
                  <c:v>49.59</c:v>
                </c:pt>
                <c:pt idx="44">
                  <c:v>48.45</c:v>
                </c:pt>
                <c:pt idx="45">
                  <c:v>47.51</c:v>
                </c:pt>
                <c:pt idx="46">
                  <c:v>45.55</c:v>
                </c:pt>
                <c:pt idx="47">
                  <c:v>42.72</c:v>
                </c:pt>
                <c:pt idx="48">
                  <c:v>41.79</c:v>
                </c:pt>
                <c:pt idx="49">
                  <c:v>41.82</c:v>
                </c:pt>
                <c:pt idx="50">
                  <c:v>41.8</c:v>
                </c:pt>
                <c:pt idx="51">
                  <c:v>41.56</c:v>
                </c:pt>
                <c:pt idx="52">
                  <c:v>41.51</c:v>
                </c:pt>
                <c:pt idx="53">
                  <c:v>41.55</c:v>
                </c:pt>
                <c:pt idx="54">
                  <c:v>40.700000000000003</c:v>
                </c:pt>
                <c:pt idx="55">
                  <c:v>40.75</c:v>
                </c:pt>
                <c:pt idx="56">
                  <c:v>41.63</c:v>
                </c:pt>
                <c:pt idx="57">
                  <c:v>41.46</c:v>
                </c:pt>
                <c:pt idx="58">
                  <c:v>41.91</c:v>
                </c:pt>
                <c:pt idx="59">
                  <c:v>43.79</c:v>
                </c:pt>
                <c:pt idx="60">
                  <c:v>44.01</c:v>
                </c:pt>
                <c:pt idx="61">
                  <c:v>49.9</c:v>
                </c:pt>
                <c:pt idx="62">
                  <c:v>50.68</c:v>
                </c:pt>
                <c:pt idx="63">
                  <c:v>50.87</c:v>
                </c:pt>
                <c:pt idx="64">
                  <c:v>50.18</c:v>
                </c:pt>
                <c:pt idx="65">
                  <c:v>51.31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10536"/>
        <c:axId val="468910928"/>
      </c:lineChart>
      <c:dateAx>
        <c:axId val="468910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910928"/>
        <c:crosses val="autoZero"/>
        <c:auto val="1"/>
        <c:lblOffset val="100"/>
        <c:baseTimeUnit val="days"/>
      </c:dateAx>
      <c:valAx>
        <c:axId val="4689109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91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13-Jun-16</c:v>
                </c:pt>
                <c:pt idx="39">
                  <c:v>10-Jun-16</c:v>
                </c:pt>
                <c:pt idx="40">
                  <c:v>9-Jun-16</c:v>
                </c:pt>
                <c:pt idx="41">
                  <c:v>8-Jun-16</c:v>
                </c:pt>
                <c:pt idx="42">
                  <c:v>7-Jun-16</c:v>
                </c:pt>
                <c:pt idx="43">
                  <c:v>6-Jun-16</c:v>
                </c:pt>
                <c:pt idx="44">
                  <c:v>3-Jun-16</c:v>
                </c:pt>
                <c:pt idx="45">
                  <c:v>2-Jun-16</c:v>
                </c:pt>
                <c:pt idx="46">
                  <c:v>1-Jun-16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68.84</c:v>
                </c:pt>
                <c:pt idx="1">
                  <c:v>68.62</c:v>
                </c:pt>
                <c:pt idx="2">
                  <c:v>68.63</c:v>
                </c:pt>
                <c:pt idx="3">
                  <c:v>68.11</c:v>
                </c:pt>
                <c:pt idx="4">
                  <c:v>68.39</c:v>
                </c:pt>
                <c:pt idx="5">
                  <c:v>68.33</c:v>
                </c:pt>
                <c:pt idx="6">
                  <c:v>69.17</c:v>
                </c:pt>
                <c:pt idx="7">
                  <c:v>68.86</c:v>
                </c:pt>
                <c:pt idx="8">
                  <c:v>69.040000000000006</c:v>
                </c:pt>
                <c:pt idx="9">
                  <c:v>69.22</c:v>
                </c:pt>
                <c:pt idx="10">
                  <c:v>69.2</c:v>
                </c:pt>
                <c:pt idx="11">
                  <c:v>68.89</c:v>
                </c:pt>
                <c:pt idx="12">
                  <c:v>69.099999999999994</c:v>
                </c:pt>
                <c:pt idx="13">
                  <c:v>69.12</c:v>
                </c:pt>
                <c:pt idx="14">
                  <c:v>69.349999999999994</c:v>
                </c:pt>
                <c:pt idx="15">
                  <c:v>69.489999999999995</c:v>
                </c:pt>
                <c:pt idx="16">
                  <c:v>69.31</c:v>
                </c:pt>
                <c:pt idx="17">
                  <c:v>69.28</c:v>
                </c:pt>
                <c:pt idx="18">
                  <c:v>69.599999999999994</c:v>
                </c:pt>
                <c:pt idx="19">
                  <c:v>69.94</c:v>
                </c:pt>
                <c:pt idx="20">
                  <c:v>69.66</c:v>
                </c:pt>
                <c:pt idx="21">
                  <c:v>68.94</c:v>
                </c:pt>
                <c:pt idx="22">
                  <c:v>69.459999999999994</c:v>
                </c:pt>
                <c:pt idx="23">
                  <c:v>69.31</c:v>
                </c:pt>
                <c:pt idx="24">
                  <c:v>69.56</c:v>
                </c:pt>
                <c:pt idx="25">
                  <c:v>69.95</c:v>
                </c:pt>
                <c:pt idx="26">
                  <c:v>68.47</c:v>
                </c:pt>
                <c:pt idx="27">
                  <c:v>67.73</c:v>
                </c:pt>
                <c:pt idx="28">
                  <c:v>66.06</c:v>
                </c:pt>
                <c:pt idx="29">
                  <c:v>66.260000000000005</c:v>
                </c:pt>
                <c:pt idx="30">
                  <c:v>67.86</c:v>
                </c:pt>
                <c:pt idx="31">
                  <c:v>67.02</c:v>
                </c:pt>
                <c:pt idx="32">
                  <c:v>66.8</c:v>
                </c:pt>
                <c:pt idx="33">
                  <c:v>66.569999999999993</c:v>
                </c:pt>
                <c:pt idx="34">
                  <c:v>66.42</c:v>
                </c:pt>
                <c:pt idx="35">
                  <c:v>66.47</c:v>
                </c:pt>
                <c:pt idx="36">
                  <c:v>65.87</c:v>
                </c:pt>
                <c:pt idx="37">
                  <c:v>66.69</c:v>
                </c:pt>
                <c:pt idx="38">
                  <c:v>66.88</c:v>
                </c:pt>
                <c:pt idx="39">
                  <c:v>67.459999999999994</c:v>
                </c:pt>
                <c:pt idx="40">
                  <c:v>67.790000000000006</c:v>
                </c:pt>
                <c:pt idx="41">
                  <c:v>67.680000000000007</c:v>
                </c:pt>
                <c:pt idx="42">
                  <c:v>67.430000000000007</c:v>
                </c:pt>
                <c:pt idx="43">
                  <c:v>67.62</c:v>
                </c:pt>
                <c:pt idx="44">
                  <c:v>67.430000000000007</c:v>
                </c:pt>
                <c:pt idx="45">
                  <c:v>67.44</c:v>
                </c:pt>
                <c:pt idx="46">
                  <c:v>67.44</c:v>
                </c:pt>
                <c:pt idx="48">
                  <c:v>67.510000000000005</c:v>
                </c:pt>
                <c:pt idx="49">
                  <c:v>67.680000000000007</c:v>
                </c:pt>
                <c:pt idx="50">
                  <c:v>67.510000000000005</c:v>
                </c:pt>
                <c:pt idx="51">
                  <c:v>67.28</c:v>
                </c:pt>
                <c:pt idx="52">
                  <c:v>67.44</c:v>
                </c:pt>
                <c:pt idx="53">
                  <c:v>66.88</c:v>
                </c:pt>
                <c:pt idx="54">
                  <c:v>67.150000000000006</c:v>
                </c:pt>
                <c:pt idx="55">
                  <c:v>66.84</c:v>
                </c:pt>
                <c:pt idx="56">
                  <c:v>67.36</c:v>
                </c:pt>
                <c:pt idx="57">
                  <c:v>67.099999999999994</c:v>
                </c:pt>
                <c:pt idx="58">
                  <c:v>67.55</c:v>
                </c:pt>
                <c:pt idx="59">
                  <c:v>67.38</c:v>
                </c:pt>
                <c:pt idx="60">
                  <c:v>67.540000000000006</c:v>
                </c:pt>
                <c:pt idx="61">
                  <c:v>67.349999999999994</c:v>
                </c:pt>
                <c:pt idx="62">
                  <c:v>67.98</c:v>
                </c:pt>
                <c:pt idx="63">
                  <c:v>67.209999999999994</c:v>
                </c:pt>
                <c:pt idx="64">
                  <c:v>67.099999999999994</c:v>
                </c:pt>
                <c:pt idx="65">
                  <c:v>67.87</c:v>
                </c:pt>
                <c:pt idx="66">
                  <c:v>65.28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778272"/>
        <c:axId val="478773176"/>
      </c:lineChart>
      <c:catAx>
        <c:axId val="478778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73176"/>
        <c:crosses val="autoZero"/>
        <c:auto val="1"/>
        <c:lblAlgn val="ctr"/>
        <c:lblOffset val="100"/>
        <c:noMultiLvlLbl val="0"/>
      </c:catAx>
      <c:valAx>
        <c:axId val="47877317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7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NSC!$W$2:$W$71</c:f>
              <c:strCache>
                <c:ptCount val="69"/>
                <c:pt idx="0">
                  <c:v>8/5/2016</c:v>
                </c:pt>
                <c:pt idx="1">
                  <c:v>8/4/2016</c:v>
                </c:pt>
                <c:pt idx="2">
                  <c:v>8/4/2016</c:v>
                </c:pt>
                <c:pt idx="3">
                  <c:v>8/3/2016</c:v>
                </c:pt>
                <c:pt idx="4">
                  <c:v>8/2/2016</c:v>
                </c:pt>
                <c:pt idx="5">
                  <c:v>8/1/2016</c:v>
                </c:pt>
                <c:pt idx="6">
                  <c:v>7/29/2016</c:v>
                </c:pt>
                <c:pt idx="7">
                  <c:v>7/28/2016</c:v>
                </c:pt>
                <c:pt idx="8">
                  <c:v>7/27/2016</c:v>
                </c:pt>
                <c:pt idx="9">
                  <c:v>7/26/2016</c:v>
                </c:pt>
                <c:pt idx="10">
                  <c:v>7/25/2016</c:v>
                </c:pt>
                <c:pt idx="11">
                  <c:v>7/22/2016</c:v>
                </c:pt>
                <c:pt idx="12">
                  <c:v>7/21/2016</c:v>
                </c:pt>
                <c:pt idx="13">
                  <c:v>7/20/2016</c:v>
                </c:pt>
                <c:pt idx="14">
                  <c:v>7/19/2016</c:v>
                </c:pt>
                <c:pt idx="15">
                  <c:v>7/18/2016</c:v>
                </c:pt>
                <c:pt idx="16">
                  <c:v>7/15/2016</c:v>
                </c:pt>
                <c:pt idx="17">
                  <c:v>7/14/2016</c:v>
                </c:pt>
                <c:pt idx="18">
                  <c:v>7/13/2016</c:v>
                </c:pt>
                <c:pt idx="19">
                  <c:v>7/12/2016</c:v>
                </c:pt>
                <c:pt idx="20">
                  <c:v>7/11/2016</c:v>
                </c:pt>
                <c:pt idx="21">
                  <c:v>7/8/2016</c:v>
                </c:pt>
                <c:pt idx="22">
                  <c:v>7/7/2016</c:v>
                </c:pt>
                <c:pt idx="23">
                  <c:v>7/6/2016</c:v>
                </c:pt>
                <c:pt idx="24">
                  <c:v>7/5/2016</c:v>
                </c:pt>
                <c:pt idx="25">
                  <c:v>7/1/2016</c:v>
                </c:pt>
                <c:pt idx="26">
                  <c:v>6/30/2016</c:v>
                </c:pt>
                <c:pt idx="27">
                  <c:v>6/29/2016</c:v>
                </c:pt>
                <c:pt idx="28">
                  <c:v>6/28/2016</c:v>
                </c:pt>
                <c:pt idx="29">
                  <c:v>6/27/2016</c:v>
                </c:pt>
                <c:pt idx="30">
                  <c:v>6/24/2016</c:v>
                </c:pt>
                <c:pt idx="31">
                  <c:v>6/23/2016</c:v>
                </c:pt>
                <c:pt idx="32">
                  <c:v>6/22/2016</c:v>
                </c:pt>
                <c:pt idx="33">
                  <c:v>6/21/2016</c:v>
                </c:pt>
                <c:pt idx="34">
                  <c:v>6/20/2016</c:v>
                </c:pt>
                <c:pt idx="35">
                  <c:v>6/17/2016</c:v>
                </c:pt>
                <c:pt idx="36">
                  <c:v>6/16/2016</c:v>
                </c:pt>
                <c:pt idx="37">
                  <c:v>6/15/2016</c:v>
                </c:pt>
                <c:pt idx="38">
                  <c:v>6/14/2016</c:v>
                </c:pt>
                <c:pt idx="39">
                  <c:v>6/13/2016</c:v>
                </c:pt>
                <c:pt idx="40">
                  <c:v>6/10/2016</c:v>
                </c:pt>
                <c:pt idx="41">
                  <c:v>6/9/2016</c:v>
                </c:pt>
                <c:pt idx="42">
                  <c:v>6/8/2016</c:v>
                </c:pt>
                <c:pt idx="43">
                  <c:v>6/7/2016</c:v>
                </c:pt>
                <c:pt idx="44">
                  <c:v>6/6/2016</c:v>
                </c:pt>
                <c:pt idx="45">
                  <c:v>6/3/2016</c:v>
                </c:pt>
                <c:pt idx="46">
                  <c:v>6/2/2016</c:v>
                </c:pt>
                <c:pt idx="47">
                  <c:v>6/1/2016</c:v>
                </c:pt>
                <c:pt idx="48">
                  <c:v>5/31/2016</c:v>
                </c:pt>
                <c:pt idx="49">
                  <c:v>5/27/2016</c:v>
                </c:pt>
                <c:pt idx="50">
                  <c:v>5/26/2016</c:v>
                </c:pt>
                <c:pt idx="51">
                  <c:v>5/25/2016</c:v>
                </c:pt>
                <c:pt idx="52">
                  <c:v>5/24/2016</c:v>
                </c:pt>
                <c:pt idx="53">
                  <c:v>5/23/2016</c:v>
                </c:pt>
                <c:pt idx="54">
                  <c:v>5/20/2016</c:v>
                </c:pt>
                <c:pt idx="55">
                  <c:v>5/19/2016</c:v>
                </c:pt>
                <c:pt idx="56">
                  <c:v>5/18/2016</c:v>
                </c:pt>
                <c:pt idx="57">
                  <c:v>5/17/2016</c:v>
                </c:pt>
                <c:pt idx="58">
                  <c:v>5/16/2016</c:v>
                </c:pt>
                <c:pt idx="59">
                  <c:v>5/13/2016</c:v>
                </c:pt>
                <c:pt idx="60">
                  <c:v>5/12/2016</c:v>
                </c:pt>
                <c:pt idx="61">
                  <c:v>5/11/2016</c:v>
                </c:pt>
                <c:pt idx="62">
                  <c:v>5/10/2016</c:v>
                </c:pt>
                <c:pt idx="63">
                  <c:v>5/9/2016</c:v>
                </c:pt>
                <c:pt idx="64">
                  <c:v>5/6/2016</c:v>
                </c:pt>
                <c:pt idx="65">
                  <c:v>5/5/2016</c:v>
                </c:pt>
                <c:pt idx="66">
                  <c:v>5/4/2016</c:v>
                </c:pt>
                <c:pt idx="67">
                  <c:v>5/4/2016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NSC!$AA$2:$AA$71</c:f>
              <c:numCache>
                <c:formatCode>0.00</c:formatCode>
                <c:ptCount val="70"/>
                <c:pt idx="0">
                  <c:v>88.88</c:v>
                </c:pt>
                <c:pt idx="1">
                  <c:v>87.61</c:v>
                </c:pt>
                <c:pt idx="3">
                  <c:v>88.33</c:v>
                </c:pt>
                <c:pt idx="4">
                  <c:v>87.17</c:v>
                </c:pt>
                <c:pt idx="5">
                  <c:v>88.55</c:v>
                </c:pt>
                <c:pt idx="6">
                  <c:v>89.78</c:v>
                </c:pt>
                <c:pt idx="7">
                  <c:v>90.02</c:v>
                </c:pt>
                <c:pt idx="8">
                  <c:v>90.14</c:v>
                </c:pt>
                <c:pt idx="9">
                  <c:v>92.75</c:v>
                </c:pt>
                <c:pt idx="10">
                  <c:v>91.96</c:v>
                </c:pt>
                <c:pt idx="11">
                  <c:v>92.01</c:v>
                </c:pt>
                <c:pt idx="12">
                  <c:v>91.56</c:v>
                </c:pt>
                <c:pt idx="13">
                  <c:v>91.75</c:v>
                </c:pt>
                <c:pt idx="14">
                  <c:v>91.4</c:v>
                </c:pt>
                <c:pt idx="15">
                  <c:v>91.61</c:v>
                </c:pt>
                <c:pt idx="16">
                  <c:v>91.49</c:v>
                </c:pt>
                <c:pt idx="17">
                  <c:v>91.79</c:v>
                </c:pt>
                <c:pt idx="18">
                  <c:v>90.77</c:v>
                </c:pt>
                <c:pt idx="19">
                  <c:v>88.42</c:v>
                </c:pt>
                <c:pt idx="20">
                  <c:v>86.95</c:v>
                </c:pt>
                <c:pt idx="21">
                  <c:v>86.42</c:v>
                </c:pt>
                <c:pt idx="22">
                  <c:v>84.04</c:v>
                </c:pt>
                <c:pt idx="23">
                  <c:v>84.95</c:v>
                </c:pt>
                <c:pt idx="24">
                  <c:v>83.9</c:v>
                </c:pt>
                <c:pt idx="25">
                  <c:v>85.2</c:v>
                </c:pt>
                <c:pt idx="26">
                  <c:v>85.13</c:v>
                </c:pt>
                <c:pt idx="27">
                  <c:v>83.75</c:v>
                </c:pt>
                <c:pt idx="28">
                  <c:v>82.23</c:v>
                </c:pt>
                <c:pt idx="29">
                  <c:v>79.680000000000007</c:v>
                </c:pt>
                <c:pt idx="30">
                  <c:v>82.64</c:v>
                </c:pt>
                <c:pt idx="31">
                  <c:v>87</c:v>
                </c:pt>
                <c:pt idx="32">
                  <c:v>86.05</c:v>
                </c:pt>
                <c:pt idx="33">
                  <c:v>85.01</c:v>
                </c:pt>
                <c:pt idx="34">
                  <c:v>85.65</c:v>
                </c:pt>
                <c:pt idx="35">
                  <c:v>85.19</c:v>
                </c:pt>
                <c:pt idx="36">
                  <c:v>84.19</c:v>
                </c:pt>
                <c:pt idx="37">
                  <c:v>83.5</c:v>
                </c:pt>
                <c:pt idx="38">
                  <c:v>82.8</c:v>
                </c:pt>
                <c:pt idx="39">
                  <c:v>83.23</c:v>
                </c:pt>
                <c:pt idx="40">
                  <c:v>84.09</c:v>
                </c:pt>
                <c:pt idx="41">
                  <c:v>85.6</c:v>
                </c:pt>
                <c:pt idx="42">
                  <c:v>85.95</c:v>
                </c:pt>
                <c:pt idx="43">
                  <c:v>83.74</c:v>
                </c:pt>
                <c:pt idx="44">
                  <c:v>83.27</c:v>
                </c:pt>
                <c:pt idx="45">
                  <c:v>83.11</c:v>
                </c:pt>
                <c:pt idx="46">
                  <c:v>83.17</c:v>
                </c:pt>
                <c:pt idx="47">
                  <c:v>83.01</c:v>
                </c:pt>
                <c:pt idx="48">
                  <c:v>84.06</c:v>
                </c:pt>
                <c:pt idx="49">
                  <c:v>84</c:v>
                </c:pt>
                <c:pt idx="50">
                  <c:v>83.83</c:v>
                </c:pt>
                <c:pt idx="51">
                  <c:v>83.31</c:v>
                </c:pt>
                <c:pt idx="52">
                  <c:v>82.23</c:v>
                </c:pt>
                <c:pt idx="53">
                  <c:v>84.69</c:v>
                </c:pt>
                <c:pt idx="54">
                  <c:v>85.44</c:v>
                </c:pt>
                <c:pt idx="55">
                  <c:v>84.33</c:v>
                </c:pt>
                <c:pt idx="56">
                  <c:v>85.51</c:v>
                </c:pt>
                <c:pt idx="57">
                  <c:v>85.86</c:v>
                </c:pt>
                <c:pt idx="58">
                  <c:v>86.24</c:v>
                </c:pt>
                <c:pt idx="59">
                  <c:v>85.97</c:v>
                </c:pt>
                <c:pt idx="60">
                  <c:v>88.18</c:v>
                </c:pt>
                <c:pt idx="61">
                  <c:v>88.82</c:v>
                </c:pt>
                <c:pt idx="62">
                  <c:v>90.31</c:v>
                </c:pt>
                <c:pt idx="63">
                  <c:v>88.28</c:v>
                </c:pt>
                <c:pt idx="64">
                  <c:v>89.66</c:v>
                </c:pt>
                <c:pt idx="65">
                  <c:v>88.95</c:v>
                </c:pt>
                <c:pt idx="66">
                  <c:v>88.87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783368"/>
        <c:axId val="478775528"/>
      </c:lineChart>
      <c:catAx>
        <c:axId val="478783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75528"/>
        <c:crosses val="autoZero"/>
        <c:auto val="1"/>
        <c:lblAlgn val="ctr"/>
        <c:lblOffset val="100"/>
        <c:noMultiLvlLbl val="0"/>
      </c:catAx>
      <c:valAx>
        <c:axId val="47877552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83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15-Jun-16</c:v>
                </c:pt>
                <c:pt idx="38">
                  <c:v>14-Jun-16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170.12</c:v>
                </c:pt>
                <c:pt idx="1">
                  <c:v>166.99</c:v>
                </c:pt>
                <c:pt idx="2">
                  <c:v>164.11</c:v>
                </c:pt>
                <c:pt idx="3">
                  <c:v>162.88999999999999</c:v>
                </c:pt>
                <c:pt idx="4">
                  <c:v>163.51</c:v>
                </c:pt>
                <c:pt idx="5">
                  <c:v>161.97999999999999</c:v>
                </c:pt>
                <c:pt idx="6">
                  <c:v>164.23</c:v>
                </c:pt>
                <c:pt idx="7">
                  <c:v>165.66</c:v>
                </c:pt>
                <c:pt idx="8">
                  <c:v>163.44</c:v>
                </c:pt>
                <c:pt idx="9">
                  <c:v>159.78</c:v>
                </c:pt>
                <c:pt idx="10">
                  <c:v>159.66999999999999</c:v>
                </c:pt>
                <c:pt idx="11">
                  <c:v>160.41</c:v>
                </c:pt>
                <c:pt idx="12">
                  <c:v>162.66999999999999</c:v>
                </c:pt>
                <c:pt idx="13">
                  <c:v>160.53</c:v>
                </c:pt>
                <c:pt idx="14">
                  <c:v>162.33000000000001</c:v>
                </c:pt>
                <c:pt idx="15">
                  <c:v>161.16</c:v>
                </c:pt>
                <c:pt idx="16">
                  <c:v>160.79</c:v>
                </c:pt>
                <c:pt idx="17">
                  <c:v>157.41</c:v>
                </c:pt>
                <c:pt idx="18">
                  <c:v>158.59</c:v>
                </c:pt>
                <c:pt idx="19">
                  <c:v>157.36000000000001</c:v>
                </c:pt>
                <c:pt idx="20">
                  <c:v>155.13999999999999</c:v>
                </c:pt>
                <c:pt idx="21">
                  <c:v>150.99</c:v>
                </c:pt>
                <c:pt idx="22">
                  <c:v>150.63</c:v>
                </c:pt>
                <c:pt idx="23">
                  <c:v>150.76</c:v>
                </c:pt>
                <c:pt idx="24">
                  <c:v>154.22</c:v>
                </c:pt>
                <c:pt idx="25">
                  <c:v>155.4</c:v>
                </c:pt>
                <c:pt idx="26">
                  <c:v>155</c:v>
                </c:pt>
                <c:pt idx="27">
                  <c:v>149.77000000000001</c:v>
                </c:pt>
                <c:pt idx="28">
                  <c:v>143.63</c:v>
                </c:pt>
                <c:pt idx="29">
                  <c:v>148.72</c:v>
                </c:pt>
                <c:pt idx="30">
                  <c:v>158.62</c:v>
                </c:pt>
                <c:pt idx="31">
                  <c:v>155.13999999999999</c:v>
                </c:pt>
                <c:pt idx="32">
                  <c:v>155.81</c:v>
                </c:pt>
                <c:pt idx="33">
                  <c:v>156.93</c:v>
                </c:pt>
                <c:pt idx="34">
                  <c:v>156</c:v>
                </c:pt>
                <c:pt idx="35">
                  <c:v>158.63</c:v>
                </c:pt>
                <c:pt idx="36">
                  <c:v>158.4</c:v>
                </c:pt>
                <c:pt idx="38">
                  <c:v>158.99</c:v>
                </c:pt>
                <c:pt idx="39">
                  <c:v>160.01</c:v>
                </c:pt>
                <c:pt idx="40">
                  <c:v>160.82</c:v>
                </c:pt>
                <c:pt idx="41">
                  <c:v>164.14</c:v>
                </c:pt>
                <c:pt idx="42">
                  <c:v>163.69999999999999</c:v>
                </c:pt>
                <c:pt idx="43">
                  <c:v>164.84</c:v>
                </c:pt>
                <c:pt idx="44">
                  <c:v>162.84</c:v>
                </c:pt>
                <c:pt idx="45">
                  <c:v>162.56</c:v>
                </c:pt>
                <c:pt idx="46">
                  <c:v>154.91</c:v>
                </c:pt>
                <c:pt idx="47">
                  <c:v>154.77000000000001</c:v>
                </c:pt>
                <c:pt idx="48">
                  <c:v>154.36000000000001</c:v>
                </c:pt>
                <c:pt idx="49">
                  <c:v>153.30000000000001</c:v>
                </c:pt>
                <c:pt idx="50">
                  <c:v>153.02000000000001</c:v>
                </c:pt>
                <c:pt idx="51">
                  <c:v>153.57</c:v>
                </c:pt>
                <c:pt idx="52">
                  <c:v>151.41999999999999</c:v>
                </c:pt>
                <c:pt idx="53">
                  <c:v>148.1</c:v>
                </c:pt>
                <c:pt idx="54">
                  <c:v>146.72999999999999</c:v>
                </c:pt>
                <c:pt idx="55">
                  <c:v>142.74</c:v>
                </c:pt>
                <c:pt idx="56">
                  <c:v>143.88</c:v>
                </c:pt>
                <c:pt idx="57">
                  <c:v>141.16999999999999</c:v>
                </c:pt>
                <c:pt idx="58">
                  <c:v>142.65</c:v>
                </c:pt>
                <c:pt idx="59">
                  <c:v>140.05000000000001</c:v>
                </c:pt>
                <c:pt idx="60">
                  <c:v>141.04</c:v>
                </c:pt>
                <c:pt idx="61">
                  <c:v>143.85</c:v>
                </c:pt>
                <c:pt idx="62">
                  <c:v>144.61000000000001</c:v>
                </c:pt>
                <c:pt idx="63">
                  <c:v>142.4</c:v>
                </c:pt>
                <c:pt idx="64">
                  <c:v>141.88999999999999</c:v>
                </c:pt>
                <c:pt idx="65">
                  <c:v>142.58000000000001</c:v>
                </c:pt>
                <c:pt idx="66">
                  <c:v>142.07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781016"/>
        <c:axId val="478773568"/>
      </c:lineChart>
      <c:catAx>
        <c:axId val="478781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73568"/>
        <c:crosses val="autoZero"/>
        <c:auto val="1"/>
        <c:lblAlgn val="ctr"/>
        <c:lblOffset val="100"/>
        <c:noMultiLvlLbl val="0"/>
      </c:catAx>
      <c:valAx>
        <c:axId val="47877356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81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48.41</c:v>
                </c:pt>
                <c:pt idx="1">
                  <c:v>45.9</c:v>
                </c:pt>
                <c:pt idx="2">
                  <c:v>44.9</c:v>
                </c:pt>
                <c:pt idx="3">
                  <c:v>44.4</c:v>
                </c:pt>
                <c:pt idx="4">
                  <c:v>47.36</c:v>
                </c:pt>
                <c:pt idx="5">
                  <c:v>46.89</c:v>
                </c:pt>
                <c:pt idx="6">
                  <c:v>47.4</c:v>
                </c:pt>
                <c:pt idx="7">
                  <c:v>47.44</c:v>
                </c:pt>
                <c:pt idx="8">
                  <c:v>47.73</c:v>
                </c:pt>
                <c:pt idx="9">
                  <c:v>46.89</c:v>
                </c:pt>
                <c:pt idx="10">
                  <c:v>47.57</c:v>
                </c:pt>
                <c:pt idx="11">
                  <c:v>46.66</c:v>
                </c:pt>
                <c:pt idx="12">
                  <c:v>48.3</c:v>
                </c:pt>
                <c:pt idx="13">
                  <c:v>47.85</c:v>
                </c:pt>
                <c:pt idx="14">
                  <c:v>47.71</c:v>
                </c:pt>
                <c:pt idx="15">
                  <c:v>47.43</c:v>
                </c:pt>
                <c:pt idx="16">
                  <c:v>47.85</c:v>
                </c:pt>
                <c:pt idx="17">
                  <c:v>45.86</c:v>
                </c:pt>
                <c:pt idx="18">
                  <c:v>46.16</c:v>
                </c:pt>
                <c:pt idx="19">
                  <c:v>42.41</c:v>
                </c:pt>
                <c:pt idx="20">
                  <c:v>41.48</c:v>
                </c:pt>
                <c:pt idx="21">
                  <c:v>40.090000000000003</c:v>
                </c:pt>
                <c:pt idx="22">
                  <c:v>39.31</c:v>
                </c:pt>
                <c:pt idx="23">
                  <c:v>40.29</c:v>
                </c:pt>
                <c:pt idx="24">
                  <c:v>41.37</c:v>
                </c:pt>
                <c:pt idx="25">
                  <c:v>41.04</c:v>
                </c:pt>
                <c:pt idx="26">
                  <c:v>40.57</c:v>
                </c:pt>
                <c:pt idx="27">
                  <c:v>38.950000000000003</c:v>
                </c:pt>
                <c:pt idx="28">
                  <c:v>37.75</c:v>
                </c:pt>
                <c:pt idx="29">
                  <c:v>41.06</c:v>
                </c:pt>
                <c:pt idx="30">
                  <c:v>45.17</c:v>
                </c:pt>
                <c:pt idx="31">
                  <c:v>45.09</c:v>
                </c:pt>
                <c:pt idx="32">
                  <c:v>44.86</c:v>
                </c:pt>
                <c:pt idx="33">
                  <c:v>43.4</c:v>
                </c:pt>
                <c:pt idx="34">
                  <c:v>42.62</c:v>
                </c:pt>
                <c:pt idx="35">
                  <c:v>41.83</c:v>
                </c:pt>
                <c:pt idx="36">
                  <c:v>42.89</c:v>
                </c:pt>
                <c:pt idx="37">
                  <c:v>42.09</c:v>
                </c:pt>
                <c:pt idx="38">
                  <c:v>44.06</c:v>
                </c:pt>
                <c:pt idx="39">
                  <c:v>46.08</c:v>
                </c:pt>
                <c:pt idx="40">
                  <c:v>46.7</c:v>
                </c:pt>
                <c:pt idx="41">
                  <c:v>45.69</c:v>
                </c:pt>
                <c:pt idx="42">
                  <c:v>45.81</c:v>
                </c:pt>
                <c:pt idx="43">
                  <c:v>44.53</c:v>
                </c:pt>
                <c:pt idx="44">
                  <c:v>44.3</c:v>
                </c:pt>
                <c:pt idx="45">
                  <c:v>45.17</c:v>
                </c:pt>
                <c:pt idx="46">
                  <c:v>45.25</c:v>
                </c:pt>
                <c:pt idx="47">
                  <c:v>45.09</c:v>
                </c:pt>
                <c:pt idx="48">
                  <c:v>45.18</c:v>
                </c:pt>
                <c:pt idx="49">
                  <c:v>44.5</c:v>
                </c:pt>
                <c:pt idx="50">
                  <c:v>45.13</c:v>
                </c:pt>
                <c:pt idx="51">
                  <c:v>44.99</c:v>
                </c:pt>
                <c:pt idx="52">
                  <c:v>44.2</c:v>
                </c:pt>
                <c:pt idx="53">
                  <c:v>44.49</c:v>
                </c:pt>
                <c:pt idx="54">
                  <c:v>44.01</c:v>
                </c:pt>
                <c:pt idx="55">
                  <c:v>45.27</c:v>
                </c:pt>
                <c:pt idx="56">
                  <c:v>45.05</c:v>
                </c:pt>
                <c:pt idx="57">
                  <c:v>44.59</c:v>
                </c:pt>
                <c:pt idx="58">
                  <c:v>43.84</c:v>
                </c:pt>
                <c:pt idx="59">
                  <c:v>43.78</c:v>
                </c:pt>
                <c:pt idx="60">
                  <c:v>45.8</c:v>
                </c:pt>
                <c:pt idx="61">
                  <c:v>47</c:v>
                </c:pt>
                <c:pt idx="62">
                  <c:v>45.71</c:v>
                </c:pt>
                <c:pt idx="63">
                  <c:v>45.7</c:v>
                </c:pt>
                <c:pt idx="64">
                  <c:v>44.99</c:v>
                </c:pt>
                <c:pt idx="65">
                  <c:v>45.55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780232"/>
        <c:axId val="478774352"/>
      </c:lineChart>
      <c:dateAx>
        <c:axId val="478780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74352"/>
        <c:crosses val="autoZero"/>
        <c:auto val="1"/>
        <c:lblOffset val="100"/>
        <c:baseTimeUnit val="days"/>
      </c:dateAx>
      <c:valAx>
        <c:axId val="4787743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8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29-Jun-16</c:v>
                </c:pt>
                <c:pt idx="28">
                  <c:v>28-Jun-16</c:v>
                </c:pt>
                <c:pt idx="29">
                  <c:v>27-Jun-16</c:v>
                </c:pt>
                <c:pt idx="30">
                  <c:v>24-Jun-16</c:v>
                </c:pt>
                <c:pt idx="31">
                  <c:v>23-Jun-16</c:v>
                </c:pt>
                <c:pt idx="32">
                  <c:v>22-Jun-16</c:v>
                </c:pt>
                <c:pt idx="33">
                  <c:v>21-Jun-16</c:v>
                </c:pt>
                <c:pt idx="34">
                  <c:v>20-Jun-16</c:v>
                </c:pt>
                <c:pt idx="35">
                  <c:v>17-Jun-16</c:v>
                </c:pt>
                <c:pt idx="36">
                  <c:v>16-Jun-16</c:v>
                </c:pt>
                <c:pt idx="37">
                  <c:v>15-Jun-16</c:v>
                </c:pt>
                <c:pt idx="38">
                  <c:v>14-Jun-16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84.36</c:v>
                </c:pt>
                <c:pt idx="1">
                  <c:v>83.58</c:v>
                </c:pt>
                <c:pt idx="2">
                  <c:v>84.64</c:v>
                </c:pt>
                <c:pt idx="3">
                  <c:v>84.92</c:v>
                </c:pt>
                <c:pt idx="4">
                  <c:v>82.41</c:v>
                </c:pt>
                <c:pt idx="5">
                  <c:v>83.6</c:v>
                </c:pt>
                <c:pt idx="6">
                  <c:v>82.56</c:v>
                </c:pt>
                <c:pt idx="7">
                  <c:v>83.34</c:v>
                </c:pt>
                <c:pt idx="8">
                  <c:v>83.64</c:v>
                </c:pt>
                <c:pt idx="9">
                  <c:v>82.86</c:v>
                </c:pt>
                <c:pt idx="10">
                  <c:v>82.99</c:v>
                </c:pt>
                <c:pt idx="11">
                  <c:v>82.61</c:v>
                </c:pt>
                <c:pt idx="12">
                  <c:v>83.29</c:v>
                </c:pt>
                <c:pt idx="13">
                  <c:v>82.82</c:v>
                </c:pt>
                <c:pt idx="14">
                  <c:v>83.21</c:v>
                </c:pt>
                <c:pt idx="15">
                  <c:v>82.36</c:v>
                </c:pt>
                <c:pt idx="16">
                  <c:v>82.97</c:v>
                </c:pt>
                <c:pt idx="17">
                  <c:v>82.28</c:v>
                </c:pt>
                <c:pt idx="18">
                  <c:v>81.77</c:v>
                </c:pt>
                <c:pt idx="19">
                  <c:v>81.06</c:v>
                </c:pt>
                <c:pt idx="20">
                  <c:v>80.38</c:v>
                </c:pt>
                <c:pt idx="21">
                  <c:v>79.44</c:v>
                </c:pt>
                <c:pt idx="22">
                  <c:v>79.989999999999995</c:v>
                </c:pt>
                <c:pt idx="23">
                  <c:v>78.23</c:v>
                </c:pt>
                <c:pt idx="24">
                  <c:v>78.290000000000006</c:v>
                </c:pt>
                <c:pt idx="25">
                  <c:v>78.010000000000005</c:v>
                </c:pt>
                <c:pt idx="26">
                  <c:v>77.290000000000006</c:v>
                </c:pt>
                <c:pt idx="28">
                  <c:v>75.430000000000007</c:v>
                </c:pt>
                <c:pt idx="29">
                  <c:v>73.69</c:v>
                </c:pt>
                <c:pt idx="30">
                  <c:v>75.23</c:v>
                </c:pt>
                <c:pt idx="31">
                  <c:v>78.12</c:v>
                </c:pt>
                <c:pt idx="32">
                  <c:v>77.040000000000006</c:v>
                </c:pt>
                <c:pt idx="33">
                  <c:v>76.89</c:v>
                </c:pt>
                <c:pt idx="34">
                  <c:v>76.48</c:v>
                </c:pt>
                <c:pt idx="35">
                  <c:v>75.510000000000005</c:v>
                </c:pt>
                <c:pt idx="36">
                  <c:v>76.540000000000006</c:v>
                </c:pt>
                <c:pt idx="37">
                  <c:v>76.680000000000007</c:v>
                </c:pt>
                <c:pt idx="38">
                  <c:v>77.930000000000007</c:v>
                </c:pt>
                <c:pt idx="39">
                  <c:v>78.2</c:v>
                </c:pt>
                <c:pt idx="40">
                  <c:v>78.53</c:v>
                </c:pt>
                <c:pt idx="41">
                  <c:v>79.290000000000006</c:v>
                </c:pt>
                <c:pt idx="42">
                  <c:v>79.66</c:v>
                </c:pt>
                <c:pt idx="43">
                  <c:v>80</c:v>
                </c:pt>
                <c:pt idx="44">
                  <c:v>80.42</c:v>
                </c:pt>
                <c:pt idx="45">
                  <c:v>79.790000000000006</c:v>
                </c:pt>
                <c:pt idx="46">
                  <c:v>79.89</c:v>
                </c:pt>
                <c:pt idx="47">
                  <c:v>78.72</c:v>
                </c:pt>
                <c:pt idx="48">
                  <c:v>78.95</c:v>
                </c:pt>
                <c:pt idx="49">
                  <c:v>78.150000000000006</c:v>
                </c:pt>
                <c:pt idx="50">
                  <c:v>77.290000000000006</c:v>
                </c:pt>
                <c:pt idx="51">
                  <c:v>76.73</c:v>
                </c:pt>
                <c:pt idx="52">
                  <c:v>77.459999999999994</c:v>
                </c:pt>
                <c:pt idx="53">
                  <c:v>76.739999999999995</c:v>
                </c:pt>
                <c:pt idx="54">
                  <c:v>77.41</c:v>
                </c:pt>
                <c:pt idx="55">
                  <c:v>77.33</c:v>
                </c:pt>
                <c:pt idx="56">
                  <c:v>77.83</c:v>
                </c:pt>
                <c:pt idx="57">
                  <c:v>77.099999999999994</c:v>
                </c:pt>
                <c:pt idx="58">
                  <c:v>77.39</c:v>
                </c:pt>
                <c:pt idx="59">
                  <c:v>76.25</c:v>
                </c:pt>
                <c:pt idx="60">
                  <c:v>77</c:v>
                </c:pt>
                <c:pt idx="61">
                  <c:v>76.959999999999994</c:v>
                </c:pt>
                <c:pt idx="62">
                  <c:v>78.47</c:v>
                </c:pt>
                <c:pt idx="63">
                  <c:v>78.47</c:v>
                </c:pt>
                <c:pt idx="64">
                  <c:v>76.849999999999994</c:v>
                </c:pt>
                <c:pt idx="65">
                  <c:v>78.55</c:v>
                </c:pt>
                <c:pt idx="66">
                  <c:v>77.510000000000005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782192"/>
        <c:axId val="478777880"/>
      </c:lineChart>
      <c:catAx>
        <c:axId val="478782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77880"/>
        <c:crosses val="autoZero"/>
        <c:auto val="1"/>
        <c:lblAlgn val="ctr"/>
        <c:lblOffset val="100"/>
        <c:noMultiLvlLbl val="0"/>
      </c:catAx>
      <c:valAx>
        <c:axId val="47877788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8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37.67</c:v>
                </c:pt>
                <c:pt idx="1">
                  <c:v>36.54</c:v>
                </c:pt>
                <c:pt idx="2">
                  <c:v>36.479999999999997</c:v>
                </c:pt>
                <c:pt idx="3">
                  <c:v>36.39</c:v>
                </c:pt>
                <c:pt idx="4">
                  <c:v>39.479999999999997</c:v>
                </c:pt>
                <c:pt idx="5">
                  <c:v>38.75</c:v>
                </c:pt>
                <c:pt idx="6">
                  <c:v>39.36</c:v>
                </c:pt>
                <c:pt idx="7">
                  <c:v>38.54</c:v>
                </c:pt>
                <c:pt idx="8">
                  <c:v>39.03</c:v>
                </c:pt>
                <c:pt idx="9">
                  <c:v>38.96</c:v>
                </c:pt>
                <c:pt idx="10">
                  <c:v>38.96</c:v>
                </c:pt>
                <c:pt idx="11">
                  <c:v>38.520000000000003</c:v>
                </c:pt>
                <c:pt idx="12">
                  <c:v>40.21</c:v>
                </c:pt>
                <c:pt idx="13">
                  <c:v>40.53</c:v>
                </c:pt>
                <c:pt idx="14">
                  <c:v>40.1</c:v>
                </c:pt>
                <c:pt idx="15">
                  <c:v>39.979999999999997</c:v>
                </c:pt>
                <c:pt idx="16">
                  <c:v>40.98</c:v>
                </c:pt>
                <c:pt idx="17">
                  <c:v>39.56</c:v>
                </c:pt>
                <c:pt idx="18">
                  <c:v>40.21</c:v>
                </c:pt>
                <c:pt idx="19">
                  <c:v>38.119999999999997</c:v>
                </c:pt>
                <c:pt idx="20">
                  <c:v>37.369999999999997</c:v>
                </c:pt>
                <c:pt idx="21">
                  <c:v>36.369999999999997</c:v>
                </c:pt>
                <c:pt idx="22">
                  <c:v>35.58</c:v>
                </c:pt>
                <c:pt idx="23">
                  <c:v>35.619999999999997</c:v>
                </c:pt>
                <c:pt idx="24">
                  <c:v>36.770000000000003</c:v>
                </c:pt>
                <c:pt idx="25">
                  <c:v>36.43</c:v>
                </c:pt>
                <c:pt idx="26">
                  <c:v>36.24</c:v>
                </c:pt>
                <c:pt idx="27">
                  <c:v>34.67</c:v>
                </c:pt>
                <c:pt idx="28">
                  <c:v>33.36</c:v>
                </c:pt>
                <c:pt idx="29">
                  <c:v>35.18</c:v>
                </c:pt>
                <c:pt idx="30">
                  <c:v>38.31</c:v>
                </c:pt>
                <c:pt idx="31">
                  <c:v>38.549999999999997</c:v>
                </c:pt>
                <c:pt idx="32">
                  <c:v>38.67</c:v>
                </c:pt>
                <c:pt idx="33">
                  <c:v>38.090000000000003</c:v>
                </c:pt>
                <c:pt idx="34">
                  <c:v>38.01</c:v>
                </c:pt>
                <c:pt idx="35">
                  <c:v>38.020000000000003</c:v>
                </c:pt>
                <c:pt idx="36">
                  <c:v>38.89</c:v>
                </c:pt>
                <c:pt idx="37">
                  <c:v>39.11</c:v>
                </c:pt>
                <c:pt idx="38">
                  <c:v>40.57</c:v>
                </c:pt>
                <c:pt idx="39">
                  <c:v>42.04</c:v>
                </c:pt>
                <c:pt idx="40">
                  <c:v>42.4</c:v>
                </c:pt>
                <c:pt idx="41">
                  <c:v>41.85</c:v>
                </c:pt>
                <c:pt idx="42">
                  <c:v>42.1</c:v>
                </c:pt>
                <c:pt idx="43">
                  <c:v>41.28</c:v>
                </c:pt>
                <c:pt idx="44">
                  <c:v>41.57</c:v>
                </c:pt>
                <c:pt idx="45">
                  <c:v>42.45</c:v>
                </c:pt>
                <c:pt idx="46">
                  <c:v>43.51</c:v>
                </c:pt>
                <c:pt idx="47">
                  <c:v>43.46</c:v>
                </c:pt>
                <c:pt idx="48">
                  <c:v>43.12</c:v>
                </c:pt>
                <c:pt idx="49">
                  <c:v>42.76</c:v>
                </c:pt>
                <c:pt idx="50">
                  <c:v>43.5</c:v>
                </c:pt>
                <c:pt idx="51">
                  <c:v>43.63</c:v>
                </c:pt>
                <c:pt idx="52">
                  <c:v>42.95</c:v>
                </c:pt>
                <c:pt idx="53">
                  <c:v>43.1</c:v>
                </c:pt>
                <c:pt idx="54">
                  <c:v>43.1</c:v>
                </c:pt>
                <c:pt idx="55">
                  <c:v>43.86</c:v>
                </c:pt>
                <c:pt idx="56">
                  <c:v>43.67</c:v>
                </c:pt>
                <c:pt idx="57">
                  <c:v>43</c:v>
                </c:pt>
                <c:pt idx="58">
                  <c:v>41.6</c:v>
                </c:pt>
                <c:pt idx="59">
                  <c:v>41.07</c:v>
                </c:pt>
                <c:pt idx="60">
                  <c:v>42.3</c:v>
                </c:pt>
                <c:pt idx="61">
                  <c:v>42.95</c:v>
                </c:pt>
                <c:pt idx="62">
                  <c:v>42.4</c:v>
                </c:pt>
                <c:pt idx="64">
                  <c:v>42.04</c:v>
                </c:pt>
                <c:pt idx="65">
                  <c:v>41.75</c:v>
                </c:pt>
                <c:pt idx="66">
                  <c:v>41.43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781408"/>
        <c:axId val="478782584"/>
      </c:lineChart>
      <c:dateAx>
        <c:axId val="478781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82584"/>
        <c:crosses val="autoZero"/>
        <c:auto val="1"/>
        <c:lblOffset val="100"/>
        <c:baseTimeUnit val="days"/>
      </c:dateAx>
      <c:valAx>
        <c:axId val="47878258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8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95.83</c:v>
                </c:pt>
                <c:pt idx="1">
                  <c:v>95.16</c:v>
                </c:pt>
                <c:pt idx="2">
                  <c:v>96.09</c:v>
                </c:pt>
                <c:pt idx="3">
                  <c:v>95.01</c:v>
                </c:pt>
                <c:pt idx="4">
                  <c:v>95.54</c:v>
                </c:pt>
                <c:pt idx="5">
                  <c:v>95.95</c:v>
                </c:pt>
                <c:pt idx="6">
                  <c:v>95.91</c:v>
                </c:pt>
                <c:pt idx="7">
                  <c:v>96.33</c:v>
                </c:pt>
                <c:pt idx="8">
                  <c:v>96.69</c:v>
                </c:pt>
                <c:pt idx="9">
                  <c:v>97.39</c:v>
                </c:pt>
                <c:pt idx="10">
                  <c:v>97.71</c:v>
                </c:pt>
                <c:pt idx="11">
                  <c:v>98.01</c:v>
                </c:pt>
                <c:pt idx="12">
                  <c:v>98.22</c:v>
                </c:pt>
                <c:pt idx="13">
                  <c:v>99.47</c:v>
                </c:pt>
                <c:pt idx="14">
                  <c:v>100.15</c:v>
                </c:pt>
                <c:pt idx="15">
                  <c:v>99.8</c:v>
                </c:pt>
                <c:pt idx="16">
                  <c:v>99.97</c:v>
                </c:pt>
                <c:pt idx="17">
                  <c:v>99.88</c:v>
                </c:pt>
                <c:pt idx="18">
                  <c:v>100.2</c:v>
                </c:pt>
                <c:pt idx="19">
                  <c:v>99.98</c:v>
                </c:pt>
                <c:pt idx="20">
                  <c:v>99.62</c:v>
                </c:pt>
                <c:pt idx="21">
                  <c:v>98.41</c:v>
                </c:pt>
                <c:pt idx="23">
                  <c:v>98.45</c:v>
                </c:pt>
                <c:pt idx="24">
                  <c:v>97.66</c:v>
                </c:pt>
                <c:pt idx="25">
                  <c:v>98.03</c:v>
                </c:pt>
                <c:pt idx="26">
                  <c:v>97.82</c:v>
                </c:pt>
                <c:pt idx="27">
                  <c:v>96.98</c:v>
                </c:pt>
                <c:pt idx="28">
                  <c:v>96.05</c:v>
                </c:pt>
                <c:pt idx="29">
                  <c:v>94.38</c:v>
                </c:pt>
                <c:pt idx="30">
                  <c:v>95.72</c:v>
                </c:pt>
                <c:pt idx="31">
                  <c:v>99.02</c:v>
                </c:pt>
                <c:pt idx="32">
                  <c:v>98.79</c:v>
                </c:pt>
                <c:pt idx="33">
                  <c:v>98.82</c:v>
                </c:pt>
                <c:pt idx="34">
                  <c:v>99.57</c:v>
                </c:pt>
                <c:pt idx="35">
                  <c:v>99</c:v>
                </c:pt>
                <c:pt idx="36">
                  <c:v>98.38</c:v>
                </c:pt>
                <c:pt idx="37">
                  <c:v>98.27</c:v>
                </c:pt>
                <c:pt idx="38">
                  <c:v>98.4</c:v>
                </c:pt>
                <c:pt idx="39">
                  <c:v>97.57</c:v>
                </c:pt>
                <c:pt idx="40">
                  <c:v>97.34</c:v>
                </c:pt>
                <c:pt idx="41">
                  <c:v>97.84</c:v>
                </c:pt>
                <c:pt idx="42">
                  <c:v>98.04</c:v>
                </c:pt>
                <c:pt idx="43">
                  <c:v>98.35</c:v>
                </c:pt>
                <c:pt idx="44">
                  <c:v>98.78</c:v>
                </c:pt>
                <c:pt idx="45">
                  <c:v>98.75</c:v>
                </c:pt>
                <c:pt idx="46">
                  <c:v>98.72</c:v>
                </c:pt>
                <c:pt idx="47">
                  <c:v>98.52</c:v>
                </c:pt>
                <c:pt idx="48">
                  <c:v>99.22</c:v>
                </c:pt>
                <c:pt idx="49">
                  <c:v>100.29</c:v>
                </c:pt>
                <c:pt idx="50">
                  <c:v>99.81</c:v>
                </c:pt>
                <c:pt idx="51">
                  <c:v>99.86</c:v>
                </c:pt>
                <c:pt idx="52">
                  <c:v>99.51</c:v>
                </c:pt>
                <c:pt idx="53">
                  <c:v>99.18</c:v>
                </c:pt>
                <c:pt idx="54">
                  <c:v>99.78</c:v>
                </c:pt>
                <c:pt idx="55">
                  <c:v>98.41</c:v>
                </c:pt>
                <c:pt idx="56">
                  <c:v>99</c:v>
                </c:pt>
                <c:pt idx="57">
                  <c:v>99.94</c:v>
                </c:pt>
                <c:pt idx="58">
                  <c:v>100.36</c:v>
                </c:pt>
                <c:pt idx="59">
                  <c:v>100.52</c:v>
                </c:pt>
                <c:pt idx="60">
                  <c:v>101.71</c:v>
                </c:pt>
                <c:pt idx="61">
                  <c:v>102.29</c:v>
                </c:pt>
                <c:pt idx="62">
                  <c:v>106.6</c:v>
                </c:pt>
                <c:pt idx="63">
                  <c:v>105.34</c:v>
                </c:pt>
                <c:pt idx="64">
                  <c:v>105.54</c:v>
                </c:pt>
                <c:pt idx="65">
                  <c:v>104.93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787288"/>
        <c:axId val="478784544"/>
      </c:lineChart>
      <c:dateAx>
        <c:axId val="478787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84544"/>
        <c:crosses val="autoZero"/>
        <c:auto val="1"/>
        <c:lblOffset val="100"/>
        <c:baseTimeUnit val="days"/>
      </c:dateAx>
      <c:valAx>
        <c:axId val="47878454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87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4.8600000000000003</c:v>
                </c:pt>
                <c:pt idx="1">
                  <c:v>4.93</c:v>
                </c:pt>
                <c:pt idx="2">
                  <c:v>4.82</c:v>
                </c:pt>
                <c:pt idx="3">
                  <c:v>4.8499999999999996</c:v>
                </c:pt>
                <c:pt idx="4">
                  <c:v>5.08</c:v>
                </c:pt>
                <c:pt idx="5">
                  <c:v>5.2</c:v>
                </c:pt>
                <c:pt idx="6">
                  <c:v>5.09</c:v>
                </c:pt>
                <c:pt idx="7">
                  <c:v>5.09</c:v>
                </c:pt>
                <c:pt idx="8">
                  <c:v>5.15</c:v>
                </c:pt>
                <c:pt idx="9">
                  <c:v>5.13</c:v>
                </c:pt>
                <c:pt idx="10">
                  <c:v>5.17</c:v>
                </c:pt>
                <c:pt idx="11">
                  <c:v>5.0999999999999996</c:v>
                </c:pt>
                <c:pt idx="12">
                  <c:v>5.04</c:v>
                </c:pt>
                <c:pt idx="13">
                  <c:v>5.0199999999999996</c:v>
                </c:pt>
                <c:pt idx="14">
                  <c:v>5.2</c:v>
                </c:pt>
                <c:pt idx="15">
                  <c:v>5.17</c:v>
                </c:pt>
                <c:pt idx="16">
                  <c:v>5.1100000000000003</c:v>
                </c:pt>
                <c:pt idx="17">
                  <c:v>5.0599999999999996</c:v>
                </c:pt>
                <c:pt idx="18">
                  <c:v>5.04</c:v>
                </c:pt>
                <c:pt idx="19">
                  <c:v>4.92</c:v>
                </c:pt>
                <c:pt idx="20">
                  <c:v>4.97</c:v>
                </c:pt>
                <c:pt idx="21">
                  <c:v>4.91</c:v>
                </c:pt>
                <c:pt idx="22">
                  <c:v>4.88</c:v>
                </c:pt>
                <c:pt idx="23">
                  <c:v>4.9800000000000004</c:v>
                </c:pt>
                <c:pt idx="24">
                  <c:v>4.96</c:v>
                </c:pt>
                <c:pt idx="25">
                  <c:v>4.9400000000000004</c:v>
                </c:pt>
                <c:pt idx="26">
                  <c:v>4.8499999999999996</c:v>
                </c:pt>
                <c:pt idx="27">
                  <c:v>4.74</c:v>
                </c:pt>
                <c:pt idx="28">
                  <c:v>4.5999999999999996</c:v>
                </c:pt>
                <c:pt idx="29">
                  <c:v>4.87</c:v>
                </c:pt>
                <c:pt idx="30">
                  <c:v>5.0999999999999996</c:v>
                </c:pt>
                <c:pt idx="31">
                  <c:v>5.09</c:v>
                </c:pt>
                <c:pt idx="32">
                  <c:v>5.21</c:v>
                </c:pt>
                <c:pt idx="33">
                  <c:v>5.17</c:v>
                </c:pt>
                <c:pt idx="34">
                  <c:v>5.1100000000000003</c:v>
                </c:pt>
                <c:pt idx="35">
                  <c:v>5.04</c:v>
                </c:pt>
                <c:pt idx="36">
                  <c:v>4.8600000000000003</c:v>
                </c:pt>
                <c:pt idx="37">
                  <c:v>4.83</c:v>
                </c:pt>
                <c:pt idx="38">
                  <c:v>4.87</c:v>
                </c:pt>
                <c:pt idx="40">
                  <c:v>5.1100000000000003</c:v>
                </c:pt>
                <c:pt idx="41">
                  <c:v>5.12</c:v>
                </c:pt>
                <c:pt idx="42">
                  <c:v>5.2</c:v>
                </c:pt>
                <c:pt idx="43">
                  <c:v>5.21</c:v>
                </c:pt>
                <c:pt idx="44">
                  <c:v>5.19</c:v>
                </c:pt>
                <c:pt idx="45">
                  <c:v>5.23</c:v>
                </c:pt>
                <c:pt idx="46">
                  <c:v>5.16</c:v>
                </c:pt>
                <c:pt idx="47">
                  <c:v>5.07</c:v>
                </c:pt>
                <c:pt idx="48">
                  <c:v>5.17</c:v>
                </c:pt>
                <c:pt idx="49">
                  <c:v>5.15</c:v>
                </c:pt>
                <c:pt idx="50">
                  <c:v>5.16</c:v>
                </c:pt>
                <c:pt idx="51">
                  <c:v>5.22</c:v>
                </c:pt>
                <c:pt idx="52">
                  <c:v>5.09</c:v>
                </c:pt>
                <c:pt idx="53">
                  <c:v>4.8899999999999997</c:v>
                </c:pt>
                <c:pt idx="54">
                  <c:v>5.01</c:v>
                </c:pt>
                <c:pt idx="55">
                  <c:v>4.96</c:v>
                </c:pt>
                <c:pt idx="56">
                  <c:v>5.0199999999999996</c:v>
                </c:pt>
                <c:pt idx="57">
                  <c:v>5.14</c:v>
                </c:pt>
                <c:pt idx="58">
                  <c:v>5.24</c:v>
                </c:pt>
                <c:pt idx="59">
                  <c:v>5.26</c:v>
                </c:pt>
                <c:pt idx="60">
                  <c:v>5.33</c:v>
                </c:pt>
                <c:pt idx="61">
                  <c:v>5.4</c:v>
                </c:pt>
                <c:pt idx="62">
                  <c:v>5.43</c:v>
                </c:pt>
                <c:pt idx="63">
                  <c:v>5.25</c:v>
                </c:pt>
                <c:pt idx="64">
                  <c:v>5.27</c:v>
                </c:pt>
                <c:pt idx="65">
                  <c:v>5.18</c:v>
                </c:pt>
                <c:pt idx="66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376328"/>
        <c:axId val="480373976"/>
      </c:lineChart>
      <c:dateAx>
        <c:axId val="4803763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73976"/>
        <c:crosses val="autoZero"/>
        <c:auto val="1"/>
        <c:lblOffset val="100"/>
        <c:baseTimeUnit val="days"/>
      </c:dateAx>
      <c:valAx>
        <c:axId val="4803739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76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14-Jun-16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80.41</c:v>
                </c:pt>
                <c:pt idx="1">
                  <c:v>79.77</c:v>
                </c:pt>
                <c:pt idx="2">
                  <c:v>80.09</c:v>
                </c:pt>
                <c:pt idx="3">
                  <c:v>79.569999999999993</c:v>
                </c:pt>
                <c:pt idx="4">
                  <c:v>80.459999999999994</c:v>
                </c:pt>
                <c:pt idx="5">
                  <c:v>79.47</c:v>
                </c:pt>
                <c:pt idx="6">
                  <c:v>81.239999999999995</c:v>
                </c:pt>
                <c:pt idx="7">
                  <c:v>81.790000000000006</c:v>
                </c:pt>
                <c:pt idx="8">
                  <c:v>81.05</c:v>
                </c:pt>
                <c:pt idx="9">
                  <c:v>88.55</c:v>
                </c:pt>
                <c:pt idx="10">
                  <c:v>86.55</c:v>
                </c:pt>
                <c:pt idx="11">
                  <c:v>87.24</c:v>
                </c:pt>
                <c:pt idx="12">
                  <c:v>86.66</c:v>
                </c:pt>
                <c:pt idx="13">
                  <c:v>85.44</c:v>
                </c:pt>
                <c:pt idx="14">
                  <c:v>86.93</c:v>
                </c:pt>
                <c:pt idx="15">
                  <c:v>86.67</c:v>
                </c:pt>
                <c:pt idx="16">
                  <c:v>85.54</c:v>
                </c:pt>
                <c:pt idx="17">
                  <c:v>85.75</c:v>
                </c:pt>
                <c:pt idx="18">
                  <c:v>86.63</c:v>
                </c:pt>
                <c:pt idx="19">
                  <c:v>86.25</c:v>
                </c:pt>
                <c:pt idx="20">
                  <c:v>86.55</c:v>
                </c:pt>
                <c:pt idx="21">
                  <c:v>85.47</c:v>
                </c:pt>
                <c:pt idx="22">
                  <c:v>85.73</c:v>
                </c:pt>
                <c:pt idx="23">
                  <c:v>83.89</c:v>
                </c:pt>
                <c:pt idx="24">
                  <c:v>84.86</c:v>
                </c:pt>
                <c:pt idx="25">
                  <c:v>83.42</c:v>
                </c:pt>
                <c:pt idx="26">
                  <c:v>82.27</c:v>
                </c:pt>
                <c:pt idx="27">
                  <c:v>82.31</c:v>
                </c:pt>
                <c:pt idx="28">
                  <c:v>78.25</c:v>
                </c:pt>
                <c:pt idx="29">
                  <c:v>80.47</c:v>
                </c:pt>
                <c:pt idx="30">
                  <c:v>83.37</c:v>
                </c:pt>
                <c:pt idx="31">
                  <c:v>82.45</c:v>
                </c:pt>
                <c:pt idx="32">
                  <c:v>81.790000000000006</c:v>
                </c:pt>
                <c:pt idx="33">
                  <c:v>82.99</c:v>
                </c:pt>
                <c:pt idx="34">
                  <c:v>82.65</c:v>
                </c:pt>
                <c:pt idx="35">
                  <c:v>83.51</c:v>
                </c:pt>
                <c:pt idx="36">
                  <c:v>83.04</c:v>
                </c:pt>
                <c:pt idx="37">
                  <c:v>83.57</c:v>
                </c:pt>
                <c:pt idx="39">
                  <c:v>83.98</c:v>
                </c:pt>
                <c:pt idx="40">
                  <c:v>84.45</c:v>
                </c:pt>
                <c:pt idx="41">
                  <c:v>85.77</c:v>
                </c:pt>
                <c:pt idx="42">
                  <c:v>87.42</c:v>
                </c:pt>
                <c:pt idx="43">
                  <c:v>87.5</c:v>
                </c:pt>
                <c:pt idx="44">
                  <c:v>87.6</c:v>
                </c:pt>
                <c:pt idx="45">
                  <c:v>86.15</c:v>
                </c:pt>
                <c:pt idx="46">
                  <c:v>86.72</c:v>
                </c:pt>
                <c:pt idx="47">
                  <c:v>86.58</c:v>
                </c:pt>
                <c:pt idx="48">
                  <c:v>87.06</c:v>
                </c:pt>
                <c:pt idx="49">
                  <c:v>85.82</c:v>
                </c:pt>
                <c:pt idx="50">
                  <c:v>85.29</c:v>
                </c:pt>
                <c:pt idx="51">
                  <c:v>86.51</c:v>
                </c:pt>
                <c:pt idx="52">
                  <c:v>86.22</c:v>
                </c:pt>
                <c:pt idx="53">
                  <c:v>83.33</c:v>
                </c:pt>
                <c:pt idx="54">
                  <c:v>82.64</c:v>
                </c:pt>
                <c:pt idx="55">
                  <c:v>82.14</c:v>
                </c:pt>
                <c:pt idx="56">
                  <c:v>82.88</c:v>
                </c:pt>
                <c:pt idx="57">
                  <c:v>82.76</c:v>
                </c:pt>
                <c:pt idx="58">
                  <c:v>83.61</c:v>
                </c:pt>
                <c:pt idx="59">
                  <c:v>82.7</c:v>
                </c:pt>
                <c:pt idx="60">
                  <c:v>82.76</c:v>
                </c:pt>
                <c:pt idx="61">
                  <c:v>83.9</c:v>
                </c:pt>
                <c:pt idx="62">
                  <c:v>86.18</c:v>
                </c:pt>
                <c:pt idx="63">
                  <c:v>85.67</c:v>
                </c:pt>
                <c:pt idx="64">
                  <c:v>84.68</c:v>
                </c:pt>
                <c:pt idx="65">
                  <c:v>85.86</c:v>
                </c:pt>
                <c:pt idx="66">
                  <c:v>85.6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374368"/>
        <c:axId val="480379072"/>
      </c:lineChart>
      <c:catAx>
        <c:axId val="480374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79072"/>
        <c:crosses val="autoZero"/>
        <c:auto val="1"/>
        <c:lblAlgn val="ctr"/>
        <c:lblOffset val="100"/>
        <c:noMultiLvlLbl val="0"/>
      </c:catAx>
      <c:valAx>
        <c:axId val="48037907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58.44</c:v>
                </c:pt>
                <c:pt idx="1">
                  <c:v>58.13</c:v>
                </c:pt>
                <c:pt idx="2">
                  <c:v>57.35</c:v>
                </c:pt>
                <c:pt idx="3">
                  <c:v>58.48</c:v>
                </c:pt>
                <c:pt idx="4">
                  <c:v>58.54</c:v>
                </c:pt>
                <c:pt idx="5">
                  <c:v>58.36</c:v>
                </c:pt>
                <c:pt idx="6">
                  <c:v>58.52</c:v>
                </c:pt>
                <c:pt idx="7">
                  <c:v>58.32</c:v>
                </c:pt>
                <c:pt idx="8">
                  <c:v>57.69</c:v>
                </c:pt>
                <c:pt idx="9">
                  <c:v>57.86</c:v>
                </c:pt>
                <c:pt idx="10">
                  <c:v>57.65</c:v>
                </c:pt>
                <c:pt idx="11">
                  <c:v>59.42</c:v>
                </c:pt>
                <c:pt idx="12">
                  <c:v>59.3</c:v>
                </c:pt>
                <c:pt idx="13">
                  <c:v>59.37</c:v>
                </c:pt>
                <c:pt idx="14">
                  <c:v>59.81</c:v>
                </c:pt>
                <c:pt idx="15">
                  <c:v>59.68</c:v>
                </c:pt>
                <c:pt idx="16">
                  <c:v>59.87</c:v>
                </c:pt>
                <c:pt idx="17">
                  <c:v>59.87</c:v>
                </c:pt>
                <c:pt idx="18">
                  <c:v>59.33</c:v>
                </c:pt>
                <c:pt idx="19">
                  <c:v>58.76</c:v>
                </c:pt>
                <c:pt idx="20">
                  <c:v>57.18</c:v>
                </c:pt>
                <c:pt idx="21">
                  <c:v>56.8</c:v>
                </c:pt>
                <c:pt idx="22">
                  <c:v>56.53</c:v>
                </c:pt>
                <c:pt idx="23">
                  <c:v>57.91</c:v>
                </c:pt>
                <c:pt idx="24">
                  <c:v>57.64</c:v>
                </c:pt>
                <c:pt idx="25">
                  <c:v>56.06</c:v>
                </c:pt>
                <c:pt idx="26">
                  <c:v>54.51</c:v>
                </c:pt>
                <c:pt idx="27">
                  <c:v>53.52</c:v>
                </c:pt>
                <c:pt idx="28">
                  <c:v>55.67</c:v>
                </c:pt>
                <c:pt idx="29">
                  <c:v>59.2</c:v>
                </c:pt>
                <c:pt idx="30">
                  <c:v>58.2</c:v>
                </c:pt>
                <c:pt idx="31">
                  <c:v>58.45</c:v>
                </c:pt>
                <c:pt idx="32">
                  <c:v>58.49</c:v>
                </c:pt>
                <c:pt idx="33">
                  <c:v>57.87</c:v>
                </c:pt>
                <c:pt idx="34">
                  <c:v>57.8</c:v>
                </c:pt>
                <c:pt idx="35">
                  <c:v>57.31</c:v>
                </c:pt>
                <c:pt idx="36">
                  <c:v>56.84</c:v>
                </c:pt>
                <c:pt idx="37">
                  <c:v>56.77</c:v>
                </c:pt>
                <c:pt idx="38">
                  <c:v>57.96</c:v>
                </c:pt>
                <c:pt idx="39">
                  <c:v>59.13</c:v>
                </c:pt>
                <c:pt idx="40">
                  <c:v>59.39</c:v>
                </c:pt>
                <c:pt idx="41">
                  <c:v>58.84</c:v>
                </c:pt>
                <c:pt idx="42">
                  <c:v>58.64</c:v>
                </c:pt>
                <c:pt idx="43">
                  <c:v>57.72</c:v>
                </c:pt>
                <c:pt idx="44">
                  <c:v>57.86</c:v>
                </c:pt>
                <c:pt idx="45">
                  <c:v>57.48</c:v>
                </c:pt>
                <c:pt idx="46">
                  <c:v>56.94</c:v>
                </c:pt>
                <c:pt idx="47">
                  <c:v>56.87</c:v>
                </c:pt>
                <c:pt idx="48">
                  <c:v>57.14</c:v>
                </c:pt>
                <c:pt idx="49">
                  <c:v>57.21</c:v>
                </c:pt>
                <c:pt idx="50">
                  <c:v>56.71</c:v>
                </c:pt>
                <c:pt idx="51">
                  <c:v>55.15</c:v>
                </c:pt>
                <c:pt idx="52">
                  <c:v>55.23</c:v>
                </c:pt>
                <c:pt idx="53">
                  <c:v>54.54</c:v>
                </c:pt>
                <c:pt idx="55">
                  <c:v>55.05</c:v>
                </c:pt>
                <c:pt idx="56">
                  <c:v>55.01</c:v>
                </c:pt>
                <c:pt idx="57">
                  <c:v>55.05</c:v>
                </c:pt>
                <c:pt idx="58">
                  <c:v>54.47</c:v>
                </c:pt>
                <c:pt idx="59">
                  <c:v>55.4</c:v>
                </c:pt>
                <c:pt idx="60">
                  <c:v>55.14</c:v>
                </c:pt>
                <c:pt idx="61">
                  <c:v>55.24</c:v>
                </c:pt>
                <c:pt idx="62">
                  <c:v>54.01</c:v>
                </c:pt>
                <c:pt idx="63">
                  <c:v>54.34</c:v>
                </c:pt>
                <c:pt idx="64">
                  <c:v>53.24</c:v>
                </c:pt>
                <c:pt idx="65">
                  <c:v>53.24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377504"/>
        <c:axId val="480375152"/>
      </c:lineChart>
      <c:dateAx>
        <c:axId val="480377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75152"/>
        <c:crosses val="autoZero"/>
        <c:auto val="1"/>
        <c:lblOffset val="100"/>
        <c:baseTimeUnit val="days"/>
      </c:dateAx>
      <c:valAx>
        <c:axId val="48037515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7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7-Jul-16</c:v>
                </c:pt>
                <c:pt idx="23">
                  <c:v>6-Jul-16</c:v>
                </c:pt>
                <c:pt idx="24">
                  <c:v>5-Jul-16</c:v>
                </c:pt>
                <c:pt idx="25">
                  <c:v>1-Jul-16</c:v>
                </c:pt>
                <c:pt idx="26">
                  <c:v>30-Jun-16</c:v>
                </c:pt>
                <c:pt idx="27">
                  <c:v>29-Jun-16</c:v>
                </c:pt>
                <c:pt idx="28">
                  <c:v>28-Jun-16</c:v>
                </c:pt>
                <c:pt idx="29">
                  <c:v>27-Jun-16</c:v>
                </c:pt>
                <c:pt idx="30">
                  <c:v>24-Jun-16</c:v>
                </c:pt>
                <c:pt idx="31">
                  <c:v>23-Jun-16</c:v>
                </c:pt>
                <c:pt idx="32">
                  <c:v>22-Jun-16</c:v>
                </c:pt>
                <c:pt idx="33">
                  <c:v>21-Jun-16</c:v>
                </c:pt>
                <c:pt idx="34">
                  <c:v>20-Jun-16</c:v>
                </c:pt>
                <c:pt idx="35">
                  <c:v>17-Jun-16</c:v>
                </c:pt>
                <c:pt idx="36">
                  <c:v>16-Jun-16</c:v>
                </c:pt>
                <c:pt idx="37">
                  <c:v>15-Jun-16</c:v>
                </c:pt>
                <c:pt idx="38">
                  <c:v>14-Jun-16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70.55</c:v>
                </c:pt>
                <c:pt idx="1">
                  <c:v>70.489999999999995</c:v>
                </c:pt>
                <c:pt idx="2">
                  <c:v>69.78</c:v>
                </c:pt>
                <c:pt idx="3">
                  <c:v>70.97</c:v>
                </c:pt>
                <c:pt idx="4">
                  <c:v>71.63</c:v>
                </c:pt>
                <c:pt idx="5">
                  <c:v>71.89</c:v>
                </c:pt>
                <c:pt idx="6">
                  <c:v>71.34</c:v>
                </c:pt>
                <c:pt idx="7">
                  <c:v>70.55</c:v>
                </c:pt>
                <c:pt idx="8">
                  <c:v>71.28</c:v>
                </c:pt>
                <c:pt idx="9">
                  <c:v>71.69</c:v>
                </c:pt>
                <c:pt idx="10">
                  <c:v>71.22</c:v>
                </c:pt>
                <c:pt idx="11">
                  <c:v>71.209999999999994</c:v>
                </c:pt>
                <c:pt idx="12">
                  <c:v>71.7</c:v>
                </c:pt>
                <c:pt idx="13">
                  <c:v>72.64</c:v>
                </c:pt>
                <c:pt idx="14">
                  <c:v>72.28</c:v>
                </c:pt>
                <c:pt idx="15">
                  <c:v>72.02</c:v>
                </c:pt>
                <c:pt idx="16">
                  <c:v>72.09</c:v>
                </c:pt>
                <c:pt idx="17">
                  <c:v>71.94</c:v>
                </c:pt>
                <c:pt idx="18">
                  <c:v>71.42</c:v>
                </c:pt>
                <c:pt idx="19">
                  <c:v>71.81</c:v>
                </c:pt>
                <c:pt idx="20">
                  <c:v>72.459999999999994</c:v>
                </c:pt>
                <c:pt idx="21">
                  <c:v>72.02</c:v>
                </c:pt>
                <c:pt idx="23">
                  <c:v>72.56</c:v>
                </c:pt>
                <c:pt idx="24">
                  <c:v>72.11</c:v>
                </c:pt>
                <c:pt idx="25">
                  <c:v>71.94</c:v>
                </c:pt>
                <c:pt idx="26">
                  <c:v>71.319999999999993</c:v>
                </c:pt>
                <c:pt idx="27">
                  <c:v>67.86</c:v>
                </c:pt>
                <c:pt idx="28">
                  <c:v>65.760000000000005</c:v>
                </c:pt>
                <c:pt idx="29">
                  <c:v>66.19</c:v>
                </c:pt>
                <c:pt idx="30">
                  <c:v>66.14</c:v>
                </c:pt>
                <c:pt idx="31">
                  <c:v>66.77</c:v>
                </c:pt>
                <c:pt idx="32">
                  <c:v>66.400000000000006</c:v>
                </c:pt>
                <c:pt idx="33">
                  <c:v>66.52</c:v>
                </c:pt>
                <c:pt idx="34">
                  <c:v>65.88</c:v>
                </c:pt>
                <c:pt idx="35">
                  <c:v>65.81</c:v>
                </c:pt>
                <c:pt idx="36">
                  <c:v>65.78</c:v>
                </c:pt>
                <c:pt idx="37">
                  <c:v>64.89</c:v>
                </c:pt>
                <c:pt idx="38">
                  <c:v>65.040000000000006</c:v>
                </c:pt>
                <c:pt idx="39">
                  <c:v>64.849999999999994</c:v>
                </c:pt>
                <c:pt idx="40">
                  <c:v>65.41</c:v>
                </c:pt>
                <c:pt idx="41">
                  <c:v>65.34</c:v>
                </c:pt>
                <c:pt idx="42">
                  <c:v>64.42</c:v>
                </c:pt>
                <c:pt idx="43">
                  <c:v>64.02</c:v>
                </c:pt>
                <c:pt idx="44">
                  <c:v>63.58</c:v>
                </c:pt>
                <c:pt idx="45">
                  <c:v>63.69</c:v>
                </c:pt>
                <c:pt idx="46">
                  <c:v>63.23</c:v>
                </c:pt>
                <c:pt idx="47">
                  <c:v>63.17</c:v>
                </c:pt>
                <c:pt idx="48">
                  <c:v>62.78</c:v>
                </c:pt>
                <c:pt idx="49">
                  <c:v>62.87</c:v>
                </c:pt>
                <c:pt idx="50">
                  <c:v>62.87</c:v>
                </c:pt>
                <c:pt idx="51">
                  <c:v>62.36</c:v>
                </c:pt>
                <c:pt idx="52">
                  <c:v>62.4</c:v>
                </c:pt>
                <c:pt idx="53">
                  <c:v>62.7</c:v>
                </c:pt>
                <c:pt idx="54">
                  <c:v>62.45</c:v>
                </c:pt>
                <c:pt idx="55">
                  <c:v>62.92</c:v>
                </c:pt>
                <c:pt idx="56">
                  <c:v>62.39</c:v>
                </c:pt>
                <c:pt idx="57">
                  <c:v>62.99</c:v>
                </c:pt>
                <c:pt idx="58">
                  <c:v>64.569999999999993</c:v>
                </c:pt>
                <c:pt idx="59">
                  <c:v>64.52</c:v>
                </c:pt>
                <c:pt idx="60">
                  <c:v>64.72</c:v>
                </c:pt>
                <c:pt idx="61">
                  <c:v>64.010000000000005</c:v>
                </c:pt>
                <c:pt idx="62">
                  <c:v>63.73</c:v>
                </c:pt>
                <c:pt idx="63">
                  <c:v>62.73</c:v>
                </c:pt>
                <c:pt idx="64">
                  <c:v>62.11</c:v>
                </c:pt>
                <c:pt idx="65">
                  <c:v>62.08</c:v>
                </c:pt>
                <c:pt idx="66">
                  <c:v>61.74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355944"/>
        <c:axId val="480360648"/>
      </c:lineChart>
      <c:catAx>
        <c:axId val="480355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60648"/>
        <c:crosses val="autoZero"/>
        <c:auto val="1"/>
        <c:lblAlgn val="ctr"/>
        <c:lblOffset val="100"/>
        <c:noMultiLvlLbl val="0"/>
      </c:catAx>
      <c:valAx>
        <c:axId val="480360648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5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13-Jun-16</c:v>
                </c:pt>
                <c:pt idx="39">
                  <c:v>10-Jun-16</c:v>
                </c:pt>
                <c:pt idx="40">
                  <c:v>9-Jun-16</c:v>
                </c:pt>
                <c:pt idx="41">
                  <c:v>8-Jun-16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30.8</c:v>
                </c:pt>
                <c:pt idx="1">
                  <c:v>30.34</c:v>
                </c:pt>
                <c:pt idx="2">
                  <c:v>30.24</c:v>
                </c:pt>
                <c:pt idx="3">
                  <c:v>29.93</c:v>
                </c:pt>
                <c:pt idx="4">
                  <c:v>31.3</c:v>
                </c:pt>
                <c:pt idx="5">
                  <c:v>31.54</c:v>
                </c:pt>
                <c:pt idx="6">
                  <c:v>30.99</c:v>
                </c:pt>
                <c:pt idx="7">
                  <c:v>32.020000000000003</c:v>
                </c:pt>
                <c:pt idx="8">
                  <c:v>32.15</c:v>
                </c:pt>
                <c:pt idx="9">
                  <c:v>32.06</c:v>
                </c:pt>
                <c:pt idx="10">
                  <c:v>32.159999999999997</c:v>
                </c:pt>
                <c:pt idx="11">
                  <c:v>32.03</c:v>
                </c:pt>
                <c:pt idx="12">
                  <c:v>31.49</c:v>
                </c:pt>
                <c:pt idx="13">
                  <c:v>31.25</c:v>
                </c:pt>
                <c:pt idx="14">
                  <c:v>30.87</c:v>
                </c:pt>
                <c:pt idx="15">
                  <c:v>30.77</c:v>
                </c:pt>
                <c:pt idx="16">
                  <c:v>30.76</c:v>
                </c:pt>
                <c:pt idx="17">
                  <c:v>30.63</c:v>
                </c:pt>
                <c:pt idx="18">
                  <c:v>30.6</c:v>
                </c:pt>
                <c:pt idx="19">
                  <c:v>30.13</c:v>
                </c:pt>
                <c:pt idx="20">
                  <c:v>29.66</c:v>
                </c:pt>
                <c:pt idx="21">
                  <c:v>28.74</c:v>
                </c:pt>
                <c:pt idx="22">
                  <c:v>28.4</c:v>
                </c:pt>
                <c:pt idx="23">
                  <c:v>28.17</c:v>
                </c:pt>
                <c:pt idx="24">
                  <c:v>28.89</c:v>
                </c:pt>
                <c:pt idx="25">
                  <c:v>28.3</c:v>
                </c:pt>
                <c:pt idx="26">
                  <c:v>28.17</c:v>
                </c:pt>
                <c:pt idx="27">
                  <c:v>27.74</c:v>
                </c:pt>
                <c:pt idx="28">
                  <c:v>27.51</c:v>
                </c:pt>
                <c:pt idx="29">
                  <c:v>28.35</c:v>
                </c:pt>
                <c:pt idx="30">
                  <c:v>29.82</c:v>
                </c:pt>
                <c:pt idx="31">
                  <c:v>29.32</c:v>
                </c:pt>
                <c:pt idx="32">
                  <c:v>29.51</c:v>
                </c:pt>
                <c:pt idx="33">
                  <c:v>29.65</c:v>
                </c:pt>
                <c:pt idx="34">
                  <c:v>29.23</c:v>
                </c:pt>
                <c:pt idx="35">
                  <c:v>29.02</c:v>
                </c:pt>
                <c:pt idx="36">
                  <c:v>28.86</c:v>
                </c:pt>
                <c:pt idx="37">
                  <c:v>28.83</c:v>
                </c:pt>
                <c:pt idx="38">
                  <c:v>29.08</c:v>
                </c:pt>
                <c:pt idx="39">
                  <c:v>29.06</c:v>
                </c:pt>
                <c:pt idx="40">
                  <c:v>29.36</c:v>
                </c:pt>
                <c:pt idx="41">
                  <c:v>29.57</c:v>
                </c:pt>
                <c:pt idx="43">
                  <c:v>30.23</c:v>
                </c:pt>
                <c:pt idx="44">
                  <c:v>29.99</c:v>
                </c:pt>
                <c:pt idx="45">
                  <c:v>29.6</c:v>
                </c:pt>
                <c:pt idx="46">
                  <c:v>30.26</c:v>
                </c:pt>
                <c:pt idx="47">
                  <c:v>30.22</c:v>
                </c:pt>
                <c:pt idx="48">
                  <c:v>31.28</c:v>
                </c:pt>
                <c:pt idx="49">
                  <c:v>31.39</c:v>
                </c:pt>
                <c:pt idx="50">
                  <c:v>31.29</c:v>
                </c:pt>
                <c:pt idx="51">
                  <c:v>31.65</c:v>
                </c:pt>
                <c:pt idx="52">
                  <c:v>31.05</c:v>
                </c:pt>
                <c:pt idx="53">
                  <c:v>30.59</c:v>
                </c:pt>
                <c:pt idx="54">
                  <c:v>30.57</c:v>
                </c:pt>
                <c:pt idx="55">
                  <c:v>30.32</c:v>
                </c:pt>
                <c:pt idx="56">
                  <c:v>30.75</c:v>
                </c:pt>
                <c:pt idx="57">
                  <c:v>30.63</c:v>
                </c:pt>
                <c:pt idx="58">
                  <c:v>30.67</c:v>
                </c:pt>
                <c:pt idx="59">
                  <c:v>30.52</c:v>
                </c:pt>
                <c:pt idx="60">
                  <c:v>31.18</c:v>
                </c:pt>
                <c:pt idx="61">
                  <c:v>31.08</c:v>
                </c:pt>
                <c:pt idx="62">
                  <c:v>31.35</c:v>
                </c:pt>
                <c:pt idx="63">
                  <c:v>30.78</c:v>
                </c:pt>
                <c:pt idx="64">
                  <c:v>30.96</c:v>
                </c:pt>
                <c:pt idx="65">
                  <c:v>30.54</c:v>
                </c:pt>
                <c:pt idx="66">
                  <c:v>30.59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361040"/>
        <c:axId val="480350456"/>
      </c:lineChart>
      <c:catAx>
        <c:axId val="480361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50456"/>
        <c:crosses val="autoZero"/>
        <c:auto val="1"/>
        <c:lblAlgn val="ctr"/>
        <c:lblOffset val="100"/>
        <c:noMultiLvlLbl val="0"/>
      </c:catAx>
      <c:valAx>
        <c:axId val="4803504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6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13-Jun-16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157.51</c:v>
                </c:pt>
                <c:pt idx="1">
                  <c:v>156.41999999999999</c:v>
                </c:pt>
                <c:pt idx="2">
                  <c:v>156</c:v>
                </c:pt>
                <c:pt idx="3">
                  <c:v>156.44</c:v>
                </c:pt>
                <c:pt idx="4">
                  <c:v>159.56</c:v>
                </c:pt>
                <c:pt idx="5">
                  <c:v>158.84</c:v>
                </c:pt>
                <c:pt idx="6">
                  <c:v>158.82</c:v>
                </c:pt>
                <c:pt idx="7">
                  <c:v>158.9</c:v>
                </c:pt>
                <c:pt idx="8">
                  <c:v>158.88999999999999</c:v>
                </c:pt>
                <c:pt idx="9">
                  <c:v>156.97999999999999</c:v>
                </c:pt>
                <c:pt idx="10">
                  <c:v>156.88999999999999</c:v>
                </c:pt>
                <c:pt idx="11">
                  <c:v>156.19999999999999</c:v>
                </c:pt>
                <c:pt idx="12">
                  <c:v>157.69</c:v>
                </c:pt>
                <c:pt idx="13">
                  <c:v>156.63999999999999</c:v>
                </c:pt>
                <c:pt idx="14">
                  <c:v>157.05000000000001</c:v>
                </c:pt>
                <c:pt idx="15">
                  <c:v>157.04</c:v>
                </c:pt>
                <c:pt idx="16">
                  <c:v>157.72999999999999</c:v>
                </c:pt>
                <c:pt idx="17">
                  <c:v>154.80000000000001</c:v>
                </c:pt>
                <c:pt idx="18">
                  <c:v>154.38</c:v>
                </c:pt>
                <c:pt idx="19">
                  <c:v>152.34</c:v>
                </c:pt>
                <c:pt idx="20">
                  <c:v>152.69</c:v>
                </c:pt>
                <c:pt idx="21">
                  <c:v>149.06</c:v>
                </c:pt>
                <c:pt idx="22">
                  <c:v>149.11000000000001</c:v>
                </c:pt>
                <c:pt idx="23">
                  <c:v>147.25</c:v>
                </c:pt>
                <c:pt idx="24">
                  <c:v>149.22999999999999</c:v>
                </c:pt>
                <c:pt idx="25">
                  <c:v>147.76</c:v>
                </c:pt>
                <c:pt idx="26">
                  <c:v>145.16</c:v>
                </c:pt>
                <c:pt idx="27">
                  <c:v>143.15</c:v>
                </c:pt>
                <c:pt idx="28">
                  <c:v>140.93</c:v>
                </c:pt>
                <c:pt idx="29">
                  <c:v>145.35</c:v>
                </c:pt>
                <c:pt idx="30">
                  <c:v>152.13999999999999</c:v>
                </c:pt>
                <c:pt idx="31">
                  <c:v>149.85</c:v>
                </c:pt>
                <c:pt idx="32">
                  <c:v>148.91</c:v>
                </c:pt>
                <c:pt idx="33">
                  <c:v>148.37</c:v>
                </c:pt>
                <c:pt idx="34">
                  <c:v>146.24</c:v>
                </c:pt>
                <c:pt idx="35">
                  <c:v>147.22999999999999</c:v>
                </c:pt>
                <c:pt idx="36">
                  <c:v>147.41</c:v>
                </c:pt>
                <c:pt idx="37">
                  <c:v>147.97999999999999</c:v>
                </c:pt>
                <c:pt idx="38">
                  <c:v>150.52000000000001</c:v>
                </c:pt>
                <c:pt idx="40">
                  <c:v>151.80000000000001</c:v>
                </c:pt>
                <c:pt idx="41">
                  <c:v>154.15</c:v>
                </c:pt>
                <c:pt idx="42">
                  <c:v>154.13999999999999</c:v>
                </c:pt>
                <c:pt idx="43">
                  <c:v>152.69</c:v>
                </c:pt>
                <c:pt idx="44">
                  <c:v>153.19</c:v>
                </c:pt>
                <c:pt idx="45">
                  <c:v>152.87</c:v>
                </c:pt>
                <c:pt idx="46">
                  <c:v>153.55000000000001</c:v>
                </c:pt>
                <c:pt idx="47">
                  <c:v>153.06</c:v>
                </c:pt>
                <c:pt idx="48">
                  <c:v>151.77000000000001</c:v>
                </c:pt>
                <c:pt idx="49">
                  <c:v>152.13</c:v>
                </c:pt>
                <c:pt idx="50">
                  <c:v>151.19999999999999</c:v>
                </c:pt>
                <c:pt idx="51">
                  <c:v>151.16</c:v>
                </c:pt>
                <c:pt idx="52">
                  <c:v>150.68</c:v>
                </c:pt>
                <c:pt idx="53">
                  <c:v>148.84</c:v>
                </c:pt>
                <c:pt idx="54">
                  <c:v>148.85</c:v>
                </c:pt>
                <c:pt idx="55">
                  <c:v>148.41999999999999</c:v>
                </c:pt>
                <c:pt idx="56">
                  <c:v>150.11000000000001</c:v>
                </c:pt>
                <c:pt idx="57">
                  <c:v>148.82</c:v>
                </c:pt>
                <c:pt idx="58">
                  <c:v>150.24</c:v>
                </c:pt>
                <c:pt idx="59">
                  <c:v>147.88999999999999</c:v>
                </c:pt>
                <c:pt idx="60">
                  <c:v>148.91999999999999</c:v>
                </c:pt>
                <c:pt idx="61">
                  <c:v>147.97</c:v>
                </c:pt>
                <c:pt idx="62">
                  <c:v>148.83000000000001</c:v>
                </c:pt>
                <c:pt idx="63">
                  <c:v>147.46</c:v>
                </c:pt>
                <c:pt idx="64">
                  <c:v>146.97</c:v>
                </c:pt>
                <c:pt idx="65">
                  <c:v>145.13999999999999</c:v>
                </c:pt>
                <c:pt idx="66">
                  <c:v>144.55000000000001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352416"/>
        <c:axId val="480349280"/>
      </c:lineChart>
      <c:catAx>
        <c:axId val="480352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49280"/>
        <c:crosses val="autoZero"/>
        <c:auto val="1"/>
        <c:lblAlgn val="ctr"/>
        <c:lblOffset val="100"/>
        <c:noMultiLvlLbl val="0"/>
      </c:catAx>
      <c:valAx>
        <c:axId val="480349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5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13-Jun-16</c:v>
                </c:pt>
                <c:pt idx="39">
                  <c:v>10-Jun-16</c:v>
                </c:pt>
                <c:pt idx="40">
                  <c:v>9-Jun-16</c:v>
                </c:pt>
                <c:pt idx="41">
                  <c:v>8-Jun-16</c:v>
                </c:pt>
                <c:pt idx="42">
                  <c:v>7-Jun-16</c:v>
                </c:pt>
                <c:pt idx="43">
                  <c:v>6-Jun-16</c:v>
                </c:pt>
                <c:pt idx="44">
                  <c:v>3-Jun-16</c:v>
                </c:pt>
                <c:pt idx="45">
                  <c:v>2-Jun-16</c:v>
                </c:pt>
                <c:pt idx="46">
                  <c:v>1-Jun-16</c:v>
                </c:pt>
                <c:pt idx="47">
                  <c:v>31-May-16</c:v>
                </c:pt>
                <c:pt idx="48">
                  <c:v>27-May-16</c:v>
                </c:pt>
                <c:pt idx="49">
                  <c:v>26-May-16</c:v>
                </c:pt>
                <c:pt idx="50">
                  <c:v>25-May-16</c:v>
                </c:pt>
                <c:pt idx="51">
                  <c:v>24-May-16</c:v>
                </c:pt>
                <c:pt idx="52">
                  <c:v>23-May-16</c:v>
                </c:pt>
                <c:pt idx="53">
                  <c:v>20-May-16</c:v>
                </c:pt>
                <c:pt idx="54">
                  <c:v>19-May-16</c:v>
                </c:pt>
                <c:pt idx="55">
                  <c:v>18-May-16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34.01</c:v>
                </c:pt>
                <c:pt idx="1">
                  <c:v>33.36</c:v>
                </c:pt>
                <c:pt idx="2">
                  <c:v>33.42</c:v>
                </c:pt>
                <c:pt idx="3">
                  <c:v>33.340000000000003</c:v>
                </c:pt>
                <c:pt idx="4">
                  <c:v>33.61</c:v>
                </c:pt>
                <c:pt idx="5">
                  <c:v>33.450000000000003</c:v>
                </c:pt>
                <c:pt idx="6">
                  <c:v>33.35</c:v>
                </c:pt>
                <c:pt idx="7">
                  <c:v>32.409999999999997</c:v>
                </c:pt>
                <c:pt idx="8">
                  <c:v>31.99</c:v>
                </c:pt>
                <c:pt idx="9">
                  <c:v>31.13</c:v>
                </c:pt>
                <c:pt idx="10">
                  <c:v>31.06</c:v>
                </c:pt>
                <c:pt idx="11">
                  <c:v>30.88</c:v>
                </c:pt>
                <c:pt idx="12">
                  <c:v>31.6</c:v>
                </c:pt>
                <c:pt idx="13">
                  <c:v>31.53</c:v>
                </c:pt>
                <c:pt idx="14">
                  <c:v>31.7</c:v>
                </c:pt>
                <c:pt idx="15">
                  <c:v>31.73</c:v>
                </c:pt>
                <c:pt idx="16">
                  <c:v>31.52</c:v>
                </c:pt>
                <c:pt idx="17">
                  <c:v>31.53</c:v>
                </c:pt>
                <c:pt idx="18">
                  <c:v>31.82</c:v>
                </c:pt>
                <c:pt idx="19">
                  <c:v>31.28</c:v>
                </c:pt>
                <c:pt idx="20">
                  <c:v>30.7</c:v>
                </c:pt>
                <c:pt idx="21">
                  <c:v>30</c:v>
                </c:pt>
                <c:pt idx="22">
                  <c:v>30.11</c:v>
                </c:pt>
                <c:pt idx="23">
                  <c:v>30.02</c:v>
                </c:pt>
                <c:pt idx="24">
                  <c:v>30.9</c:v>
                </c:pt>
                <c:pt idx="25">
                  <c:v>30.66</c:v>
                </c:pt>
                <c:pt idx="26">
                  <c:v>29.72</c:v>
                </c:pt>
                <c:pt idx="27">
                  <c:v>29.58</c:v>
                </c:pt>
                <c:pt idx="28">
                  <c:v>28.97</c:v>
                </c:pt>
                <c:pt idx="29">
                  <c:v>30.44</c:v>
                </c:pt>
                <c:pt idx="30">
                  <c:v>33.46</c:v>
                </c:pt>
                <c:pt idx="31">
                  <c:v>32.630000000000003</c:v>
                </c:pt>
                <c:pt idx="32">
                  <c:v>32.659999999999997</c:v>
                </c:pt>
                <c:pt idx="33">
                  <c:v>33.36</c:v>
                </c:pt>
                <c:pt idx="34">
                  <c:v>32.92</c:v>
                </c:pt>
                <c:pt idx="35">
                  <c:v>32.49</c:v>
                </c:pt>
                <c:pt idx="36">
                  <c:v>32.44</c:v>
                </c:pt>
                <c:pt idx="37">
                  <c:v>32.520000000000003</c:v>
                </c:pt>
                <c:pt idx="38">
                  <c:v>32.909999999999997</c:v>
                </c:pt>
                <c:pt idx="39">
                  <c:v>33.44</c:v>
                </c:pt>
                <c:pt idx="40">
                  <c:v>34.090000000000003</c:v>
                </c:pt>
                <c:pt idx="41">
                  <c:v>34.380000000000003</c:v>
                </c:pt>
                <c:pt idx="42">
                  <c:v>34.270000000000003</c:v>
                </c:pt>
                <c:pt idx="43">
                  <c:v>33.94</c:v>
                </c:pt>
                <c:pt idx="44">
                  <c:v>33.56</c:v>
                </c:pt>
                <c:pt idx="45">
                  <c:v>33.799999999999997</c:v>
                </c:pt>
                <c:pt idx="46">
                  <c:v>33.26</c:v>
                </c:pt>
                <c:pt idx="47">
                  <c:v>33.25</c:v>
                </c:pt>
                <c:pt idx="48">
                  <c:v>33.44</c:v>
                </c:pt>
                <c:pt idx="49">
                  <c:v>33.68</c:v>
                </c:pt>
                <c:pt idx="50">
                  <c:v>34.04</c:v>
                </c:pt>
                <c:pt idx="51">
                  <c:v>33.22</c:v>
                </c:pt>
                <c:pt idx="52">
                  <c:v>32.68</c:v>
                </c:pt>
                <c:pt idx="53">
                  <c:v>32.57</c:v>
                </c:pt>
                <c:pt idx="54">
                  <c:v>32.39</c:v>
                </c:pt>
                <c:pt idx="55">
                  <c:v>32.9</c:v>
                </c:pt>
                <c:pt idx="57">
                  <c:v>33.549999999999997</c:v>
                </c:pt>
                <c:pt idx="58">
                  <c:v>33.42</c:v>
                </c:pt>
                <c:pt idx="59">
                  <c:v>32.9</c:v>
                </c:pt>
                <c:pt idx="60">
                  <c:v>33.47</c:v>
                </c:pt>
                <c:pt idx="61">
                  <c:v>33.75</c:v>
                </c:pt>
                <c:pt idx="62">
                  <c:v>33.71</c:v>
                </c:pt>
                <c:pt idx="63">
                  <c:v>32.58</c:v>
                </c:pt>
                <c:pt idx="64">
                  <c:v>33.590000000000003</c:v>
                </c:pt>
                <c:pt idx="65">
                  <c:v>33.43</c:v>
                </c:pt>
                <c:pt idx="66">
                  <c:v>33.51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350064"/>
        <c:axId val="480358688"/>
      </c:lineChart>
      <c:catAx>
        <c:axId val="480350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58688"/>
        <c:crosses val="autoZero"/>
        <c:auto val="1"/>
        <c:lblAlgn val="ctr"/>
        <c:lblOffset val="100"/>
        <c:noMultiLvlLbl val="0"/>
      </c:catAx>
      <c:valAx>
        <c:axId val="4803586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5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107.74</c:v>
                </c:pt>
                <c:pt idx="1">
                  <c:v>106.36</c:v>
                </c:pt>
                <c:pt idx="2">
                  <c:v>106.29</c:v>
                </c:pt>
                <c:pt idx="3">
                  <c:v>106.27</c:v>
                </c:pt>
                <c:pt idx="4">
                  <c:v>106.94</c:v>
                </c:pt>
                <c:pt idx="5">
                  <c:v>107.65</c:v>
                </c:pt>
                <c:pt idx="6">
                  <c:v>107.58</c:v>
                </c:pt>
                <c:pt idx="7">
                  <c:v>107.69</c:v>
                </c:pt>
                <c:pt idx="8">
                  <c:v>107.89</c:v>
                </c:pt>
                <c:pt idx="9">
                  <c:v>104.65</c:v>
                </c:pt>
                <c:pt idx="10">
                  <c:v>105.13</c:v>
                </c:pt>
                <c:pt idx="11">
                  <c:v>105.85</c:v>
                </c:pt>
                <c:pt idx="12">
                  <c:v>106.04</c:v>
                </c:pt>
                <c:pt idx="13">
                  <c:v>105.62</c:v>
                </c:pt>
                <c:pt idx="14">
                  <c:v>105.49</c:v>
                </c:pt>
                <c:pt idx="15">
                  <c:v>105.5</c:v>
                </c:pt>
                <c:pt idx="16">
                  <c:v>105.14</c:v>
                </c:pt>
                <c:pt idx="17">
                  <c:v>105.09</c:v>
                </c:pt>
                <c:pt idx="18">
                  <c:v>104.5</c:v>
                </c:pt>
                <c:pt idx="19">
                  <c:v>103.96</c:v>
                </c:pt>
                <c:pt idx="20">
                  <c:v>103.66</c:v>
                </c:pt>
                <c:pt idx="21">
                  <c:v>101.97</c:v>
                </c:pt>
                <c:pt idx="22">
                  <c:v>101.38</c:v>
                </c:pt>
                <c:pt idx="23">
                  <c:v>100.62</c:v>
                </c:pt>
                <c:pt idx="24">
                  <c:v>102.73</c:v>
                </c:pt>
                <c:pt idx="25">
                  <c:v>102.55</c:v>
                </c:pt>
                <c:pt idx="26">
                  <c:v>100.47</c:v>
                </c:pt>
                <c:pt idx="27">
                  <c:v>99.03</c:v>
                </c:pt>
                <c:pt idx="28">
                  <c:v>97.21</c:v>
                </c:pt>
                <c:pt idx="29">
                  <c:v>98.89</c:v>
                </c:pt>
                <c:pt idx="30">
                  <c:v>102.33</c:v>
                </c:pt>
                <c:pt idx="31">
                  <c:v>101.35</c:v>
                </c:pt>
                <c:pt idx="32">
                  <c:v>101.57</c:v>
                </c:pt>
                <c:pt idx="33">
                  <c:v>101.7</c:v>
                </c:pt>
                <c:pt idx="34">
                  <c:v>101.2</c:v>
                </c:pt>
                <c:pt idx="35">
                  <c:v>101.12</c:v>
                </c:pt>
                <c:pt idx="36">
                  <c:v>100.54</c:v>
                </c:pt>
                <c:pt idx="37">
                  <c:v>101.19</c:v>
                </c:pt>
                <c:pt idx="38">
                  <c:v>101.21</c:v>
                </c:pt>
                <c:pt idx="39">
                  <c:v>102</c:v>
                </c:pt>
                <c:pt idx="40">
                  <c:v>102.32</c:v>
                </c:pt>
                <c:pt idx="41">
                  <c:v>102.07</c:v>
                </c:pt>
                <c:pt idx="42">
                  <c:v>101.45</c:v>
                </c:pt>
                <c:pt idx="43">
                  <c:v>101.36</c:v>
                </c:pt>
                <c:pt idx="44">
                  <c:v>100.43</c:v>
                </c:pt>
                <c:pt idx="45">
                  <c:v>100.79</c:v>
                </c:pt>
                <c:pt idx="46">
                  <c:v>100.35</c:v>
                </c:pt>
                <c:pt idx="47">
                  <c:v>100.58</c:v>
                </c:pt>
                <c:pt idx="48">
                  <c:v>100.76</c:v>
                </c:pt>
                <c:pt idx="49">
                  <c:v>100.41</c:v>
                </c:pt>
                <c:pt idx="50">
                  <c:v>100.32</c:v>
                </c:pt>
                <c:pt idx="51">
                  <c:v>99.91</c:v>
                </c:pt>
                <c:pt idx="52">
                  <c:v>98.9</c:v>
                </c:pt>
                <c:pt idx="53">
                  <c:v>99.1</c:v>
                </c:pt>
                <c:pt idx="54">
                  <c:v>98.51</c:v>
                </c:pt>
                <c:pt idx="55">
                  <c:v>99.29</c:v>
                </c:pt>
                <c:pt idx="57">
                  <c:v>100.06</c:v>
                </c:pt>
                <c:pt idx="58">
                  <c:v>101.82</c:v>
                </c:pt>
                <c:pt idx="59">
                  <c:v>100.27</c:v>
                </c:pt>
                <c:pt idx="60">
                  <c:v>101.46</c:v>
                </c:pt>
                <c:pt idx="61">
                  <c:v>101.6</c:v>
                </c:pt>
                <c:pt idx="62">
                  <c:v>102.16</c:v>
                </c:pt>
                <c:pt idx="63">
                  <c:v>100.09</c:v>
                </c:pt>
                <c:pt idx="64">
                  <c:v>101.12</c:v>
                </c:pt>
                <c:pt idx="65">
                  <c:v>100.29</c:v>
                </c:pt>
                <c:pt idx="66">
                  <c:v>100.67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359472"/>
        <c:axId val="480354376"/>
      </c:lineChart>
      <c:dateAx>
        <c:axId val="480359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54376"/>
        <c:crosses val="autoZero"/>
        <c:auto val="1"/>
        <c:lblOffset val="100"/>
        <c:baseTimeUnit val="days"/>
      </c:dateAx>
      <c:valAx>
        <c:axId val="4803543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5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142.99</c:v>
                </c:pt>
                <c:pt idx="1">
                  <c:v>142.71</c:v>
                </c:pt>
                <c:pt idx="2">
                  <c:v>142.88</c:v>
                </c:pt>
                <c:pt idx="3">
                  <c:v>143.16999999999999</c:v>
                </c:pt>
                <c:pt idx="4">
                  <c:v>143.51</c:v>
                </c:pt>
                <c:pt idx="5">
                  <c:v>143.19999999999999</c:v>
                </c:pt>
                <c:pt idx="6">
                  <c:v>142.76</c:v>
                </c:pt>
                <c:pt idx="7">
                  <c:v>141.68</c:v>
                </c:pt>
                <c:pt idx="8">
                  <c:v>141.69999999999999</c:v>
                </c:pt>
                <c:pt idx="9">
                  <c:v>141.72999999999999</c:v>
                </c:pt>
                <c:pt idx="10">
                  <c:v>143.69</c:v>
                </c:pt>
                <c:pt idx="11">
                  <c:v>142.87</c:v>
                </c:pt>
                <c:pt idx="12">
                  <c:v>143.02000000000001</c:v>
                </c:pt>
                <c:pt idx="13">
                  <c:v>142.59</c:v>
                </c:pt>
                <c:pt idx="14">
                  <c:v>140.75</c:v>
                </c:pt>
                <c:pt idx="15">
                  <c:v>141.33000000000001</c:v>
                </c:pt>
                <c:pt idx="16">
                  <c:v>140.84</c:v>
                </c:pt>
                <c:pt idx="17">
                  <c:v>141.47999999999999</c:v>
                </c:pt>
                <c:pt idx="18">
                  <c:v>139.86000000000001</c:v>
                </c:pt>
                <c:pt idx="19">
                  <c:v>140.32</c:v>
                </c:pt>
                <c:pt idx="20">
                  <c:v>141.27000000000001</c:v>
                </c:pt>
                <c:pt idx="21">
                  <c:v>140.80000000000001</c:v>
                </c:pt>
                <c:pt idx="22">
                  <c:v>142.38</c:v>
                </c:pt>
                <c:pt idx="23">
                  <c:v>141.56</c:v>
                </c:pt>
                <c:pt idx="24">
                  <c:v>140.86000000000001</c:v>
                </c:pt>
                <c:pt idx="25">
                  <c:v>141.19999999999999</c:v>
                </c:pt>
                <c:pt idx="26">
                  <c:v>140.52000000000001</c:v>
                </c:pt>
                <c:pt idx="27">
                  <c:v>138.71</c:v>
                </c:pt>
                <c:pt idx="28">
                  <c:v>137.11000000000001</c:v>
                </c:pt>
                <c:pt idx="29">
                  <c:v>137.29</c:v>
                </c:pt>
                <c:pt idx="30">
                  <c:v>139.19</c:v>
                </c:pt>
                <c:pt idx="31">
                  <c:v>137.9</c:v>
                </c:pt>
                <c:pt idx="32">
                  <c:v>138.19</c:v>
                </c:pt>
                <c:pt idx="33">
                  <c:v>138.52000000000001</c:v>
                </c:pt>
                <c:pt idx="34">
                  <c:v>137.69</c:v>
                </c:pt>
                <c:pt idx="35">
                  <c:v>138.66</c:v>
                </c:pt>
                <c:pt idx="36">
                  <c:v>137.26</c:v>
                </c:pt>
                <c:pt idx="38">
                  <c:v>137.87</c:v>
                </c:pt>
                <c:pt idx="39">
                  <c:v>138.09</c:v>
                </c:pt>
                <c:pt idx="40">
                  <c:v>139.24</c:v>
                </c:pt>
                <c:pt idx="41">
                  <c:v>140.68</c:v>
                </c:pt>
                <c:pt idx="42">
                  <c:v>140.4</c:v>
                </c:pt>
                <c:pt idx="43">
                  <c:v>136.94</c:v>
                </c:pt>
                <c:pt idx="44">
                  <c:v>138.15</c:v>
                </c:pt>
                <c:pt idx="45">
                  <c:v>136.84</c:v>
                </c:pt>
                <c:pt idx="46">
                  <c:v>136.04</c:v>
                </c:pt>
                <c:pt idx="47">
                  <c:v>134.53</c:v>
                </c:pt>
                <c:pt idx="48">
                  <c:v>133.66999999999999</c:v>
                </c:pt>
                <c:pt idx="49">
                  <c:v>134</c:v>
                </c:pt>
                <c:pt idx="50">
                  <c:v>132.97999999999999</c:v>
                </c:pt>
                <c:pt idx="51">
                  <c:v>133.41999999999999</c:v>
                </c:pt>
                <c:pt idx="52">
                  <c:v>132.59</c:v>
                </c:pt>
                <c:pt idx="53">
                  <c:v>130.41999999999999</c:v>
                </c:pt>
                <c:pt idx="54">
                  <c:v>130.94</c:v>
                </c:pt>
                <c:pt idx="55">
                  <c:v>130</c:v>
                </c:pt>
                <c:pt idx="56">
                  <c:v>130.51</c:v>
                </c:pt>
                <c:pt idx="57">
                  <c:v>129.56</c:v>
                </c:pt>
                <c:pt idx="58">
                  <c:v>130.63999999999999</c:v>
                </c:pt>
                <c:pt idx="59">
                  <c:v>129</c:v>
                </c:pt>
                <c:pt idx="60">
                  <c:v>129.74</c:v>
                </c:pt>
                <c:pt idx="61">
                  <c:v>130.69</c:v>
                </c:pt>
                <c:pt idx="62">
                  <c:v>133.57</c:v>
                </c:pt>
                <c:pt idx="63">
                  <c:v>132.66999999999999</c:v>
                </c:pt>
                <c:pt idx="64">
                  <c:v>132.04</c:v>
                </c:pt>
                <c:pt idx="65">
                  <c:v>132.31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359864"/>
        <c:axId val="480360256"/>
      </c:lineChart>
      <c:dateAx>
        <c:axId val="480359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60256"/>
        <c:crosses val="autoZero"/>
        <c:auto val="1"/>
        <c:lblOffset val="100"/>
        <c:baseTimeUnit val="days"/>
      </c:dateAx>
      <c:valAx>
        <c:axId val="4803602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5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257175</xdr:colOff>
      <xdr:row>15</xdr:row>
      <xdr:rowOff>9525</xdr:rowOff>
    </xdr:from>
    <xdr:to>
      <xdr:col>30</xdr:col>
      <xdr:colOff>533400</xdr:colOff>
      <xdr:row>30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8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52"/>
  <sheetViews>
    <sheetView topLeftCell="F1" zoomScaleNormal="100" workbookViewId="0">
      <pane ySplit="1" topLeftCell="A227" activePane="bottomLeft" state="frozen"/>
      <selection pane="bottomLeft" activeCell="M251" sqref="M251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199</v>
      </c>
      <c r="Q1" s="356" t="s">
        <v>200</v>
      </c>
      <c r="R1" s="356" t="s">
        <v>201</v>
      </c>
      <c r="S1" s="356" t="s">
        <v>246</v>
      </c>
      <c r="T1" s="356" t="s">
        <v>247</v>
      </c>
      <c r="U1" s="356" t="s">
        <v>264</v>
      </c>
      <c r="V1" s="356" t="s">
        <v>265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-39282.520000000019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522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523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523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521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520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520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49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49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521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8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521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2088.5500000000002</v>
      </c>
      <c r="D225" s="175">
        <f t="shared" si="68"/>
        <v>0</v>
      </c>
      <c r="E225" s="255">
        <f t="shared" ref="E225" si="280">(C225-$C$2)/$C$2</f>
        <v>-6.6066094632902111E-3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1</v>
      </c>
      <c r="P225" s="261">
        <f>COUNTIF(O$2:O225, TRUE)/(COUNTIF(O$2:O225,FALSE) + COUNTIF(O$2:O225, TRUE))</f>
        <v>0.48660714285714285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0.17831387977448732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254">
        <v>2088.5500000000002</v>
      </c>
      <c r="D226" s="175">
        <f t="shared" si="68"/>
        <v>0</v>
      </c>
      <c r="E226" s="255">
        <f t="shared" ref="E226" si="288">(C226-$C$2)/$C$2</f>
        <v>-6.6066094632902111E-3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0.48888888888888887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0.17791362713368658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254">
        <v>2088.5500000000002</v>
      </c>
      <c r="D227" s="175">
        <f t="shared" si="68"/>
        <v>0</v>
      </c>
      <c r="E227" s="255">
        <f t="shared" ref="E227" si="296">(C227-$C$2)/$C$2</f>
        <v>-6.6066094632902111E-3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0.49115044247787609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0.17751605773328505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2.3274520600416397E-2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0.17881334891320599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0.17856422908432967</v>
      </c>
      <c r="V229" s="191">
        <f>STDEV(L$2:L229)*SQRT(252)</f>
        <v>0.37990463509326544</v>
      </c>
    </row>
    <row r="230" spans="2:22" ht="20.100000000000001" customHeight="1" x14ac:dyDescent="0.25">
      <c r="B230" s="176">
        <v>42564</v>
      </c>
      <c r="C230" s="222">
        <v>2152.4299999999998</v>
      </c>
      <c r="D230" s="175">
        <f t="shared" si="68"/>
        <v>1.347495980744578E-4</v>
      </c>
      <c r="E230" s="216">
        <f t="shared" ref="E230" si="320">(C230-$C$2)/$C$2</f>
        <v>2.3777135138220249E-2</v>
      </c>
      <c r="F230" s="226">
        <v>5005.72</v>
      </c>
      <c r="G230" s="175">
        <f t="shared" si="61"/>
        <v>-3.4044620352709147E-3</v>
      </c>
      <c r="H230" s="210">
        <f t="shared" ref="H230" si="321">(F230-F$2)/F$2</f>
        <v>-1.6886305163304902E-2</v>
      </c>
      <c r="I230" s="228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9">
        <f t="shared" ref="M230" si="323">I230-J230</f>
        <v>-31509.760000000009</v>
      </c>
      <c r="N230" s="191">
        <f t="shared" ref="N230" si="324">M230/J230</f>
        <v>-7.8774400000000022E-2</v>
      </c>
      <c r="O230" s="189" t="b">
        <f t="shared" ref="O230" si="325">L230&gt;D230</f>
        <v>0</v>
      </c>
      <c r="P230" s="191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91">
        <f>STDEV(D$2:D230)*SQRT(252)</f>
        <v>0.17817048471828337</v>
      </c>
      <c r="V230" s="191">
        <f>STDEV(L$2:L230)*SQRT(252)</f>
        <v>0.3791487014021947</v>
      </c>
    </row>
    <row r="231" spans="2:22" ht="20.100000000000001" customHeight="1" x14ac:dyDescent="0.25">
      <c r="B231" s="176">
        <v>42565</v>
      </c>
      <c r="C231" s="222">
        <v>2163.75</v>
      </c>
      <c r="D231" s="175">
        <f t="shared" si="68"/>
        <v>5.2591721914302279E-3</v>
      </c>
      <c r="E231" s="216">
        <f t="shared" ref="E231" si="328">(C231-$C$2)/$C$2</f>
        <v>2.9161355377561284E-2</v>
      </c>
      <c r="F231" s="226">
        <v>5034.05</v>
      </c>
      <c r="G231" s="175">
        <f t="shared" si="61"/>
        <v>5.6595255028247535E-3</v>
      </c>
      <c r="H231" s="210">
        <f t="shared" ref="H231" si="329">(F231-F$2)/F$2</f>
        <v>-1.1322348135200354E-2</v>
      </c>
      <c r="I231" s="228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9">
        <f t="shared" ref="M231" si="331">I231-J231</f>
        <v>-29502.770000000019</v>
      </c>
      <c r="N231" s="191">
        <f t="shared" ref="N231" si="332">M231/J231</f>
        <v>-7.3756925000000043E-2</v>
      </c>
      <c r="O231" s="189" t="b">
        <f t="shared" ref="O231" si="333">L231&gt;D231</f>
        <v>1</v>
      </c>
      <c r="P231" s="191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91">
        <f>STDEV(D$2:D231)*SQRT(252)</f>
        <v>0.17785960012092625</v>
      </c>
      <c r="V231" s="191">
        <f>STDEV(L$2:L231)*SQRT(252)</f>
        <v>0.378354378552888</v>
      </c>
    </row>
    <row r="232" spans="2:22" ht="20.100000000000001" customHeight="1" x14ac:dyDescent="0.25">
      <c r="B232" s="176">
        <v>42566</v>
      </c>
      <c r="C232" s="222">
        <v>2161.7399999999998</v>
      </c>
      <c r="D232" s="175">
        <f t="shared" si="68"/>
        <v>-9.2894280762575077E-4</v>
      </c>
      <c r="E232" s="216">
        <f t="shared" ref="E232" si="336">(C232-$C$2)/$C$2</f>
        <v>2.8205323338596929E-2</v>
      </c>
      <c r="F232" s="226">
        <v>5029.58</v>
      </c>
      <c r="G232" s="175">
        <f t="shared" si="61"/>
        <v>-8.8795303979901958E-4</v>
      </c>
      <c r="H232" s="210">
        <f t="shared" ref="H232" si="337">(F232-F$2)/F$2</f>
        <v>-1.2200247461555059E-2</v>
      </c>
      <c r="I232" s="228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9">
        <f t="shared" ref="M232" si="339">I232-J232</f>
        <v>-31652.559999999998</v>
      </c>
      <c r="N232" s="191">
        <f t="shared" ref="N232" si="340">M232/J232</f>
        <v>-7.9131399999999991E-2</v>
      </c>
      <c r="O232" s="189" t="b">
        <f t="shared" ref="O232" si="341">L232&gt;D232</f>
        <v>0</v>
      </c>
      <c r="P232" s="191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91">
        <f>STDEV(D$2:D232)*SQRT(252)</f>
        <v>0.17747468742677538</v>
      </c>
      <c r="V232" s="191">
        <f>STDEV(L$2:L232)*SQRT(252)</f>
        <v>0.37758235657631534</v>
      </c>
    </row>
    <row r="233" spans="2:22" ht="20.100000000000001" customHeight="1" x14ac:dyDescent="0.25">
      <c r="B233" s="253">
        <v>42569</v>
      </c>
      <c r="C233" s="254">
        <v>2166.89</v>
      </c>
      <c r="D233" s="175">
        <f t="shared" si="68"/>
        <v>2.3823401519147036E-3</v>
      </c>
      <c r="E233" s="255">
        <f t="shared" ref="E233" si="344">(C233-$C$2)/$C$2</f>
        <v>3.0654858164798907E-2</v>
      </c>
      <c r="F233" s="256">
        <v>5055.78</v>
      </c>
      <c r="G233" s="175">
        <f t="shared" si="61"/>
        <v>5.209182476469172E-3</v>
      </c>
      <c r="H233" s="257">
        <f t="shared" ref="H233" si="345">(F233-F$2)/F$2</f>
        <v>-7.0546183003712066E-3</v>
      </c>
      <c r="I233" s="258">
        <f>369683.39+2.9</f>
        <v>369686.29000000004</v>
      </c>
      <c r="J233" s="259">
        <v>400000</v>
      </c>
      <c r="K233" s="259">
        <f t="shared" ref="K233" si="346">I233-I232-J233+J232</f>
        <v>1338.8500000000349</v>
      </c>
      <c r="L233" s="175">
        <f t="shared" si="242"/>
        <v>3.6347476719263611E-3</v>
      </c>
      <c r="M233" s="260">
        <f t="shared" ref="M233" si="347">I233-J233</f>
        <v>-30313.709999999963</v>
      </c>
      <c r="N233" s="261">
        <f t="shared" ref="N233" si="348">M233/J233</f>
        <v>-7.5784274999999901E-2</v>
      </c>
      <c r="O233" s="260" t="b">
        <f t="shared" ref="O233" si="349">L233&gt;D233</f>
        <v>1</v>
      </c>
      <c r="P233" s="261">
        <f>COUNTIF(O$2:O233, TRUE)/(COUNTIF(O$2:O233,FALSE) + COUNTIF(O$2:O233, TRUE))</f>
        <v>0.49137931034482757</v>
      </c>
      <c r="Q233" s="259">
        <v>316103.03999999998</v>
      </c>
      <c r="R233" s="259">
        <f t="shared" ref="R233" si="350">I233-Q233</f>
        <v>53583.250000000058</v>
      </c>
      <c r="S233" s="259">
        <v>-47875</v>
      </c>
      <c r="T233" s="259">
        <f t="shared" ref="T233" si="351">M233-S233</f>
        <v>17561.290000000037</v>
      </c>
      <c r="U233" s="261">
        <f>STDEV(D$2:D233)*SQRT(252)</f>
        <v>0.17710334708213829</v>
      </c>
      <c r="V233" s="261">
        <f>STDEV(L$2:L233)*SQRT(252)</f>
        <v>0.37677647505559991</v>
      </c>
    </row>
    <row r="234" spans="2:22" ht="20.100000000000001" customHeight="1" x14ac:dyDescent="0.25">
      <c r="B234" s="253">
        <v>42570</v>
      </c>
      <c r="C234" s="254">
        <v>2163.7800000000002</v>
      </c>
      <c r="D234" s="175">
        <f t="shared" si="68"/>
        <v>-1.4352366756040559E-3</v>
      </c>
      <c r="E234" s="255">
        <f t="shared" ref="E234" si="352">(C234-$C$2)/$C$2</f>
        <v>2.9175624512471292E-2</v>
      </c>
      <c r="F234" s="256">
        <v>5036.37</v>
      </c>
      <c r="G234" s="175">
        <f t="shared" si="61"/>
        <v>-3.8391702170584669E-3</v>
      </c>
      <c r="H234" s="257">
        <f t="shared" ref="H234" si="353">(F234-F$2)/F$2</f>
        <v>-1.0866704636958173E-2</v>
      </c>
      <c r="I234" s="258">
        <v>364028.85</v>
      </c>
      <c r="J234" s="259">
        <v>400000</v>
      </c>
      <c r="K234" s="259">
        <f t="shared" ref="K234" si="354">I234-I233-J234+J233</f>
        <v>-5657.4400000000605</v>
      </c>
      <c r="L234" s="175">
        <f t="shared" si="242"/>
        <v>-1.5303353554171728E-2</v>
      </c>
      <c r="M234" s="260">
        <f t="shared" ref="M234" si="355">I234-J234</f>
        <v>-35971.150000000023</v>
      </c>
      <c r="N234" s="261">
        <f t="shared" ref="N234" si="356">M234/J234</f>
        <v>-8.992787500000006E-2</v>
      </c>
      <c r="O234" s="260" t="b">
        <f t="shared" ref="O234" si="357">L234&gt;D234</f>
        <v>0</v>
      </c>
      <c r="P234" s="261">
        <f>COUNTIF(O$2:O234, TRUE)/(COUNTIF(O$2:O234,FALSE) + COUNTIF(O$2:O234, TRUE))</f>
        <v>0.48927038626609443</v>
      </c>
      <c r="Q234" s="259">
        <v>316420.40000000002</v>
      </c>
      <c r="R234" s="259">
        <f t="shared" ref="R234" si="358">I234-Q234</f>
        <v>47608.449999999953</v>
      </c>
      <c r="S234" s="259">
        <v>-53164</v>
      </c>
      <c r="T234" s="259">
        <f t="shared" ref="T234" si="359">M234-S234</f>
        <v>17192.849999999977</v>
      </c>
      <c r="U234" s="261">
        <f>STDEV(D$2:D234)*SQRT(252)</f>
        <v>0.17672773618130258</v>
      </c>
      <c r="V234" s="261">
        <f>STDEV(L$2:L234)*SQRT(252)</f>
        <v>0.37631344049170978</v>
      </c>
    </row>
    <row r="235" spans="2:22" ht="20.100000000000001" customHeight="1" x14ac:dyDescent="0.25">
      <c r="B235" s="253">
        <v>42571</v>
      </c>
      <c r="C235" s="254">
        <v>2173.02</v>
      </c>
      <c r="D235" s="175">
        <f t="shared" si="68"/>
        <v>4.2703047444748454E-3</v>
      </c>
      <c r="E235" s="255">
        <f t="shared" ref="E235" si="360">(C235-$C$2)/$C$2</f>
        <v>3.3570518064724761E-2</v>
      </c>
      <c r="F235" s="256">
        <v>5089.93</v>
      </c>
      <c r="G235" s="175">
        <f t="shared" si="61"/>
        <v>1.0634643602435961E-2</v>
      </c>
      <c r="H235" s="257">
        <f t="shared" ref="H235" si="361">(F235-F$2)/F$2</f>
        <v>-3.4762456546920032E-4</v>
      </c>
      <c r="I235" s="258">
        <v>366983.12</v>
      </c>
      <c r="J235" s="259">
        <v>400000</v>
      </c>
      <c r="K235" s="259">
        <f t="shared" ref="K235" si="362">I235-I234-J235+J234</f>
        <v>2954.2700000000186</v>
      </c>
      <c r="L235" s="175">
        <f t="shared" si="242"/>
        <v>8.1154831547005646E-3</v>
      </c>
      <c r="M235" s="260">
        <f t="shared" ref="M235" si="363">I235-J235</f>
        <v>-33016.880000000005</v>
      </c>
      <c r="N235" s="261">
        <f t="shared" ref="N235" si="364">M235/J235</f>
        <v>-8.254220000000001E-2</v>
      </c>
      <c r="O235" s="260" t="b">
        <f t="shared" ref="O235" si="365">L235&gt;D235</f>
        <v>1</v>
      </c>
      <c r="P235" s="261">
        <f>COUNTIF(O$2:O235, TRUE)/(COUNTIF(O$2:O235,FALSE) + COUNTIF(O$2:O235, TRUE))</f>
        <v>0.49145299145299143</v>
      </c>
      <c r="Q235" s="259">
        <v>315168.17</v>
      </c>
      <c r="R235" s="259">
        <f t="shared" ref="R235" si="366">I235-Q235</f>
        <v>51814.950000000012</v>
      </c>
      <c r="S235" s="259">
        <v>-50698</v>
      </c>
      <c r="T235" s="259">
        <f t="shared" ref="T235" si="367">M235-S235</f>
        <v>17681.119999999995</v>
      </c>
      <c r="U235" s="261">
        <f>STDEV(D$2:D235)*SQRT(252)</f>
        <v>0.17639759874782845</v>
      </c>
      <c r="V235" s="261">
        <f>STDEV(L$2:L235)*SQRT(252)</f>
        <v>0.37559009819227351</v>
      </c>
    </row>
    <row r="236" spans="2:22" ht="20.100000000000001" customHeight="1" x14ac:dyDescent="0.25">
      <c r="B236" s="253">
        <v>42572</v>
      </c>
      <c r="C236" s="254">
        <v>2165.17</v>
      </c>
      <c r="D236" s="175">
        <f t="shared" si="68"/>
        <v>-3.6124840084306217E-3</v>
      </c>
      <c r="E236" s="255">
        <f t="shared" ref="E236" si="368">(C236-$C$2)/$C$2</f>
        <v>2.9836761096630589E-2</v>
      </c>
      <c r="F236" s="256">
        <v>5073.8999999999996</v>
      </c>
      <c r="G236" s="175">
        <f t="shared" si="61"/>
        <v>-3.1493556885852365E-3</v>
      </c>
      <c r="H236" s="257">
        <f t="shared" ref="H236" si="369">(F236-F$2)/F$2</f>
        <v>-3.4958854606516846E-3</v>
      </c>
      <c r="I236" s="258">
        <f>360276.2+45</f>
        <v>360321.2</v>
      </c>
      <c r="J236" s="259">
        <v>400000</v>
      </c>
      <c r="K236" s="259">
        <f t="shared" ref="K236" si="370">I236-I235-J236+J235</f>
        <v>-6661.9199999999837</v>
      </c>
      <c r="L236" s="175">
        <f t="shared" si="242"/>
        <v>-1.8153205520733445E-2</v>
      </c>
      <c r="M236" s="260">
        <f t="shared" ref="M236" si="371">I236-J236</f>
        <v>-39678.799999999988</v>
      </c>
      <c r="N236" s="261">
        <f t="shared" ref="N236" si="372">M236/J236</f>
        <v>-9.9196999999999966E-2</v>
      </c>
      <c r="O236" s="260" t="b">
        <f t="shared" ref="O236" si="373">L236&gt;D236</f>
        <v>0</v>
      </c>
      <c r="P236" s="261">
        <f>COUNTIF(O$2:O236, TRUE)/(COUNTIF(O$2:O236,FALSE) + COUNTIF(O$2:O236, TRUE))</f>
        <v>0.48936170212765956</v>
      </c>
      <c r="Q236" s="259">
        <v>315749.06</v>
      </c>
      <c r="R236" s="259">
        <f t="shared" ref="R236" si="374">I236-Q236</f>
        <v>44572.140000000014</v>
      </c>
      <c r="S236" s="259">
        <v>-55981</v>
      </c>
      <c r="T236" s="259">
        <f t="shared" ref="T236" si="375">M236-S236</f>
        <v>16302.200000000012</v>
      </c>
      <c r="U236" s="261">
        <f>STDEV(D$2:D236)*SQRT(252)</f>
        <v>0.17606319207854554</v>
      </c>
      <c r="V236" s="261">
        <f>STDEV(L$2:L236)*SQRT(252)</f>
        <v>0.37527253812431671</v>
      </c>
    </row>
    <row r="237" spans="2:22" ht="20.100000000000001" customHeight="1" x14ac:dyDescent="0.25">
      <c r="B237" s="253">
        <v>42573</v>
      </c>
      <c r="C237" s="254">
        <v>2175.0300000000002</v>
      </c>
      <c r="D237" s="175">
        <f t="shared" si="68"/>
        <v>4.553914935085987E-3</v>
      </c>
      <c r="E237" s="255">
        <f t="shared" ref="E237" si="376">(C237-$C$2)/$C$2</f>
        <v>3.4526550103689116E-2</v>
      </c>
      <c r="F237" s="256">
        <v>5100.16</v>
      </c>
      <c r="G237" s="175">
        <f t="shared" si="61"/>
        <v>5.175506021009523E-3</v>
      </c>
      <c r="H237" s="257">
        <f t="shared" ref="H237" si="377">(F237-F$2)/F$2</f>
        <v>1.6615275841074762E-3</v>
      </c>
      <c r="I237" s="258">
        <v>357414.17</v>
      </c>
      <c r="J237" s="259">
        <v>400000</v>
      </c>
      <c r="K237" s="259">
        <f t="shared" ref="K237" si="378">I237-I236-J237+J236</f>
        <v>-2907.0300000000279</v>
      </c>
      <c r="L237" s="175">
        <f t="shared" si="242"/>
        <v>-8.0678849870616208E-3</v>
      </c>
      <c r="M237" s="260">
        <f t="shared" ref="M237" si="379">I237-J237</f>
        <v>-42585.830000000016</v>
      </c>
      <c r="N237" s="261">
        <f t="shared" ref="N237" si="380">M237/J237</f>
        <v>-0.10646457500000005</v>
      </c>
      <c r="O237" s="260" t="b">
        <f t="shared" ref="O237" si="381">L237&gt;D237</f>
        <v>0</v>
      </c>
      <c r="P237" s="261">
        <f>COUNTIF(O$2:O237, TRUE)/(COUNTIF(O$2:O237,FALSE) + COUNTIF(O$2:O237, TRUE))</f>
        <v>0.48728813559322032</v>
      </c>
      <c r="Q237" s="259">
        <v>316131.83</v>
      </c>
      <c r="R237" s="259">
        <f t="shared" ref="R237:R242" si="382">I237-Q237</f>
        <v>41282.339999999967</v>
      </c>
      <c r="S237" s="259">
        <v>-58740</v>
      </c>
      <c r="T237" s="259">
        <f t="shared" ref="T237:T242" si="383">M237-S237</f>
        <v>16154.169999999984</v>
      </c>
      <c r="U237" s="261">
        <f>STDEV(D$2:D237)*SQRT(252)</f>
        <v>0.17574477489002999</v>
      </c>
      <c r="V237" s="261">
        <f>STDEV(L$2:L237)*SQRT(252)</f>
        <v>0.37456834740512818</v>
      </c>
    </row>
    <row r="238" spans="2:22" ht="20.100000000000001" customHeight="1" x14ac:dyDescent="0.25">
      <c r="B238" s="176">
        <v>42576</v>
      </c>
      <c r="C238" s="222">
        <v>2168.48</v>
      </c>
      <c r="D238" s="175">
        <f t="shared" si="68"/>
        <v>-3.0114527155948108E-3</v>
      </c>
      <c r="E238" s="216">
        <f t="shared" ref="E238" si="384">(C238-$C$2)/$C$2</f>
        <v>3.141112231502443E-2</v>
      </c>
      <c r="F238" s="226">
        <v>5097.62</v>
      </c>
      <c r="G238" s="175">
        <f t="shared" si="61"/>
        <v>-4.9802359141673275E-4</v>
      </c>
      <c r="H238" s="210">
        <f t="shared" ref="H238" si="385">(F238-F$2)/F$2</f>
        <v>1.1626765127560684E-3</v>
      </c>
      <c r="I238" s="228">
        <v>355693.78</v>
      </c>
      <c r="J238" s="177">
        <v>400000</v>
      </c>
      <c r="K238" s="177">
        <f t="shared" ref="K238" si="386">I238-I237-J238+J237</f>
        <v>-1720.3899999999558</v>
      </c>
      <c r="L238" s="175">
        <f t="shared" si="242"/>
        <v>-4.8134353486879262E-3</v>
      </c>
      <c r="M238" s="189">
        <f t="shared" ref="M238" si="387">I238-J238</f>
        <v>-44306.219999999972</v>
      </c>
      <c r="N238" s="191">
        <f t="shared" ref="N238" si="388">M238/J238</f>
        <v>-0.11076554999999993</v>
      </c>
      <c r="O238" s="189" t="b">
        <f t="shared" ref="O238" si="389">L238&gt;D238</f>
        <v>0</v>
      </c>
      <c r="P238" s="191">
        <f>COUNTIF(O$2:O238, TRUE)/(COUNTIF(O$2:O238,FALSE) + COUNTIF(O$2:O238, TRUE))</f>
        <v>0.48523206751054854</v>
      </c>
      <c r="Q238" s="177">
        <v>311346.09000000003</v>
      </c>
      <c r="R238" s="177">
        <f t="shared" si="382"/>
        <v>44347.69</v>
      </c>
      <c r="S238" s="177">
        <v>-60287</v>
      </c>
      <c r="T238" s="177">
        <f t="shared" si="383"/>
        <v>15980.780000000028</v>
      </c>
      <c r="U238" s="191">
        <f>STDEV(D$2:D238)*SQRT(252)</f>
        <v>0.17540195592552774</v>
      </c>
      <c r="V238" s="191">
        <f>STDEV(L$2:L238)*SQRT(252)</f>
        <v>0.37380634336339558</v>
      </c>
    </row>
    <row r="239" spans="2:22" ht="20.100000000000001" customHeight="1" x14ac:dyDescent="0.25">
      <c r="B239" s="176">
        <v>42577</v>
      </c>
      <c r="C239" s="222">
        <v>2169.1799999999998</v>
      </c>
      <c r="D239" s="175">
        <f t="shared" si="68"/>
        <v>3.2280675865113727E-4</v>
      </c>
      <c r="E239" s="216">
        <f t="shared" ref="E239" si="390">(C239-$C$2)/$C$2</f>
        <v>3.1744068796255673E-2</v>
      </c>
      <c r="F239" s="226">
        <v>5110.04</v>
      </c>
      <c r="G239" s="175">
        <f t="shared" si="61"/>
        <v>2.4364311188358632E-3</v>
      </c>
      <c r="H239" s="210">
        <f t="shared" ref="H239" si="391">(F239-F$2)/F$2</f>
        <v>3.60194041282875E-3</v>
      </c>
      <c r="I239" s="228">
        <v>360934.05</v>
      </c>
      <c r="J239" s="177">
        <v>400000</v>
      </c>
      <c r="K239" s="177">
        <f t="shared" ref="K239" si="392">I239-I238-J239+J238</f>
        <v>5240.2699999999604</v>
      </c>
      <c r="L239" s="175">
        <f t="shared" si="242"/>
        <v>1.4732532011102247E-2</v>
      </c>
      <c r="M239" s="189">
        <f t="shared" ref="M239" si="393">I239-J239</f>
        <v>-39065.950000000012</v>
      </c>
      <c r="N239" s="191">
        <f t="shared" ref="N239" si="394">M239/J239</f>
        <v>-9.7664875000000026E-2</v>
      </c>
      <c r="O239" s="189" t="b">
        <f t="shared" ref="O239" si="395">L239&gt;D239</f>
        <v>1</v>
      </c>
      <c r="P239" s="191">
        <f>COUNTIF(O$2:O239, TRUE)/(COUNTIF(O$2:O239,FALSE) + COUNTIF(O$2:O239, TRUE))</f>
        <v>0.48739495798319327</v>
      </c>
      <c r="Q239" s="177">
        <v>295609.99</v>
      </c>
      <c r="R239" s="177">
        <f t="shared" si="382"/>
        <v>65324.06</v>
      </c>
      <c r="S239" s="177">
        <v>-55468</v>
      </c>
      <c r="T239" s="177">
        <f t="shared" si="383"/>
        <v>16402.049999999988</v>
      </c>
      <c r="U239" s="191">
        <f>STDEV(D$2:D239)*SQRT(252)</f>
        <v>0.17502999912472075</v>
      </c>
      <c r="V239" s="191">
        <f>STDEV(L$2:L239)*SQRT(252)</f>
        <v>0.37331560015373266</v>
      </c>
    </row>
    <row r="240" spans="2:22" ht="20.100000000000001" customHeight="1" x14ac:dyDescent="0.25">
      <c r="B240" s="176">
        <v>42578</v>
      </c>
      <c r="C240" s="222">
        <v>2166.58</v>
      </c>
      <c r="D240" s="175">
        <f t="shared" si="68"/>
        <v>-1.1986096128490532E-3</v>
      </c>
      <c r="E240" s="216">
        <f t="shared" ref="E240" si="396">(C240-$C$2)/$C$2</f>
        <v>3.0507410437396486E-2</v>
      </c>
      <c r="F240" s="226">
        <v>5139.8100000000004</v>
      </c>
      <c r="G240" s="175">
        <f t="shared" si="61"/>
        <v>5.8257860995218113E-3</v>
      </c>
      <c r="H240" s="210">
        <f t="shared" ref="H240" si="397">(F240-F$2)/F$2</f>
        <v>9.4487106467389254E-3</v>
      </c>
      <c r="I240" s="228">
        <f>351218.55-2.4</f>
        <v>351216.14999999997</v>
      </c>
      <c r="J240" s="177">
        <v>400000</v>
      </c>
      <c r="K240" s="177">
        <f t="shared" ref="K240" si="398">I240-I239-J240+J239</f>
        <v>-9717.9000000000233</v>
      </c>
      <c r="L240" s="175">
        <f t="shared" si="242"/>
        <v>-2.6924309302488982E-2</v>
      </c>
      <c r="M240" s="189">
        <f t="shared" ref="M240" si="399">I240-J240</f>
        <v>-48783.850000000035</v>
      </c>
      <c r="N240" s="191">
        <f t="shared" ref="N240" si="400">M240/J240</f>
        <v>-0.12195962500000009</v>
      </c>
      <c r="O240" s="189" t="b">
        <f t="shared" ref="O240" si="401">L240&gt;D240</f>
        <v>0</v>
      </c>
      <c r="P240" s="191">
        <f>COUNTIF(O$2:O240, TRUE)/(COUNTIF(O$2:O240,FALSE) + COUNTIF(O$2:O240, TRUE))</f>
        <v>0.48535564853556484</v>
      </c>
      <c r="Q240" s="177">
        <v>295103.78999999998</v>
      </c>
      <c r="R240" s="177">
        <f t="shared" si="382"/>
        <v>56112.359999999986</v>
      </c>
      <c r="S240" s="177">
        <v>-64415</v>
      </c>
      <c r="T240" s="177">
        <f t="shared" si="383"/>
        <v>15631.149999999965</v>
      </c>
      <c r="U240" s="191">
        <f>STDEV(D$2:D240)*SQRT(252)</f>
        <v>0.17466621287076281</v>
      </c>
      <c r="V240" s="191">
        <f>STDEV(L$2:L240)*SQRT(252)</f>
        <v>0.37357383869513988</v>
      </c>
    </row>
    <row r="241" spans="2:22" ht="20.100000000000001" customHeight="1" x14ac:dyDescent="0.25">
      <c r="B241" s="176">
        <v>42579</v>
      </c>
      <c r="C241" s="222">
        <v>2170.06</v>
      </c>
      <c r="D241" s="175">
        <f t="shared" si="68"/>
        <v>1.6062180948776498E-3</v>
      </c>
      <c r="E241" s="216">
        <f t="shared" ref="E241" si="402">(C241-$C$2)/$C$2</f>
        <v>3.2162630086946545E-2</v>
      </c>
      <c r="F241" s="226">
        <v>5154.9799999999996</v>
      </c>
      <c r="G241" s="175">
        <f t="shared" si="61"/>
        <v>2.9514709687710563E-3</v>
      </c>
      <c r="H241" s="210">
        <f t="shared" ref="H241" si="403">(F241-F$2)/F$2</f>
        <v>1.2428069210676148E-2</v>
      </c>
      <c r="I241" s="228">
        <v>351887.73</v>
      </c>
      <c r="J241" s="177">
        <v>400000</v>
      </c>
      <c r="K241" s="177">
        <f t="shared" ref="K241" si="404">I241-I240-J241+J240</f>
        <v>671.5800000000163</v>
      </c>
      <c r="L241" s="175">
        <f t="shared" si="242"/>
        <v>1.9121558049082206E-3</v>
      </c>
      <c r="M241" s="189">
        <f t="shared" ref="M241" si="405">I241-J241</f>
        <v>-48112.270000000019</v>
      </c>
      <c r="N241" s="191">
        <f t="shared" ref="N241" si="406">M241/J241</f>
        <v>-0.12028067500000005</v>
      </c>
      <c r="O241" s="189" t="b">
        <f t="shared" ref="O241" si="407">L241&gt;D241</f>
        <v>1</v>
      </c>
      <c r="P241" s="191">
        <f>COUNTIF(O$2:O241, TRUE)/(COUNTIF(O$2:O241,FALSE) + COUNTIF(O$2:O241, TRUE))</f>
        <v>0.48749999999999999</v>
      </c>
      <c r="Q241" s="177">
        <v>306491.34999999998</v>
      </c>
      <c r="R241" s="177">
        <f t="shared" si="382"/>
        <v>45396.380000000005</v>
      </c>
      <c r="S241" s="177">
        <v>-63248</v>
      </c>
      <c r="T241" s="177">
        <f t="shared" si="383"/>
        <v>15135.729999999981</v>
      </c>
      <c r="U241" s="191">
        <f>STDEV(D$2:D241)*SQRT(252)</f>
        <v>0.17430497581384302</v>
      </c>
      <c r="V241" s="191">
        <f>STDEV(L$2:L241)*SQRT(252)</f>
        <v>0.37279274055236694</v>
      </c>
    </row>
    <row r="242" spans="2:22" ht="20.100000000000001" customHeight="1" x14ac:dyDescent="0.25">
      <c r="B242" s="176">
        <v>42580</v>
      </c>
      <c r="C242" s="222">
        <v>2173.6</v>
      </c>
      <c r="D242" s="175">
        <f t="shared" si="68"/>
        <v>1.6312913007013464E-3</v>
      </c>
      <c r="E242" s="216">
        <f t="shared" ref="E242" si="408">(C242-$C$2)/$C$2</f>
        <v>3.3846388006316397E-2</v>
      </c>
      <c r="F242" s="226">
        <v>5162.13</v>
      </c>
      <c r="G242" s="175">
        <f t="shared" si="61"/>
        <v>1.3870082910119044E-3</v>
      </c>
      <c r="H242" s="210">
        <f t="shared" ref="H242" si="409">(F242-F$2)/F$2</f>
        <v>1.3832315336724531E-2</v>
      </c>
      <c r="I242" s="433">
        <v>352850.19</v>
      </c>
      <c r="J242" s="177">
        <v>400000</v>
      </c>
      <c r="K242" s="177">
        <f t="shared" ref="K242" si="410">I242-I241-J242+J241</f>
        <v>962.46000000002095</v>
      </c>
      <c r="L242" s="175">
        <f t="shared" si="242"/>
        <v>2.7351337314319569E-3</v>
      </c>
      <c r="M242" s="189">
        <f t="shared" ref="M242" si="411">I242-J242</f>
        <v>-47149.81</v>
      </c>
      <c r="N242" s="191">
        <f t="shared" ref="N242" si="412">M242/J242</f>
        <v>-0.11787452499999999</v>
      </c>
      <c r="O242" s="189" t="b">
        <f t="shared" ref="O242" si="413">L242&gt;D242</f>
        <v>1</v>
      </c>
      <c r="P242" s="191">
        <f>COUNTIF(O$2:O242, TRUE)/(COUNTIF(O$2:O242,FALSE) + COUNTIF(O$2:O242, TRUE))</f>
        <v>0.48962655601659749</v>
      </c>
      <c r="Q242" s="177">
        <v>298371.77</v>
      </c>
      <c r="R242" s="177">
        <f t="shared" si="382"/>
        <v>54478.419999999984</v>
      </c>
      <c r="S242" s="177">
        <v>-61571</v>
      </c>
      <c r="T242" s="177">
        <f t="shared" si="383"/>
        <v>14421.190000000002</v>
      </c>
      <c r="U242" s="191">
        <f>STDEV(D$2:D242)*SQRT(252)</f>
        <v>0.173946186031568</v>
      </c>
      <c r="V242" s="191">
        <f>STDEV(L$2:L242)*SQRT(252)</f>
        <v>0.37202162492103208</v>
      </c>
    </row>
    <row r="243" spans="2:22" ht="20.100000000000001" customHeight="1" x14ac:dyDescent="0.25">
      <c r="B243" s="253">
        <v>42583</v>
      </c>
      <c r="C243" s="254">
        <v>2170.84</v>
      </c>
      <c r="D243" s="175">
        <f t="shared" si="68"/>
        <v>-1.2697828487301084E-3</v>
      </c>
      <c r="E243" s="255">
        <f t="shared" ref="E243" si="414">(C243-$C$2)/$C$2</f>
        <v>3.253362759460441E-2</v>
      </c>
      <c r="F243" s="256">
        <v>5184.1899999999996</v>
      </c>
      <c r="G243" s="175">
        <f t="shared" si="61"/>
        <v>4.2734297663947806E-3</v>
      </c>
      <c r="H243" s="257">
        <f t="shared" ref="H243" si="415">(F243-F$2)/F$2</f>
        <v>1.8164856531217428E-2</v>
      </c>
      <c r="I243" s="258">
        <v>345131.68</v>
      </c>
      <c r="J243" s="259">
        <v>400000</v>
      </c>
      <c r="K243" s="259">
        <f t="shared" ref="K243" si="416">I243-I242-J243+J242</f>
        <v>-7718.5100000000093</v>
      </c>
      <c r="L243" s="175">
        <f t="shared" si="242"/>
        <v>-2.1874750868066725E-2</v>
      </c>
      <c r="M243" s="260">
        <f t="shared" ref="M243" si="417">I243-J243</f>
        <v>-54868.320000000007</v>
      </c>
      <c r="N243" s="261">
        <f t="shared" ref="N243" si="418">M243/J243</f>
        <v>-0.13717080000000001</v>
      </c>
      <c r="O243" s="260" t="b">
        <f t="shared" ref="O243" si="419">L243&gt;D243</f>
        <v>0</v>
      </c>
      <c r="P243" s="261">
        <f>COUNTIF(O$2:O243, TRUE)/(COUNTIF(O$2:O243,FALSE) + COUNTIF(O$2:O243, TRUE))</f>
        <v>0.48760330578512395</v>
      </c>
      <c r="Q243" s="259">
        <v>293278.65999999997</v>
      </c>
      <c r="R243" s="259">
        <f t="shared" ref="R243" si="420">I243-Q243</f>
        <v>51853.020000000019</v>
      </c>
      <c r="S243" s="259">
        <v>-69701</v>
      </c>
      <c r="T243" s="259">
        <f t="shared" ref="T243" si="421">M243-S243</f>
        <v>14832.679999999993</v>
      </c>
      <c r="U243" s="261">
        <f>STDEV(D$2:D243)*SQRT(252)</f>
        <v>0.17358991388387063</v>
      </c>
      <c r="V243" s="261">
        <f>STDEV(L$2:L243)*SQRT(252)</f>
        <v>0.37192751121581696</v>
      </c>
    </row>
    <row r="244" spans="2:22" ht="20.100000000000001" customHeight="1" x14ac:dyDescent="0.25">
      <c r="B244" s="253">
        <v>42584</v>
      </c>
      <c r="C244" s="254">
        <v>2157.0300000000002</v>
      </c>
      <c r="D244" s="175">
        <f t="shared" si="68"/>
        <v>-6.3615927475078517E-3</v>
      </c>
      <c r="E244" s="255">
        <f t="shared" ref="E244" si="422">(C244-$C$2)/$C$2</f>
        <v>2.5965069157740599E-2</v>
      </c>
      <c r="F244" s="256">
        <v>5137.7299999999996</v>
      </c>
      <c r="G244" s="175">
        <f t="shared" si="61"/>
        <v>-8.9618628946855801E-3</v>
      </c>
      <c r="H244" s="257">
        <f t="shared" ref="H244" si="423">(F244-F$2)/F$2</f>
        <v>9.0402026827974442E-3</v>
      </c>
      <c r="I244" s="258">
        <v>341216.81</v>
      </c>
      <c r="J244" s="259">
        <v>400000</v>
      </c>
      <c r="K244" s="259">
        <f t="shared" ref="K244" si="424">I244-I243-J244+J243</f>
        <v>-3914.8699999999953</v>
      </c>
      <c r="L244" s="175">
        <f t="shared" si="242"/>
        <v>-1.1343119820237875E-2</v>
      </c>
      <c r="M244" s="260">
        <f t="shared" ref="M244" si="425">I244-J244</f>
        <v>-58783.19</v>
      </c>
      <c r="N244" s="261">
        <f t="shared" ref="N244" si="426">M244/J244</f>
        <v>-0.14695797500000002</v>
      </c>
      <c r="O244" s="260" t="b">
        <f t="shared" ref="O244" si="427">L244&gt;D244</f>
        <v>0</v>
      </c>
      <c r="P244" s="261">
        <f>COUNTIF(O$2:O244, TRUE)/(COUNTIF(O$2:O244,FALSE) + COUNTIF(O$2:O244, TRUE))</f>
        <v>0.48559670781893005</v>
      </c>
      <c r="Q244" s="259">
        <v>294933.84999999998</v>
      </c>
      <c r="R244" s="259">
        <f t="shared" ref="R244" si="428">I244-Q244</f>
        <v>46282.960000000021</v>
      </c>
      <c r="S244" s="259">
        <v>-70463</v>
      </c>
      <c r="T244" s="259">
        <f t="shared" ref="T244" si="429">M244-S244</f>
        <v>11679.809999999998</v>
      </c>
      <c r="U244" s="261">
        <f>STDEV(D$2:D244)*SQRT(252)</f>
        <v>0.17335845617207907</v>
      </c>
      <c r="V244" s="261">
        <f>STDEV(L$2:L244)*SQRT(252)</f>
        <v>0.37133699496327655</v>
      </c>
    </row>
    <row r="245" spans="2:22" ht="20.100000000000001" customHeight="1" x14ac:dyDescent="0.25">
      <c r="B245" s="253">
        <v>42585</v>
      </c>
      <c r="C245" s="254">
        <v>2163.79</v>
      </c>
      <c r="D245" s="175">
        <f t="shared" si="68"/>
        <v>3.1339387954732955E-3</v>
      </c>
      <c r="E245" s="255">
        <f t="shared" ref="E245" si="430">(C245-$C$2)/$C$2</f>
        <v>2.9180380890774484E-2</v>
      </c>
      <c r="F245" s="256">
        <v>5159.7299999999996</v>
      </c>
      <c r="G245" s="175">
        <f t="shared" si="61"/>
        <v>4.2820467404865578E-3</v>
      </c>
      <c r="H245" s="257">
        <f t="shared" ref="H245" si="431">(F245-F$2)/F$2</f>
        <v>1.3360959993715213E-2</v>
      </c>
      <c r="I245" s="258">
        <v>347416.57</v>
      </c>
      <c r="J245" s="259">
        <v>400000</v>
      </c>
      <c r="K245" s="259">
        <f t="shared" ref="K245" si="432">I245-I244-J245+J244</f>
        <v>6199.7600000000093</v>
      </c>
      <c r="L245" s="175">
        <f t="shared" si="242"/>
        <v>1.8169562044730473E-2</v>
      </c>
      <c r="M245" s="260">
        <f t="shared" ref="M245" si="433">I245-J245</f>
        <v>-52583.429999999993</v>
      </c>
      <c r="N245" s="261">
        <f t="shared" ref="N245" si="434">M245/J245</f>
        <v>-0.13145857499999999</v>
      </c>
      <c r="O245" s="260" t="b">
        <f t="shared" ref="O245" si="435">L245&gt;D245</f>
        <v>1</v>
      </c>
      <c r="P245" s="261">
        <f>COUNTIF(O$2:O245, TRUE)/(COUNTIF(O$2:O245,FALSE) + COUNTIF(O$2:O245, TRUE))</f>
        <v>0.48770491803278687</v>
      </c>
      <c r="Q245" s="259">
        <v>306485.61</v>
      </c>
      <c r="R245" s="259">
        <f t="shared" ref="R245" si="436">I245-Q245</f>
        <v>40930.960000000021</v>
      </c>
      <c r="S245" s="259">
        <v>-64757</v>
      </c>
      <c r="T245" s="259">
        <f t="shared" ref="T245" si="437">M245-S245</f>
        <v>12173.570000000007</v>
      </c>
      <c r="U245" s="261">
        <f>STDEV(D$2:D245)*SQRT(252)</f>
        <v>0.17302631654204345</v>
      </c>
      <c r="V245" s="261">
        <f>STDEV(L$2:L245)*SQRT(252)</f>
        <v>0.37103067638911486</v>
      </c>
    </row>
    <row r="246" spans="2:22" ht="20.100000000000001" customHeight="1" x14ac:dyDescent="0.25">
      <c r="B246" s="253">
        <v>42586</v>
      </c>
      <c r="C246" s="254">
        <v>2164.25</v>
      </c>
      <c r="D246" s="175">
        <f t="shared" si="68"/>
        <v>2.1258994634416298E-4</v>
      </c>
      <c r="E246" s="255">
        <f t="shared" ref="E246" si="438">(C246-$C$2)/$C$2</f>
        <v>2.939917429272652E-2</v>
      </c>
      <c r="F246" s="256">
        <v>5166.24</v>
      </c>
      <c r="G246" s="175">
        <f t="shared" si="61"/>
        <v>1.2616939258449993E-3</v>
      </c>
      <c r="H246" s="257">
        <f t="shared" ref="H246" si="439">(F246-F$2)/F$2</f>
        <v>1.4639511361627741E-2</v>
      </c>
      <c r="I246" s="258">
        <v>348668.66</v>
      </c>
      <c r="J246" s="259">
        <v>400000</v>
      </c>
      <c r="K246" s="259">
        <f t="shared" ref="K246" si="440">I246-I245-J246+J245</f>
        <v>1252.0899999999674</v>
      </c>
      <c r="L246" s="175">
        <f t="shared" si="242"/>
        <v>3.6040019622551895E-3</v>
      </c>
      <c r="M246" s="260">
        <f t="shared" ref="M246" si="441">I246-J246</f>
        <v>-51331.340000000026</v>
      </c>
      <c r="N246" s="261">
        <f t="shared" ref="N246" si="442">M246/J246</f>
        <v>-0.12832835000000006</v>
      </c>
      <c r="O246" s="260" t="b">
        <f t="shared" ref="O246" si="443">L246&gt;D246</f>
        <v>1</v>
      </c>
      <c r="P246" s="261">
        <f>COUNTIF(O$2:O246, TRUE)/(COUNTIF(O$2:O246,FALSE) + COUNTIF(O$2:O246, TRUE))</f>
        <v>0.48979591836734693</v>
      </c>
      <c r="Q246" s="259">
        <v>306486.61</v>
      </c>
      <c r="R246" s="259">
        <f t="shared" ref="R246" si="444">I246-Q246</f>
        <v>42182.049999999988</v>
      </c>
      <c r="S246" s="259">
        <v>-64756</v>
      </c>
      <c r="T246" s="259">
        <f t="shared" ref="T246" si="445">M246-S246</f>
        <v>13424.659999999974</v>
      </c>
      <c r="U246" s="261">
        <f>STDEV(D$2:D246)*SQRT(252)</f>
        <v>0.1726699319358726</v>
      </c>
      <c r="V246" s="261">
        <f>STDEV(L$2:L246)*SQRT(252)</f>
        <v>0.37028383202660053</v>
      </c>
    </row>
    <row r="247" spans="2:22" ht="20.100000000000001" customHeight="1" x14ac:dyDescent="0.25">
      <c r="B247" s="253">
        <v>42587</v>
      </c>
      <c r="C247" s="254">
        <v>2182.87</v>
      </c>
      <c r="D247" s="175">
        <f t="shared" si="68"/>
        <v>8.6034423010280196E-3</v>
      </c>
      <c r="E247" s="255">
        <f t="shared" ref="E247:E250" si="446">(C247-$C$2)/$C$2</f>
        <v>3.8255550693479877E-2</v>
      </c>
      <c r="F247" s="256">
        <v>5221.12</v>
      </c>
      <c r="G247" s="175">
        <f t="shared" si="61"/>
        <v>1.0622812722599049E-2</v>
      </c>
      <c r="H247" s="257">
        <f t="shared" ref="H247:H250" si="447">(F247-F$2)/F$2</f>
        <v>2.5417836871771723E-2</v>
      </c>
      <c r="I247" s="258">
        <v>357514.04</v>
      </c>
      <c r="J247" s="259">
        <v>400000</v>
      </c>
      <c r="K247" s="259">
        <f t="shared" ref="K247:K250" si="448">I247-I246-J247+J246</f>
        <v>8845.3800000000047</v>
      </c>
      <c r="L247" s="175">
        <f t="shared" si="242"/>
        <v>2.5369013664721128E-2</v>
      </c>
      <c r="M247" s="260">
        <f t="shared" ref="M247:M250" si="449">I247-J247</f>
        <v>-42485.960000000021</v>
      </c>
      <c r="N247" s="261">
        <f t="shared" ref="N247:N250" si="450">M247/J247</f>
        <v>-0.10621490000000006</v>
      </c>
      <c r="O247" s="260" t="b">
        <f t="shared" ref="O247:O250" si="451">L247&gt;D247</f>
        <v>1</v>
      </c>
      <c r="P247" s="261">
        <f>COUNTIF(O$2:O247, TRUE)/(COUNTIF(O$2:O247,FALSE) + COUNTIF(O$2:O247, TRUE))</f>
        <v>0.491869918699187</v>
      </c>
      <c r="Q247" s="259">
        <v>296324.56</v>
      </c>
      <c r="R247" s="259">
        <f t="shared" ref="R247:R250" si="452">I247-Q247</f>
        <v>61189.479999999981</v>
      </c>
      <c r="S247" s="259">
        <v>-56695</v>
      </c>
      <c r="T247" s="259">
        <f t="shared" ref="T247:T250" si="453">M247-S247</f>
        <v>14209.039999999979</v>
      </c>
      <c r="U247" s="261">
        <f>STDEV(D$2:D247)*SQRT(252)</f>
        <v>0.17252748561218473</v>
      </c>
      <c r="V247" s="261">
        <f>STDEV(L$2:L247)*SQRT(252)</f>
        <v>0.37041269754030803</v>
      </c>
    </row>
    <row r="248" spans="2:22" ht="20.100000000000001" customHeight="1" x14ac:dyDescent="0.25">
      <c r="B248" s="176">
        <v>42590</v>
      </c>
      <c r="C248" s="222">
        <v>2180.89</v>
      </c>
      <c r="D248" s="175">
        <f t="shared" si="68"/>
        <v>-9.0706272018032145E-4</v>
      </c>
      <c r="E248" s="216">
        <f t="shared" ref="E248" si="454">(C248-$C$2)/$C$2</f>
        <v>3.7313787789425533E-2</v>
      </c>
      <c r="F248" s="226">
        <v>5213.1400000000003</v>
      </c>
      <c r="G248" s="175">
        <f t="shared" si="61"/>
        <v>-1.528407697965104E-3</v>
      </c>
      <c r="H248" s="210">
        <f t="shared" ref="H248" si="455">(F248-F$2)/F$2</f>
        <v>2.3850580356266179E-2</v>
      </c>
      <c r="I248" s="228">
        <v>360717.48</v>
      </c>
      <c r="J248" s="177">
        <v>400000</v>
      </c>
      <c r="K248" s="177">
        <f t="shared" ref="K248" si="456">I248-I247-J248+J247</f>
        <v>3203.4400000000023</v>
      </c>
      <c r="L248" s="175">
        <f t="shared" si="242"/>
        <v>8.9603194324899878E-3</v>
      </c>
      <c r="M248" s="189">
        <f t="shared" ref="M248" si="457">I248-J248</f>
        <v>-39282.520000000019</v>
      </c>
      <c r="N248" s="191">
        <f t="shared" ref="N248" si="458">M248/J248</f>
        <v>-9.8206300000000052E-2</v>
      </c>
      <c r="O248" s="189" t="b">
        <f t="shared" ref="O248" si="459">L248&gt;D248</f>
        <v>1</v>
      </c>
      <c r="P248" s="191">
        <f>COUNTIF(O$2:O248, TRUE)/(COUNTIF(O$2:O248,FALSE) + COUNTIF(O$2:O248, TRUE))</f>
        <v>0.49392712550607287</v>
      </c>
      <c r="Q248" s="177">
        <v>296325.56</v>
      </c>
      <c r="R248" s="177">
        <f t="shared" ref="R248" si="460">I248-Q248</f>
        <v>64391.919999999984</v>
      </c>
      <c r="S248" s="177">
        <v>-56694</v>
      </c>
      <c r="T248" s="177">
        <f t="shared" ref="T248" si="461">M248-S248</f>
        <v>17411.479999999981</v>
      </c>
      <c r="U248" s="191">
        <f>STDEV(D$2:D248)*SQRT(252)</f>
        <v>0.17217875518634856</v>
      </c>
      <c r="V248" s="191">
        <f>STDEV(L$2:L248)*SQRT(252)</f>
        <v>0.36976250802064314</v>
      </c>
    </row>
    <row r="249" spans="2:22" ht="20.100000000000001" customHeight="1" x14ac:dyDescent="0.25">
      <c r="B249" s="176"/>
      <c r="C249" s="222"/>
      <c r="D249" s="175"/>
      <c r="E249" s="216"/>
      <c r="F249" s="226"/>
      <c r="G249" s="175"/>
      <c r="H249" s="210"/>
      <c r="I249" s="228"/>
      <c r="J249" s="177"/>
      <c r="K249" s="177"/>
      <c r="L249" s="175"/>
      <c r="M249" s="189"/>
      <c r="N249" s="191"/>
      <c r="O249" s="189"/>
      <c r="P249" s="191"/>
      <c r="Q249" s="177"/>
      <c r="R249" s="177"/>
      <c r="S249" s="177"/>
      <c r="T249" s="177"/>
      <c r="U249" s="191"/>
      <c r="V249" s="191"/>
    </row>
    <row r="250" spans="2:22" ht="20.100000000000001" customHeight="1" x14ac:dyDescent="0.25">
      <c r="B250" s="176"/>
      <c r="C250" s="222"/>
      <c r="D250" s="175"/>
      <c r="E250" s="216"/>
      <c r="F250" s="226"/>
      <c r="G250" s="175"/>
      <c r="H250" s="210"/>
      <c r="I250" s="228"/>
      <c r="J250" s="177"/>
      <c r="K250" s="177"/>
      <c r="L250" s="175"/>
      <c r="M250" s="189"/>
      <c r="N250" s="191"/>
      <c r="O250" s="189"/>
      <c r="P250" s="191"/>
      <c r="Q250" s="177"/>
      <c r="R250" s="177"/>
      <c r="S250" s="177"/>
      <c r="T250" s="177"/>
      <c r="U250" s="191"/>
      <c r="V250" s="191"/>
    </row>
    <row r="251" spans="2:22" ht="20.100000000000001" customHeight="1" x14ac:dyDescent="0.25">
      <c r="B251" s="176"/>
      <c r="C251" s="222"/>
      <c r="D251" s="175"/>
      <c r="E251" s="216"/>
      <c r="F251" s="226"/>
      <c r="G251" s="175"/>
      <c r="H251" s="210"/>
      <c r="I251" s="228"/>
      <c r="J251" s="177"/>
      <c r="K251" s="177"/>
      <c r="L251" s="175"/>
      <c r="M251" s="189"/>
      <c r="N251" s="191"/>
      <c r="O251" s="189"/>
      <c r="P251" s="191"/>
      <c r="Q251" s="177"/>
      <c r="R251" s="177"/>
      <c r="S251" s="177"/>
      <c r="T251" s="177"/>
      <c r="U251" s="191"/>
      <c r="V251" s="191"/>
    </row>
    <row r="252" spans="2:22" ht="20.100000000000001" customHeight="1" x14ac:dyDescent="0.25">
      <c r="B252" s="176"/>
      <c r="C252" s="222"/>
      <c r="D252" s="175"/>
      <c r="E252" s="216"/>
      <c r="F252" s="226"/>
      <c r="G252" s="175"/>
      <c r="H252" s="210"/>
      <c r="I252" s="433"/>
      <c r="J252" s="177"/>
      <c r="K252" s="177"/>
      <c r="L252" s="175"/>
      <c r="M252" s="189"/>
      <c r="N252" s="191"/>
      <c r="O252" s="189"/>
      <c r="P252" s="191"/>
      <c r="Q252" s="177"/>
      <c r="R252" s="177"/>
      <c r="S252" s="177"/>
      <c r="T252" s="177"/>
      <c r="U252" s="191"/>
      <c r="V252" s="191"/>
    </row>
  </sheetData>
  <conditionalFormatting sqref="L253:L1048576 L1:L2">
    <cfRule type="colorScale" priority="15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49">
    <cfRule type="colorScale" priority="2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49">
    <cfRule type="colorScale" priority="13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48">
    <cfRule type="colorScale" priority="13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49">
    <cfRule type="colorScale" priority="2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50:D252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250:G252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249:L252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50:D252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workbookViewId="0">
      <pane ySplit="1" topLeftCell="A206" activePane="bottomLeft" state="frozen"/>
      <selection activeCell="E5" sqref="E5"/>
      <selection pane="bottomLeft" activeCell="Q236" sqref="Q236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524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524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524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524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20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20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20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20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</row>
    <row r="21" spans="1:20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</row>
    <row r="22" spans="1:20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</row>
    <row r="23" spans="1:20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</row>
    <row r="24" spans="1:20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20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20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20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20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20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20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524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524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6"/>
      <c r="O205" s="447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73" t="s">
        <v>266</v>
      </c>
      <c r="R242" s="472"/>
      <c r="S242" s="437" t="s">
        <v>249</v>
      </c>
      <c r="T242" s="435"/>
    </row>
    <row r="243" spans="1:21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2">
        <v>0.02</v>
      </c>
      <c r="S243" s="435">
        <v>2015</v>
      </c>
      <c r="T243" s="435">
        <v>1003.28</v>
      </c>
    </row>
    <row r="244" spans="1:21" ht="18" customHeight="1" x14ac:dyDescent="0.25">
      <c r="M244" s="26" t="s">
        <v>156</v>
      </c>
      <c r="N244" s="435">
        <f>T258</f>
        <v>1006.0400000000001</v>
      </c>
      <c r="Q244" s="372">
        <v>42451</v>
      </c>
      <c r="R244" s="472">
        <v>0.01</v>
      </c>
      <c r="S244" s="507">
        <v>42278</v>
      </c>
      <c r="T244" s="435">
        <v>0.19</v>
      </c>
    </row>
    <row r="245" spans="1:21" ht="18" customHeight="1" x14ac:dyDescent="0.25">
      <c r="M245" s="26" t="s">
        <v>132</v>
      </c>
      <c r="N245" s="145">
        <f>SUM(ACTIVE!L:L)</f>
        <v>-37169.081999999667</v>
      </c>
      <c r="Q245" s="371"/>
      <c r="R245" s="472"/>
      <c r="S245" s="507">
        <v>42309</v>
      </c>
      <c r="T245" s="435">
        <v>0.26</v>
      </c>
    </row>
    <row r="246" spans="1:21" ht="18" customHeight="1" x14ac:dyDescent="0.25">
      <c r="Q246" s="371"/>
      <c r="R246" s="472"/>
      <c r="S246" s="507">
        <v>42339</v>
      </c>
      <c r="T246" s="435">
        <v>0.23</v>
      </c>
    </row>
    <row r="247" spans="1:21" ht="18" customHeight="1" x14ac:dyDescent="0.25">
      <c r="M247" s="26" t="s">
        <v>147</v>
      </c>
      <c r="N247" s="145">
        <f>SUM(N242:N245)</f>
        <v>-39282.491999999598</v>
      </c>
      <c r="Q247" s="371"/>
      <c r="R247" s="472"/>
      <c r="S247" s="507">
        <v>42370</v>
      </c>
      <c r="T247" s="435">
        <v>0.08</v>
      </c>
    </row>
    <row r="248" spans="1:21" ht="18" customHeight="1" x14ac:dyDescent="0.25">
      <c r="M248" s="26" t="s">
        <v>148</v>
      </c>
      <c r="N248" s="145">
        <f>Balance!W2</f>
        <v>-39282.520000000019</v>
      </c>
      <c r="Q248" s="371"/>
      <c r="R248" s="472"/>
      <c r="S248" s="507">
        <v>42401</v>
      </c>
      <c r="T248" s="435">
        <v>0.57999999999999996</v>
      </c>
    </row>
    <row r="249" spans="1:21" ht="18" customHeight="1" x14ac:dyDescent="0.25">
      <c r="M249" s="26" t="s">
        <v>203</v>
      </c>
      <c r="N249" s="472">
        <f>R258</f>
        <v>0.03</v>
      </c>
      <c r="O249" s="357"/>
      <c r="Q249" s="371"/>
      <c r="R249" s="472"/>
      <c r="S249" s="507">
        <v>42430</v>
      </c>
      <c r="T249" s="435">
        <v>0.68</v>
      </c>
    </row>
    <row r="250" spans="1:21" ht="18" customHeight="1" x14ac:dyDescent="0.25">
      <c r="Q250" s="371"/>
      <c r="R250" s="472"/>
      <c r="S250" s="507">
        <v>42461</v>
      </c>
      <c r="T250" s="435">
        <v>0.37</v>
      </c>
    </row>
    <row r="251" spans="1:21" ht="18" customHeight="1" x14ac:dyDescent="0.25">
      <c r="M251" s="26" t="s">
        <v>134</v>
      </c>
      <c r="N251" s="242">
        <f>N247-N249-N248</f>
        <v>-1.999999578401912E-3</v>
      </c>
      <c r="Q251" s="371"/>
      <c r="R251" s="472"/>
      <c r="S251" s="507">
        <v>42491</v>
      </c>
      <c r="T251" s="435">
        <v>0.13</v>
      </c>
    </row>
    <row r="252" spans="1:21" ht="18" customHeight="1" x14ac:dyDescent="0.25">
      <c r="Q252" s="371"/>
      <c r="R252" s="472"/>
      <c r="S252" s="507">
        <v>42552</v>
      </c>
      <c r="T252" s="435">
        <v>0.64</v>
      </c>
    </row>
    <row r="253" spans="1:21" ht="18" customHeight="1" x14ac:dyDescent="0.25">
      <c r="Q253" s="371"/>
      <c r="R253" s="472"/>
      <c r="S253" s="507">
        <v>42580</v>
      </c>
      <c r="T253" s="435">
        <v>-0.66</v>
      </c>
      <c r="U253" s="25" t="s">
        <v>352</v>
      </c>
    </row>
    <row r="254" spans="1:21" ht="18" customHeight="1" x14ac:dyDescent="0.25">
      <c r="Q254" s="371"/>
      <c r="R254" s="472"/>
      <c r="S254" s="507">
        <v>42582</v>
      </c>
      <c r="T254" s="435">
        <v>0.26</v>
      </c>
    </row>
    <row r="255" spans="1:21" ht="18" customHeight="1" x14ac:dyDescent="0.25">
      <c r="Q255" s="371"/>
      <c r="R255" s="472"/>
      <c r="S255" s="436"/>
      <c r="T255" s="435"/>
    </row>
    <row r="256" spans="1:21" ht="18" customHeight="1" x14ac:dyDescent="0.25">
      <c r="Q256" s="371"/>
      <c r="R256" s="472"/>
      <c r="S256" s="436"/>
      <c r="T256" s="435"/>
    </row>
    <row r="257" spans="17:20" ht="18" customHeight="1" x14ac:dyDescent="0.25">
      <c r="Q257" s="371"/>
      <c r="R257" s="472"/>
      <c r="S257" s="436"/>
      <c r="T257" s="435"/>
    </row>
    <row r="258" spans="17:20" ht="18" customHeight="1" x14ac:dyDescent="0.25">
      <c r="Q258" s="371" t="s">
        <v>81</v>
      </c>
      <c r="R258" s="472">
        <f>SUM(R243:R257)</f>
        <v>0.03</v>
      </c>
      <c r="S258" s="436" t="s">
        <v>81</v>
      </c>
      <c r="T258" s="435">
        <f>SUM(T243:T256)</f>
        <v>1006.0400000000001</v>
      </c>
    </row>
  </sheetData>
  <mergeCells count="3">
    <mergeCell ref="B12:B13"/>
    <mergeCell ref="B14:B15"/>
    <mergeCell ref="B163:B164"/>
  </mergeCells>
  <conditionalFormatting sqref="Q13">
    <cfRule type="expression" dxfId="690" priority="5">
      <formula>#REF!&gt;0</formula>
    </cfRule>
    <cfRule type="expression" dxfId="689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zoomScaleNormal="100" workbookViewId="0">
      <pane ySplit="1" topLeftCell="A26" activePane="bottomLeft" state="frozen"/>
      <selection pane="bottomLeft" activeCell="E36" sqref="E36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192</v>
      </c>
      <c r="K1" s="369" t="s">
        <v>229</v>
      </c>
      <c r="L1" s="58" t="s">
        <v>188</v>
      </c>
      <c r="M1" s="58" t="s">
        <v>290</v>
      </c>
      <c r="N1" s="58" t="s">
        <v>92</v>
      </c>
      <c r="O1" s="369" t="s">
        <v>228</v>
      </c>
    </row>
    <row r="2" spans="1:21" ht="21.95" customHeight="1" x14ac:dyDescent="0.25">
      <c r="A2" s="51"/>
      <c r="B2" s="51"/>
      <c r="C2" s="52"/>
      <c r="E2" s="23" t="s">
        <v>10</v>
      </c>
      <c r="F2" s="252">
        <v>10.45</v>
      </c>
      <c r="G2" s="252">
        <v>10.45</v>
      </c>
      <c r="H2" s="340">
        <v>0</v>
      </c>
      <c r="I2" s="448">
        <v>0</v>
      </c>
      <c r="J2" s="384">
        <v>0</v>
      </c>
      <c r="K2" s="370">
        <v>0</v>
      </c>
      <c r="L2" s="384">
        <v>1128.3800000000047</v>
      </c>
      <c r="M2">
        <v>0</v>
      </c>
      <c r="N2" s="381" t="str">
        <f>HYPERLINK("http://finance.yahoo.com/q?s=" &amp; E2, "Link")</f>
        <v>Link</v>
      </c>
      <c r="O2" s="380">
        <v>1.14E-2</v>
      </c>
      <c r="R2" s="49"/>
    </row>
    <row r="3" spans="1:21" ht="21.95" customHeight="1" x14ac:dyDescent="0.25">
      <c r="A3" s="51"/>
      <c r="B3" s="51"/>
      <c r="C3" s="52"/>
      <c r="E3" s="23" t="s">
        <v>224</v>
      </c>
      <c r="F3" s="252">
        <v>108.37</v>
      </c>
      <c r="G3" s="252">
        <v>108.37</v>
      </c>
      <c r="H3" s="340">
        <v>0</v>
      </c>
      <c r="I3" s="49">
        <v>0</v>
      </c>
      <c r="J3" s="384">
        <v>0</v>
      </c>
      <c r="K3" s="370">
        <v>0</v>
      </c>
      <c r="L3" s="384">
        <v>363.09999999999945</v>
      </c>
      <c r="M3">
        <v>0</v>
      </c>
      <c r="N3" s="381" t="str">
        <f>HYPERLINK("http://finance.yahoo.com/q?s=" &amp; E3, "Link")</f>
        <v>Link</v>
      </c>
      <c r="O3" s="380">
        <v>2.12E-2</v>
      </c>
      <c r="Q3" s="152"/>
    </row>
    <row r="4" spans="1:21" ht="21.95" customHeight="1" x14ac:dyDescent="0.25">
      <c r="A4" s="51"/>
      <c r="B4" s="51"/>
      <c r="C4" s="52"/>
      <c r="E4" s="23" t="s">
        <v>339</v>
      </c>
      <c r="F4" s="252">
        <v>50.21</v>
      </c>
      <c r="G4" s="50">
        <v>50.396500000000003</v>
      </c>
      <c r="H4" s="340">
        <v>20</v>
      </c>
      <c r="I4" s="49">
        <v>1007.9300000000001</v>
      </c>
      <c r="J4" s="384">
        <v>-3.7300000000000182</v>
      </c>
      <c r="K4" s="370">
        <v>-3.7006538152451521E-3</v>
      </c>
      <c r="L4" s="384">
        <v>-3.7300000000000182</v>
      </c>
      <c r="M4" s="30">
        <v>42609</v>
      </c>
      <c r="N4" s="381" t="str">
        <f>HYPERLINK("http://finance.yahoo.com/q?s=" &amp; E4, "Link")</f>
        <v>Link</v>
      </c>
      <c r="O4" s="380">
        <v>0</v>
      </c>
      <c r="Q4" s="152"/>
    </row>
    <row r="5" spans="1:21" ht="21.95" customHeight="1" x14ac:dyDescent="0.25">
      <c r="A5" s="51"/>
      <c r="B5" s="52"/>
      <c r="C5" s="52"/>
      <c r="E5" s="23" t="s">
        <v>45</v>
      </c>
      <c r="F5" s="252">
        <v>69.17</v>
      </c>
      <c r="G5" s="252">
        <v>69.17</v>
      </c>
      <c r="H5" s="340">
        <v>0</v>
      </c>
      <c r="I5" s="49">
        <v>0</v>
      </c>
      <c r="J5" s="384">
        <v>0</v>
      </c>
      <c r="K5" s="370">
        <v>0</v>
      </c>
      <c r="L5" s="384">
        <v>523.61999999999898</v>
      </c>
      <c r="M5">
        <v>0</v>
      </c>
      <c r="N5" s="381" t="str">
        <f>HYPERLINK("http://finance.yahoo.com/q?s=" &amp; E5, "Link")</f>
        <v>Link</v>
      </c>
      <c r="O5" s="380">
        <v>1.9199999999999998E-2</v>
      </c>
      <c r="R5" s="49"/>
    </row>
    <row r="6" spans="1:21" ht="21.95" customHeight="1" x14ac:dyDescent="0.25">
      <c r="A6" s="51"/>
      <c r="B6" s="51"/>
      <c r="C6" s="52"/>
      <c r="E6" s="23" t="s">
        <v>33</v>
      </c>
      <c r="F6" s="252">
        <v>168.35</v>
      </c>
      <c r="G6" s="252">
        <v>168.35</v>
      </c>
      <c r="H6" s="340">
        <v>0</v>
      </c>
      <c r="I6" s="49">
        <v>0</v>
      </c>
      <c r="J6" s="384">
        <v>0</v>
      </c>
      <c r="K6" s="370">
        <v>0</v>
      </c>
      <c r="L6" s="384">
        <v>780.73999999999796</v>
      </c>
      <c r="M6">
        <v>0</v>
      </c>
      <c r="N6" s="381" t="str">
        <f>HYPERLINK("http://finance.yahoo.com/q?s=" &amp; E6, "Link")</f>
        <v>Link</v>
      </c>
      <c r="O6" s="380">
        <v>1.2E-2</v>
      </c>
      <c r="Q6" s="152"/>
    </row>
    <row r="7" spans="1:21" ht="21.95" customHeight="1" x14ac:dyDescent="0.25">
      <c r="A7" s="51"/>
      <c r="B7" s="51"/>
      <c r="C7" s="52"/>
      <c r="E7" s="23" t="s">
        <v>270</v>
      </c>
      <c r="F7" s="252">
        <v>65.83</v>
      </c>
      <c r="G7" s="252">
        <v>65.83</v>
      </c>
      <c r="H7" s="340">
        <v>0</v>
      </c>
      <c r="I7" s="49">
        <v>0</v>
      </c>
      <c r="J7" s="384">
        <v>0</v>
      </c>
      <c r="K7" s="370">
        <v>0</v>
      </c>
      <c r="L7" s="384">
        <v>219.94000000000005</v>
      </c>
      <c r="M7">
        <v>0</v>
      </c>
      <c r="N7" s="381" t="str">
        <f>HYPERLINK("http://finance.yahoo.com/q?s=" &amp; E7, "Link")</f>
        <v>Link</v>
      </c>
      <c r="O7" s="380">
        <v>1.77E-2</v>
      </c>
      <c r="Q7" s="152"/>
    </row>
    <row r="8" spans="1:21" ht="21.95" customHeight="1" x14ac:dyDescent="0.25">
      <c r="A8" s="51"/>
      <c r="B8" s="51"/>
      <c r="C8" s="52"/>
      <c r="E8" s="23" t="s">
        <v>62</v>
      </c>
      <c r="F8" s="252">
        <v>313.64999999999998</v>
      </c>
      <c r="G8" s="252">
        <v>313.64999999999998</v>
      </c>
      <c r="H8" s="340">
        <v>0</v>
      </c>
      <c r="I8" s="49">
        <v>0</v>
      </c>
      <c r="J8" s="384">
        <v>0</v>
      </c>
      <c r="K8" s="370">
        <v>0</v>
      </c>
      <c r="L8" s="384">
        <v>1659.3600000000079</v>
      </c>
      <c r="M8">
        <v>0</v>
      </c>
      <c r="N8" s="381" t="str">
        <f>HYPERLINK("http://finance.yahoo.com/q?s=" &amp; E8, "Link")</f>
        <v>Link</v>
      </c>
      <c r="O8" s="380">
        <v>0</v>
      </c>
      <c r="Q8" s="467"/>
    </row>
    <row r="9" spans="1:21" ht="21.95" customHeight="1" x14ac:dyDescent="0.25">
      <c r="A9" s="51"/>
      <c r="B9" s="51"/>
      <c r="C9" s="52"/>
      <c r="E9" s="23" t="s">
        <v>52</v>
      </c>
      <c r="F9" s="252">
        <v>83.78</v>
      </c>
      <c r="G9" s="252">
        <v>83.78</v>
      </c>
      <c r="H9" s="340">
        <v>0</v>
      </c>
      <c r="I9" s="49">
        <v>0</v>
      </c>
      <c r="J9" s="384">
        <v>0</v>
      </c>
      <c r="K9" s="370">
        <v>0</v>
      </c>
      <c r="L9" s="384">
        <v>490.94999999999891</v>
      </c>
      <c r="M9">
        <v>0</v>
      </c>
      <c r="N9" s="381" t="str">
        <f>HYPERLINK("http://finance.yahoo.com/q?s=" &amp; E9, "Link")</f>
        <v>Link</v>
      </c>
      <c r="O9" s="380">
        <v>2.1299999999999999E-2</v>
      </c>
    </row>
    <row r="10" spans="1:21" ht="21.95" customHeight="1" x14ac:dyDescent="0.25">
      <c r="A10" s="51"/>
      <c r="B10" s="51"/>
      <c r="C10" s="52"/>
      <c r="E10" s="23" t="s">
        <v>267</v>
      </c>
      <c r="F10" s="252">
        <v>23.19</v>
      </c>
      <c r="G10" s="252">
        <v>22.735399999999998</v>
      </c>
      <c r="H10" s="340">
        <v>300</v>
      </c>
      <c r="I10" s="49">
        <v>6820.62</v>
      </c>
      <c r="J10" s="384">
        <v>136.38000000000011</v>
      </c>
      <c r="K10" s="370">
        <v>1.9995249698707866E-2</v>
      </c>
      <c r="L10" s="384">
        <v>136.38000000000011</v>
      </c>
      <c r="M10">
        <v>70</v>
      </c>
      <c r="N10" s="381" t="str">
        <f>HYPERLINK("http://finance.yahoo.com/q?s=" &amp; E10, "Link")</f>
        <v>Link</v>
      </c>
      <c r="O10" s="380">
        <v>5.6000000000000001E-2</v>
      </c>
      <c r="Q10" s="49"/>
      <c r="S10" s="49"/>
    </row>
    <row r="11" spans="1:21" ht="21.95" customHeight="1" x14ac:dyDescent="0.25">
      <c r="A11" s="52"/>
      <c r="B11" s="52"/>
      <c r="C11" s="52"/>
      <c r="E11" s="23" t="s">
        <v>8</v>
      </c>
      <c r="F11" s="252">
        <v>62.29</v>
      </c>
      <c r="G11" s="252">
        <v>62.29</v>
      </c>
      <c r="H11" s="340">
        <v>0</v>
      </c>
      <c r="I11" s="49">
        <v>0</v>
      </c>
      <c r="J11" s="384">
        <v>0</v>
      </c>
      <c r="K11" s="370">
        <v>0</v>
      </c>
      <c r="L11" s="384">
        <v>121.94999999999982</v>
      </c>
      <c r="M11">
        <v>0</v>
      </c>
      <c r="N11" s="381" t="str">
        <f>HYPERLINK("http://finance.yahoo.com/q?s=" &amp; E11, "Link")</f>
        <v>Link</v>
      </c>
      <c r="O11" s="380">
        <v>1.84E-2</v>
      </c>
    </row>
    <row r="12" spans="1:21" ht="21.95" customHeight="1" x14ac:dyDescent="0.25">
      <c r="A12" s="51"/>
      <c r="B12" s="51"/>
      <c r="C12" s="52"/>
      <c r="E12" s="23" t="s">
        <v>17</v>
      </c>
      <c r="F12" s="252">
        <v>13.09</v>
      </c>
      <c r="G12" s="252">
        <v>21.26006666666667</v>
      </c>
      <c r="H12" s="340">
        <v>3000</v>
      </c>
      <c r="I12" s="49">
        <v>63780.200000000012</v>
      </c>
      <c r="J12" s="384">
        <v>-24510.200000000012</v>
      </c>
      <c r="K12" s="370">
        <v>-0.38429167672726028</v>
      </c>
      <c r="L12" s="384">
        <v>-24510.200000000012</v>
      </c>
      <c r="M12">
        <v>1000</v>
      </c>
      <c r="N12" s="381" t="str">
        <f>HYPERLINK("http://finance.yahoo.com/q?s=" &amp; E12, "Link")</f>
        <v>Link</v>
      </c>
      <c r="O12" s="380">
        <v>0</v>
      </c>
      <c r="Q12" s="152"/>
      <c r="S12" s="49"/>
    </row>
    <row r="13" spans="1:21" ht="21.95" customHeight="1" x14ac:dyDescent="0.25">
      <c r="A13" s="51"/>
      <c r="B13" s="51"/>
      <c r="C13" s="52"/>
      <c r="E13" s="23" t="s">
        <v>32</v>
      </c>
      <c r="F13" s="252">
        <v>37.44</v>
      </c>
      <c r="G13" s="252">
        <v>37.037100000000009</v>
      </c>
      <c r="H13" s="340">
        <v>400</v>
      </c>
      <c r="I13" s="49">
        <v>14814.840000000004</v>
      </c>
      <c r="J13" s="384">
        <v>161.15999999999622</v>
      </c>
      <c r="K13" s="370">
        <v>1.0878281506921118E-2</v>
      </c>
      <c r="L13" s="384">
        <v>366.1799999999962</v>
      </c>
      <c r="M13">
        <v>250</v>
      </c>
      <c r="N13" s="381" t="str">
        <f>HYPERLINK("http://finance.yahoo.com/q?s=" &amp; E13, "Link")</f>
        <v>Link</v>
      </c>
      <c r="O13" s="380">
        <v>2.1499999999999998E-2</v>
      </c>
      <c r="Q13" s="467"/>
      <c r="R13" s="49"/>
    </row>
    <row r="14" spans="1:21" ht="21.95" customHeight="1" x14ac:dyDescent="0.25">
      <c r="A14" s="51"/>
      <c r="B14" s="51"/>
      <c r="C14" s="52"/>
      <c r="E14" s="23" t="s">
        <v>63</v>
      </c>
      <c r="F14" s="252">
        <v>95.75</v>
      </c>
      <c r="G14" s="252">
        <v>93.171999999999983</v>
      </c>
      <c r="H14" s="340">
        <v>30</v>
      </c>
      <c r="I14" s="49">
        <v>2795.1599999999994</v>
      </c>
      <c r="J14" s="384">
        <v>77.340000000000146</v>
      </c>
      <c r="K14" s="370">
        <v>2.7669256858283794E-2</v>
      </c>
      <c r="L14" s="384">
        <v>77.340000000000146</v>
      </c>
      <c r="M14">
        <v>15</v>
      </c>
      <c r="N14" s="381" t="str">
        <f>HYPERLINK("http://finance.yahoo.com/q?s=" &amp; E14, "Link")</f>
        <v>Link</v>
      </c>
      <c r="O14" s="380">
        <v>1.4800000000000001E-2</v>
      </c>
      <c r="Q14" s="152"/>
      <c r="S14" s="49"/>
    </row>
    <row r="15" spans="1:21" ht="21.95" customHeight="1" x14ac:dyDescent="0.25">
      <c r="A15" s="51"/>
      <c r="B15" s="51"/>
      <c r="C15" s="52"/>
      <c r="E15" s="23" t="s">
        <v>213</v>
      </c>
      <c r="F15" s="252">
        <v>12.18</v>
      </c>
      <c r="G15" s="252">
        <v>12.28632</v>
      </c>
      <c r="H15" s="340">
        <v>250</v>
      </c>
      <c r="I15" s="49">
        <v>3071.58</v>
      </c>
      <c r="J15" s="384">
        <v>-26.579999999999927</v>
      </c>
      <c r="K15" s="370">
        <v>-8.653526849373953E-3</v>
      </c>
      <c r="L15" s="384">
        <v>-26.579999999999927</v>
      </c>
      <c r="M15">
        <v>250</v>
      </c>
      <c r="N15" s="381" t="str">
        <f>HYPERLINK("http://finance.yahoo.com/q?s=" &amp; E15, "Link")</f>
        <v>Link</v>
      </c>
      <c r="O15" s="380">
        <v>4.9700000000000001E-2</v>
      </c>
      <c r="Q15" s="152"/>
    </row>
    <row r="16" spans="1:21" ht="21.95" customHeight="1" x14ac:dyDescent="0.25">
      <c r="A16" s="51"/>
      <c r="B16" s="51"/>
      <c r="C16" s="52"/>
      <c r="E16" s="23" t="s">
        <v>9</v>
      </c>
      <c r="F16" s="252">
        <v>4.93</v>
      </c>
      <c r="G16" s="252">
        <v>4.93</v>
      </c>
      <c r="H16" s="340">
        <v>0</v>
      </c>
      <c r="I16" s="49">
        <v>0</v>
      </c>
      <c r="J16" s="384">
        <v>0</v>
      </c>
      <c r="K16" s="370">
        <v>0</v>
      </c>
      <c r="L16" s="384">
        <v>434.93000000000029</v>
      </c>
      <c r="M16">
        <v>0</v>
      </c>
      <c r="N16" s="381" t="str">
        <f>HYPERLINK("http://finance.yahoo.com/q?s=" &amp; E16, "Link")</f>
        <v>Link</v>
      </c>
      <c r="O16" s="380">
        <v>8.5300000000000001E-2</v>
      </c>
      <c r="Q16" s="49"/>
      <c r="R16" s="49"/>
      <c r="T16" s="368"/>
      <c r="U16" s="368"/>
    </row>
    <row r="17" spans="1:20" ht="21.95" customHeight="1" x14ac:dyDescent="0.25">
      <c r="A17" s="61"/>
      <c r="B17" s="62"/>
      <c r="C17" s="61"/>
      <c r="E17" s="23" t="s">
        <v>55</v>
      </c>
      <c r="F17" s="252">
        <v>79.739999999999995</v>
      </c>
      <c r="G17" s="252">
        <v>86.017866666666649</v>
      </c>
      <c r="H17" s="340">
        <v>150</v>
      </c>
      <c r="I17" s="49">
        <v>12902.679999999997</v>
      </c>
      <c r="J17" s="384">
        <v>-941.67999999999665</v>
      </c>
      <c r="K17" s="370">
        <v>-7.2983287193048127E-2</v>
      </c>
      <c r="L17" s="384">
        <v>-941.67999999999665</v>
      </c>
      <c r="M17">
        <v>100</v>
      </c>
      <c r="N17" s="381" t="str">
        <f>HYPERLINK("http://finance.yahoo.com/q?s=" &amp; E17, "Link")</f>
        <v>Link</v>
      </c>
      <c r="O17" s="380">
        <v>2.3400000000000001E-2</v>
      </c>
      <c r="R17" s="49"/>
    </row>
    <row r="18" spans="1:20" ht="21.95" customHeight="1" x14ac:dyDescent="0.25">
      <c r="A18" s="51"/>
      <c r="B18" s="51"/>
      <c r="C18" s="52"/>
      <c r="E18" s="23" t="s">
        <v>179</v>
      </c>
      <c r="F18" s="252">
        <v>70.63</v>
      </c>
      <c r="G18" s="252">
        <v>70.63</v>
      </c>
      <c r="H18" s="340">
        <v>0</v>
      </c>
      <c r="I18" s="49">
        <v>0</v>
      </c>
      <c r="J18" s="384">
        <v>0</v>
      </c>
      <c r="K18" s="370">
        <v>0</v>
      </c>
      <c r="L18" s="384">
        <v>49.949999999999818</v>
      </c>
      <c r="M18">
        <v>0</v>
      </c>
      <c r="N18" s="381" t="str">
        <f>HYPERLINK("http://finance.yahoo.com/q?s=" &amp; E18, "Link")</f>
        <v>Link</v>
      </c>
      <c r="O18" s="380">
        <v>2.7199999999999998E-2</v>
      </c>
      <c r="R18" s="49"/>
      <c r="S18" s="49"/>
    </row>
    <row r="19" spans="1:20" ht="21.95" customHeight="1" x14ac:dyDescent="0.25">
      <c r="A19" s="52"/>
      <c r="B19" s="52"/>
      <c r="C19" s="52"/>
      <c r="E19" s="23" t="s">
        <v>56</v>
      </c>
      <c r="F19" s="252">
        <v>30.88</v>
      </c>
      <c r="G19" s="252">
        <v>30.88</v>
      </c>
      <c r="H19" s="340">
        <v>0</v>
      </c>
      <c r="I19" s="49">
        <v>0</v>
      </c>
      <c r="J19" s="384">
        <v>0</v>
      </c>
      <c r="K19" s="370">
        <v>0</v>
      </c>
      <c r="L19" s="384">
        <v>36.819999999999709</v>
      </c>
      <c r="M19">
        <v>0</v>
      </c>
      <c r="N19" s="381" t="str">
        <f>HYPERLINK("http://finance.yahoo.com/q?s=" &amp; E19, "Link")</f>
        <v>Link</v>
      </c>
      <c r="O19" s="380">
        <v>4.9399999999999999E-2</v>
      </c>
    </row>
    <row r="20" spans="1:20" ht="21.95" customHeight="1" x14ac:dyDescent="0.25">
      <c r="A20" s="52"/>
      <c r="B20" s="159"/>
      <c r="C20" s="341"/>
      <c r="E20" s="23" t="s">
        <v>22</v>
      </c>
      <c r="F20" s="252">
        <v>55.92</v>
      </c>
      <c r="G20" s="252">
        <v>55.92</v>
      </c>
      <c r="H20" s="340">
        <v>0</v>
      </c>
      <c r="I20" s="49">
        <v>0</v>
      </c>
      <c r="J20" s="384">
        <v>0</v>
      </c>
      <c r="K20" s="370">
        <v>0</v>
      </c>
      <c r="L20" s="384">
        <v>3178.8000000000466</v>
      </c>
      <c r="M20">
        <v>0</v>
      </c>
      <c r="N20" s="381" t="str">
        <f>HYPERLINK("http://finance.yahoo.com/q?s=" &amp; E20, "Link")</f>
        <v>Link</v>
      </c>
      <c r="O20" s="380">
        <v>1.83E-2</v>
      </c>
      <c r="R20" s="49"/>
    </row>
    <row r="21" spans="1:20" ht="21.95" customHeight="1" x14ac:dyDescent="0.25">
      <c r="A21" s="52"/>
      <c r="B21" s="51"/>
      <c r="C21" s="52"/>
      <c r="E21" s="23" t="s">
        <v>27</v>
      </c>
      <c r="F21" s="252">
        <v>35.04</v>
      </c>
      <c r="G21" s="252">
        <v>35.04</v>
      </c>
      <c r="H21" s="340">
        <v>0</v>
      </c>
      <c r="I21" s="49">
        <v>0</v>
      </c>
      <c r="J21" s="384">
        <v>0</v>
      </c>
      <c r="K21" s="370">
        <v>0</v>
      </c>
      <c r="L21" s="384">
        <v>1407.5400000000009</v>
      </c>
      <c r="M21">
        <v>0</v>
      </c>
      <c r="N21" s="381" t="str">
        <f>HYPERLINK("http://finance.yahoo.com/q?s=" &amp; E21, "Link")</f>
        <v>Link</v>
      </c>
      <c r="O21" s="380">
        <v>2.9700000000000001E-2</v>
      </c>
      <c r="Q21" s="152"/>
    </row>
    <row r="22" spans="1:20" ht="21.95" customHeight="1" x14ac:dyDescent="0.25">
      <c r="A22" s="51"/>
      <c r="B22" s="51"/>
      <c r="C22" s="51"/>
      <c r="E22" s="23" t="s">
        <v>180</v>
      </c>
      <c r="F22" s="252">
        <v>46.18</v>
      </c>
      <c r="G22" s="252">
        <v>46.18</v>
      </c>
      <c r="H22" s="340">
        <v>0</v>
      </c>
      <c r="I22" s="49">
        <v>0</v>
      </c>
      <c r="J22" s="384">
        <v>0</v>
      </c>
      <c r="K22" s="370">
        <v>0</v>
      </c>
      <c r="L22" s="384">
        <v>119.92000000000053</v>
      </c>
      <c r="M22">
        <v>0</v>
      </c>
      <c r="N22" s="381" t="str">
        <f>HYPERLINK("http://finance.yahoo.com/q?s=" &amp; E22, "Link")</f>
        <v>Link</v>
      </c>
      <c r="O22" s="380">
        <v>3.8300000000000001E-2</v>
      </c>
    </row>
    <row r="23" spans="1:20" ht="21.95" customHeight="1" x14ac:dyDescent="0.25">
      <c r="A23" s="52"/>
      <c r="B23" s="52"/>
      <c r="C23" s="52"/>
      <c r="E23" s="23" t="s">
        <v>15</v>
      </c>
      <c r="F23" s="252">
        <v>17.46</v>
      </c>
      <c r="G23" s="252">
        <v>17.46</v>
      </c>
      <c r="H23" s="340">
        <v>0</v>
      </c>
      <c r="I23" s="49">
        <v>0</v>
      </c>
      <c r="J23" s="384">
        <v>0</v>
      </c>
      <c r="K23" s="370">
        <v>0</v>
      </c>
      <c r="L23" s="384">
        <v>155.90000000000146</v>
      </c>
      <c r="M23">
        <v>0</v>
      </c>
      <c r="N23" s="381" t="str">
        <f>HYPERLINK("http://finance.yahoo.com/q?s=" &amp; E23, "Link")</f>
        <v>Link</v>
      </c>
      <c r="O23" s="380">
        <v>0</v>
      </c>
      <c r="T23" s="49"/>
    </row>
    <row r="24" spans="1:20" ht="21.95" customHeight="1" x14ac:dyDescent="0.25">
      <c r="A24" s="61"/>
      <c r="B24" s="62"/>
      <c r="C24" s="61"/>
      <c r="E24" s="23" t="s">
        <v>24</v>
      </c>
      <c r="F24" s="252">
        <v>50.27</v>
      </c>
      <c r="G24" s="252">
        <v>50.27</v>
      </c>
      <c r="H24" s="340">
        <v>0</v>
      </c>
      <c r="I24" s="49">
        <v>0</v>
      </c>
      <c r="J24" s="384">
        <v>0</v>
      </c>
      <c r="K24" s="370">
        <v>0</v>
      </c>
      <c r="L24" s="384">
        <v>745.43999999999505</v>
      </c>
      <c r="M24">
        <v>0</v>
      </c>
      <c r="N24" s="381" t="str">
        <f>HYPERLINK("http://finance.yahoo.com/q?s=" &amp; E24, "Link")</f>
        <v>Link</v>
      </c>
      <c r="O24" s="380">
        <v>0</v>
      </c>
      <c r="Q24" s="152"/>
      <c r="R24" s="49"/>
    </row>
    <row r="25" spans="1:20" ht="21.95" customHeight="1" x14ac:dyDescent="0.25">
      <c r="A25" s="52"/>
      <c r="B25" s="52"/>
      <c r="C25" s="52"/>
      <c r="E25" s="23" t="s">
        <v>211</v>
      </c>
      <c r="F25" s="252">
        <v>32.31</v>
      </c>
      <c r="G25" s="252">
        <v>33.519675000000007</v>
      </c>
      <c r="H25" s="340">
        <v>400</v>
      </c>
      <c r="I25" s="49">
        <v>13407.870000000003</v>
      </c>
      <c r="J25" s="384">
        <v>-483.87000000000262</v>
      </c>
      <c r="K25" s="370">
        <v>-3.6088506228058717E-2</v>
      </c>
      <c r="L25" s="384">
        <v>-483.87000000000262</v>
      </c>
      <c r="M25">
        <v>160</v>
      </c>
      <c r="N25" s="381" t="str">
        <f>HYPERLINK("http://finance.yahoo.com/q?s=" &amp; E25, "Link")</f>
        <v>Link</v>
      </c>
      <c r="O25" s="380">
        <v>1.47E-2</v>
      </c>
    </row>
    <row r="26" spans="1:20" ht="21.95" customHeight="1" x14ac:dyDescent="0.25">
      <c r="A26" s="159"/>
      <c r="B26" s="51"/>
      <c r="C26" s="52"/>
      <c r="E26" s="23" t="s">
        <v>36</v>
      </c>
      <c r="F26" s="252">
        <v>37.450000000000003</v>
      </c>
      <c r="G26" s="252">
        <v>38.280588235294118</v>
      </c>
      <c r="H26" s="340">
        <v>170</v>
      </c>
      <c r="I26" s="49">
        <v>6507.7</v>
      </c>
      <c r="J26" s="384">
        <v>-141.19999999999891</v>
      </c>
      <c r="K26" s="370">
        <v>-2.1697373880172659E-2</v>
      </c>
      <c r="L26" s="384">
        <v>-141.19999999999891</v>
      </c>
      <c r="M26" s="30">
        <v>42603</v>
      </c>
      <c r="N26" s="381" t="str">
        <f>HYPERLINK("http://finance.yahoo.com/q?s=" &amp; E26, "Link")</f>
        <v>Link</v>
      </c>
      <c r="O26" s="380">
        <v>1.06E-2</v>
      </c>
    </row>
    <row r="27" spans="1:20" ht="21.95" customHeight="1" x14ac:dyDescent="0.25">
      <c r="A27" s="51"/>
      <c r="B27" s="51"/>
      <c r="C27" s="52"/>
      <c r="E27" s="23" t="s">
        <v>271</v>
      </c>
      <c r="F27" s="252">
        <v>28.32</v>
      </c>
      <c r="G27" s="252">
        <v>28.32</v>
      </c>
      <c r="H27" s="340">
        <v>0</v>
      </c>
      <c r="I27" s="49">
        <v>0</v>
      </c>
      <c r="J27" s="384">
        <v>0</v>
      </c>
      <c r="K27" s="370">
        <v>0</v>
      </c>
      <c r="L27" s="384">
        <v>287.94000000000005</v>
      </c>
      <c r="M27">
        <v>0</v>
      </c>
      <c r="N27" s="381" t="str">
        <f>HYPERLINK("http://finance.yahoo.com/q?s=" &amp; E27, "Link")</f>
        <v>Link</v>
      </c>
      <c r="O27" s="380">
        <v>2.9000000000000001E-2</v>
      </c>
      <c r="Q27" s="152"/>
    </row>
    <row r="28" spans="1:20" ht="21.95" customHeight="1" x14ac:dyDescent="0.25">
      <c r="A28" s="51"/>
      <c r="B28" s="51"/>
      <c r="C28" s="52"/>
      <c r="E28" s="23" t="s">
        <v>50</v>
      </c>
      <c r="F28" s="252">
        <v>14.25</v>
      </c>
      <c r="G28" s="252">
        <v>16.651062486320786</v>
      </c>
      <c r="H28" s="340">
        <v>9138</v>
      </c>
      <c r="I28" s="49">
        <v>152157.40899999934</v>
      </c>
      <c r="J28" s="384">
        <v>-21940.908999999287</v>
      </c>
      <c r="K28" s="370">
        <v>-0.14419875538232541</v>
      </c>
      <c r="L28" s="384">
        <v>-21940.908999999287</v>
      </c>
      <c r="M28">
        <v>6318</v>
      </c>
      <c r="N28" s="381" t="str">
        <f>HYPERLINK("http://finance.yahoo.com/q?s=" &amp; E28, "Link")</f>
        <v>Link</v>
      </c>
      <c r="O28" s="380">
        <v>1.52E-2</v>
      </c>
      <c r="Q28" s="152"/>
    </row>
    <row r="29" spans="1:20" ht="21.95" customHeight="1" x14ac:dyDescent="0.25">
      <c r="A29" s="51"/>
      <c r="B29" s="51"/>
      <c r="C29" s="52"/>
      <c r="E29" s="23" t="s">
        <v>34</v>
      </c>
      <c r="F29" s="252">
        <v>14.42</v>
      </c>
      <c r="G29" s="252">
        <v>16.157953250000109</v>
      </c>
      <c r="H29" s="50">
        <v>4000</v>
      </c>
      <c r="I29" s="49">
        <v>64631.813000000431</v>
      </c>
      <c r="J29" s="384">
        <v>-6951.8130000004312</v>
      </c>
      <c r="K29" s="370">
        <v>-0.10756023508114167</v>
      </c>
      <c r="L29" s="49">
        <v>-6951.8130000004312</v>
      </c>
      <c r="M29">
        <v>2500</v>
      </c>
      <c r="N29" s="381" t="str">
        <f>HYPERLINK("http://finance.yahoo.com/q?s=" &amp; E29, "Link")</f>
        <v>Link</v>
      </c>
      <c r="O29" s="370">
        <v>0</v>
      </c>
    </row>
    <row r="30" spans="1:20" ht="21.95" customHeight="1" x14ac:dyDescent="0.25">
      <c r="A30" s="51"/>
      <c r="B30" s="51"/>
      <c r="C30" s="52"/>
      <c r="E30" s="23" t="s">
        <v>225</v>
      </c>
      <c r="F30" s="252">
        <v>48.53</v>
      </c>
      <c r="G30" s="252">
        <v>48.53</v>
      </c>
      <c r="H30" s="340">
        <v>0</v>
      </c>
      <c r="I30" s="49">
        <v>0</v>
      </c>
      <c r="J30" s="384">
        <v>0</v>
      </c>
      <c r="K30" s="370">
        <v>0</v>
      </c>
      <c r="L30" s="384">
        <v>439.77999999999975</v>
      </c>
      <c r="M30">
        <v>0</v>
      </c>
      <c r="N30" s="381" t="str">
        <f>HYPERLINK("http://finance.yahoo.com/q?s=" &amp; E30, "Link")</f>
        <v>Link</v>
      </c>
      <c r="O30" s="380">
        <v>0</v>
      </c>
      <c r="Q30" s="152"/>
    </row>
    <row r="31" spans="1:20" ht="21.95" customHeight="1" x14ac:dyDescent="0.25">
      <c r="A31" s="51"/>
      <c r="B31" s="51"/>
      <c r="C31" s="52"/>
      <c r="E31" s="23" t="s">
        <v>207</v>
      </c>
      <c r="F31" s="252">
        <v>55.98</v>
      </c>
      <c r="G31" s="252">
        <v>46.980000000000011</v>
      </c>
      <c r="H31" s="340">
        <v>30</v>
      </c>
      <c r="I31" s="49">
        <v>1409.4000000000003</v>
      </c>
      <c r="J31" s="384">
        <v>269.99999999999932</v>
      </c>
      <c r="K31" s="370">
        <v>0.19157088122605329</v>
      </c>
      <c r="L31" s="384">
        <v>269.99999999999932</v>
      </c>
      <c r="M31">
        <v>30</v>
      </c>
      <c r="N31" s="381" t="str">
        <f>HYPERLINK("http://finance.yahoo.com/q?s=" &amp; E31, "Link")</f>
        <v>Link</v>
      </c>
      <c r="O31" s="380">
        <v>1.15E-2</v>
      </c>
      <c r="Q31" s="152"/>
    </row>
    <row r="32" spans="1:20" ht="21.95" customHeight="1" x14ac:dyDescent="0.25">
      <c r="A32" s="51"/>
      <c r="B32" s="51"/>
      <c r="C32" s="52"/>
      <c r="E32" s="23" t="s">
        <v>47</v>
      </c>
      <c r="F32" s="252">
        <v>89.52</v>
      </c>
      <c r="G32" s="252">
        <v>89.52</v>
      </c>
      <c r="H32" s="50">
        <v>0</v>
      </c>
      <c r="I32" s="49">
        <v>0</v>
      </c>
      <c r="J32" s="384">
        <v>-168.6200000000008</v>
      </c>
      <c r="K32" s="370">
        <v>0</v>
      </c>
      <c r="L32" s="49">
        <v>-168.6200000000008</v>
      </c>
      <c r="M32">
        <v>0</v>
      </c>
      <c r="N32" s="381" t="str">
        <f>HYPERLINK("http://finance.yahoo.com/q?s=" &amp; E32, "Link")</f>
        <v>Link</v>
      </c>
      <c r="O32" s="370">
        <v>2.6599999999999999E-2</v>
      </c>
      <c r="R32" s="49"/>
    </row>
    <row r="33" spans="1:20" ht="21.95" customHeight="1" x14ac:dyDescent="0.25">
      <c r="A33" s="52"/>
      <c r="B33" s="52"/>
      <c r="C33" s="52"/>
      <c r="E33" s="23" t="s">
        <v>182</v>
      </c>
      <c r="F33" s="252">
        <v>54.16</v>
      </c>
      <c r="G33" s="252">
        <v>54.16</v>
      </c>
      <c r="H33" s="340">
        <v>0</v>
      </c>
      <c r="I33" s="49">
        <v>0</v>
      </c>
      <c r="J33" s="384">
        <v>0</v>
      </c>
      <c r="K33" s="370">
        <v>0</v>
      </c>
      <c r="L33" s="384">
        <v>75.019999999999982</v>
      </c>
      <c r="M33">
        <v>0</v>
      </c>
      <c r="N33" s="381" t="str">
        <f>HYPERLINK("http://finance.yahoo.com/q?s=" &amp; E33, "Link")</f>
        <v>Link</v>
      </c>
      <c r="O33" s="380">
        <v>1.41E-2</v>
      </c>
      <c r="Q33" s="152"/>
    </row>
    <row r="34" spans="1:20" ht="21.95" customHeight="1" x14ac:dyDescent="0.25">
      <c r="A34" s="52"/>
      <c r="B34" s="159"/>
      <c r="C34" s="341"/>
      <c r="E34" s="23" t="s">
        <v>245</v>
      </c>
      <c r="F34" s="252">
        <v>87.9</v>
      </c>
      <c r="G34" s="252">
        <v>87.9</v>
      </c>
      <c r="H34" s="340">
        <v>0</v>
      </c>
      <c r="I34" s="49">
        <v>0</v>
      </c>
      <c r="J34" s="384">
        <v>0</v>
      </c>
      <c r="K34" s="370">
        <v>0</v>
      </c>
      <c r="L34" s="384">
        <v>420.9900000000016</v>
      </c>
      <c r="M34">
        <v>0</v>
      </c>
      <c r="N34" s="381" t="str">
        <f>HYPERLINK("http://finance.yahoo.com/q?s=" &amp; E34, "Link")</f>
        <v>Link</v>
      </c>
      <c r="O34" s="380">
        <v>1.2E-2</v>
      </c>
      <c r="Q34" s="152"/>
      <c r="R34" s="49"/>
    </row>
    <row r="35" spans="1:20" ht="21.95" customHeight="1" x14ac:dyDescent="0.25">
      <c r="A35" s="51"/>
      <c r="B35" s="51"/>
      <c r="C35" s="52"/>
      <c r="E35" s="23" t="s">
        <v>183</v>
      </c>
      <c r="F35" s="252">
        <v>218.05</v>
      </c>
      <c r="G35" s="252">
        <v>218.05</v>
      </c>
      <c r="H35" s="340">
        <v>0</v>
      </c>
      <c r="I35" s="49">
        <v>0</v>
      </c>
      <c r="J35" s="384">
        <v>0</v>
      </c>
      <c r="K35" s="370">
        <v>0</v>
      </c>
      <c r="L35" s="384">
        <v>160.82999999999993</v>
      </c>
      <c r="M35">
        <v>0</v>
      </c>
      <c r="N35" s="381" t="str">
        <f>HYPERLINK("http://finance.yahoo.com/q?s=" &amp; E35, "Link")</f>
        <v>Link</v>
      </c>
      <c r="O35" s="380">
        <v>0</v>
      </c>
      <c r="Q35" s="467"/>
    </row>
    <row r="36" spans="1:20" ht="21.95" customHeight="1" x14ac:dyDescent="0.25">
      <c r="A36" s="52"/>
      <c r="B36" s="52"/>
      <c r="C36" s="52"/>
      <c r="E36" s="23" t="s">
        <v>178</v>
      </c>
      <c r="F36" s="252">
        <v>65.94</v>
      </c>
      <c r="G36" s="252">
        <v>58.038444444444458</v>
      </c>
      <c r="H36" s="340">
        <v>90</v>
      </c>
      <c r="I36" s="49">
        <v>5223.4600000000009</v>
      </c>
      <c r="J36" s="384">
        <v>711.13999999999851</v>
      </c>
      <c r="K36" s="370">
        <v>0.1361434757804211</v>
      </c>
      <c r="L36" s="384">
        <v>1125.7299999999987</v>
      </c>
      <c r="M36">
        <v>70</v>
      </c>
      <c r="N36" s="381" t="str">
        <f>HYPERLINK("http://finance.yahoo.com/q?s=" &amp; E36, "Link")</f>
        <v>Link</v>
      </c>
      <c r="O36" s="380">
        <v>1.72E-2</v>
      </c>
      <c r="Q36" s="49"/>
      <c r="R36" s="49"/>
    </row>
    <row r="37" spans="1:20" ht="21.95" customHeight="1" x14ac:dyDescent="0.25">
      <c r="A37" s="51"/>
      <c r="B37" s="51"/>
      <c r="C37" s="52"/>
      <c r="E37" s="23" t="s">
        <v>39</v>
      </c>
      <c r="F37" s="252">
        <v>34.159999999999997</v>
      </c>
      <c r="G37" s="252">
        <v>34.159999999999997</v>
      </c>
      <c r="H37" s="340">
        <v>0</v>
      </c>
      <c r="I37" s="49">
        <v>0</v>
      </c>
      <c r="J37" s="384">
        <v>0</v>
      </c>
      <c r="K37" s="370">
        <v>0</v>
      </c>
      <c r="L37" s="384">
        <v>529.88000000000284</v>
      </c>
      <c r="M37">
        <v>0</v>
      </c>
      <c r="N37" s="381" t="str">
        <f>HYPERLINK("http://finance.yahoo.com/q?s=" &amp; E37, "Link")</f>
        <v>Link</v>
      </c>
      <c r="O37" s="380">
        <v>3.1199999999999999E-2</v>
      </c>
      <c r="R37" s="49"/>
    </row>
    <row r="38" spans="1:20" ht="21.95" customHeight="1" x14ac:dyDescent="0.25">
      <c r="A38" s="51"/>
      <c r="B38" s="51"/>
      <c r="C38" s="52"/>
      <c r="E38" s="23" t="s">
        <v>0</v>
      </c>
      <c r="F38" s="252">
        <v>156.52000000000001</v>
      </c>
      <c r="G38" s="252">
        <v>156.52000000000001</v>
      </c>
      <c r="H38" s="340">
        <v>0</v>
      </c>
      <c r="I38" s="49">
        <v>0</v>
      </c>
      <c r="J38" s="384">
        <v>0</v>
      </c>
      <c r="K38" s="370">
        <v>0</v>
      </c>
      <c r="L38" s="384">
        <v>171.47000000000003</v>
      </c>
      <c r="M38">
        <v>0</v>
      </c>
      <c r="N38" s="381" t="str">
        <f>HYPERLINK("http://finance.yahoo.com/q?s=" &amp; E38, "Link")</f>
        <v>Link</v>
      </c>
      <c r="O38" s="380">
        <v>3.8E-3</v>
      </c>
      <c r="Q38" s="49"/>
    </row>
    <row r="39" spans="1:20" ht="21.95" customHeight="1" x14ac:dyDescent="0.25">
      <c r="A39" s="51"/>
      <c r="B39" s="51"/>
      <c r="C39" s="52"/>
      <c r="E39" s="23" t="s">
        <v>13</v>
      </c>
      <c r="F39" s="252">
        <v>48.49</v>
      </c>
      <c r="G39" s="252">
        <v>37.965266666666651</v>
      </c>
      <c r="H39" s="340">
        <v>150</v>
      </c>
      <c r="I39" s="49">
        <v>5694.7899999999972</v>
      </c>
      <c r="J39" s="384">
        <v>1578.7100000000028</v>
      </c>
      <c r="K39" s="370">
        <v>0.27722005552443607</v>
      </c>
      <c r="L39" s="384">
        <v>1578.7100000000028</v>
      </c>
      <c r="M39">
        <v>150</v>
      </c>
      <c r="N39" s="381" t="str">
        <f>HYPERLINK("http://finance.yahoo.com/q?s=" &amp; E39, "Link")</f>
        <v>Link</v>
      </c>
      <c r="O39" s="380">
        <v>0</v>
      </c>
      <c r="Q39" s="152"/>
      <c r="R39" s="49"/>
      <c r="S39" s="49"/>
    </row>
    <row r="40" spans="1:20" ht="21.95" customHeight="1" x14ac:dyDescent="0.25">
      <c r="A40" s="51"/>
      <c r="B40" s="51"/>
      <c r="C40" s="52"/>
      <c r="E40" s="23" t="s">
        <v>51</v>
      </c>
      <c r="F40" s="252">
        <v>142.13</v>
      </c>
      <c r="G40" s="252">
        <v>142.13</v>
      </c>
      <c r="H40" s="340">
        <v>0</v>
      </c>
      <c r="I40" s="49">
        <v>0</v>
      </c>
      <c r="J40" s="384">
        <v>0</v>
      </c>
      <c r="K40" s="370">
        <v>0</v>
      </c>
      <c r="L40" s="384">
        <v>176.70000000000073</v>
      </c>
      <c r="M40">
        <v>0</v>
      </c>
      <c r="N40" s="381" t="str">
        <f>HYPERLINK("http://finance.yahoo.com/q?s=" &amp; E40, "Link")</f>
        <v>Link</v>
      </c>
      <c r="O40" s="380">
        <v>1.7500000000000002E-2</v>
      </c>
    </row>
    <row r="41" spans="1:20" ht="21.95" customHeight="1" x14ac:dyDescent="0.25">
      <c r="A41" s="51"/>
      <c r="B41" s="51"/>
      <c r="C41" s="52"/>
      <c r="E41" s="23" t="s">
        <v>42</v>
      </c>
      <c r="F41" s="252">
        <v>93.86</v>
      </c>
      <c r="G41" s="252">
        <v>93.86</v>
      </c>
      <c r="H41" s="340">
        <v>0</v>
      </c>
      <c r="I41" s="49">
        <v>0</v>
      </c>
      <c r="J41" s="384">
        <v>0</v>
      </c>
      <c r="K41" s="370">
        <v>0</v>
      </c>
      <c r="L41" s="384">
        <v>128.08999999999833</v>
      </c>
      <c r="M41">
        <v>0</v>
      </c>
      <c r="N41" s="381" t="str">
        <f>HYPERLINK("http://finance.yahoo.com/q?s=" &amp; E41, "Link")</f>
        <v>Link</v>
      </c>
      <c r="O41" s="380">
        <v>2.6599999999999999E-2</v>
      </c>
      <c r="Q41" s="152"/>
      <c r="T41" s="49"/>
    </row>
    <row r="42" spans="1:20" ht="21.95" customHeight="1" x14ac:dyDescent="0.25">
      <c r="A42" s="52"/>
      <c r="B42" s="52"/>
      <c r="C42" s="52"/>
      <c r="E42" s="23" t="s">
        <v>54</v>
      </c>
      <c r="F42" s="252">
        <v>107.79</v>
      </c>
      <c r="G42" s="252">
        <v>107.79</v>
      </c>
      <c r="H42" s="340">
        <v>0</v>
      </c>
      <c r="I42" s="49">
        <v>0</v>
      </c>
      <c r="J42" s="384">
        <v>0</v>
      </c>
      <c r="K42" s="370">
        <v>0</v>
      </c>
      <c r="L42" s="384">
        <v>114.84999999999991</v>
      </c>
      <c r="M42">
        <v>0</v>
      </c>
      <c r="N42" s="381" t="str">
        <f>HYPERLINK("http://finance.yahoo.com/q?s=" &amp; E42, "Link")</f>
        <v>Link</v>
      </c>
      <c r="O42" s="380">
        <v>2.4799999999999999E-2</v>
      </c>
      <c r="R42" s="49"/>
    </row>
    <row r="43" spans="1:20" ht="21.95" customHeight="1" x14ac:dyDescent="0.25">
      <c r="A43" s="52"/>
      <c r="B43" s="52"/>
      <c r="C43" s="52"/>
      <c r="E43" s="23" t="s">
        <v>268</v>
      </c>
      <c r="F43" s="252">
        <v>47.93</v>
      </c>
      <c r="G43" s="252">
        <v>47.93</v>
      </c>
      <c r="H43" s="340">
        <v>0</v>
      </c>
      <c r="I43" s="49">
        <v>0</v>
      </c>
      <c r="J43" s="384">
        <v>0</v>
      </c>
      <c r="K43" s="370">
        <v>0</v>
      </c>
      <c r="L43" s="384">
        <v>257.64999999999964</v>
      </c>
      <c r="M43">
        <v>0</v>
      </c>
      <c r="N43" s="381" t="str">
        <f>HYPERLINK("http://finance.yahoo.com/q?s=" &amp; E43, "Link")</f>
        <v>Link</v>
      </c>
      <c r="O43" s="380">
        <v>0</v>
      </c>
      <c r="R43" s="49"/>
    </row>
    <row r="44" spans="1:20" ht="21.95" customHeight="1" x14ac:dyDescent="0.25">
      <c r="A44" s="51"/>
      <c r="B44" s="51"/>
      <c r="C44" s="52"/>
      <c r="E44" s="23" t="s">
        <v>181</v>
      </c>
      <c r="F44" s="252">
        <v>48.91</v>
      </c>
      <c r="G44" s="252">
        <v>46.026249999999955</v>
      </c>
      <c r="H44" s="340">
        <v>80</v>
      </c>
      <c r="I44" s="49">
        <v>3682.0999999999963</v>
      </c>
      <c r="J44" s="384">
        <v>230.700000000003</v>
      </c>
      <c r="K44" s="370">
        <v>6.2654463485511958E-2</v>
      </c>
      <c r="L44" s="384">
        <v>230.700000000003</v>
      </c>
      <c r="M44">
        <v>50</v>
      </c>
      <c r="N44" s="381" t="str">
        <f>HYPERLINK("http://finance.yahoo.com/q?s=" &amp; E44, "Link")</f>
        <v>Link</v>
      </c>
      <c r="O44" s="380">
        <v>3.1800000000000002E-2</v>
      </c>
      <c r="Q44" s="152"/>
      <c r="R44" s="49"/>
    </row>
    <row r="45" spans="1:20" ht="21.95" customHeight="1" x14ac:dyDescent="0.25">
      <c r="A45" s="51"/>
      <c r="B45" s="52"/>
      <c r="C45" s="52"/>
      <c r="E45" s="23" t="s">
        <v>53</v>
      </c>
      <c r="F45" s="252">
        <v>59.21</v>
      </c>
      <c r="G45" s="252">
        <v>59.21</v>
      </c>
      <c r="H45" s="340">
        <v>0</v>
      </c>
      <c r="I45" s="49">
        <v>0</v>
      </c>
      <c r="J45" s="384">
        <v>0</v>
      </c>
      <c r="K45" s="370">
        <v>0</v>
      </c>
      <c r="L45" s="384">
        <v>33.940000000000055</v>
      </c>
      <c r="M45">
        <v>0</v>
      </c>
      <c r="N45" s="381" t="str">
        <f>HYPERLINK("http://finance.yahoo.com/q?s=" &amp; E45, "Link")</f>
        <v>Link</v>
      </c>
      <c r="O45" s="380">
        <v>7.4999999999999997E-3</v>
      </c>
      <c r="Q45" s="152"/>
    </row>
    <row r="46" spans="1:20" ht="21.95" customHeight="1" x14ac:dyDescent="0.25">
      <c r="A46" s="51"/>
      <c r="B46" s="52"/>
      <c r="C46" s="52"/>
      <c r="E46" s="23"/>
      <c r="H46" s="340"/>
      <c r="J46" s="384"/>
      <c r="K46" s="370"/>
      <c r="L46" s="384"/>
      <c r="N46" s="381"/>
      <c r="O46" s="380"/>
      <c r="S46" s="49"/>
    </row>
    <row r="47" spans="1:20" ht="21.95" customHeight="1" x14ac:dyDescent="0.25">
      <c r="A47" s="159"/>
      <c r="B47" s="51"/>
      <c r="C47" s="52"/>
      <c r="E47" s="23"/>
      <c r="H47" s="340"/>
      <c r="J47" s="384"/>
      <c r="K47" s="370"/>
      <c r="L47" s="384"/>
      <c r="N47" s="381"/>
      <c r="O47" s="380"/>
      <c r="Q47" s="49"/>
    </row>
  </sheetData>
  <sortState ref="A2:U47">
    <sortCondition ref="E1"/>
  </sortState>
  <dataConsolidate/>
  <conditionalFormatting sqref="J2:K45">
    <cfRule type="expression" dxfId="688" priority="48">
      <formula>$J2&lt;0</formula>
    </cfRule>
    <cfRule type="expression" dxfId="687" priority="49">
      <formula>$J2&gt;0</formula>
    </cfRule>
  </conditionalFormatting>
  <conditionalFormatting sqref="O1:O1048576">
    <cfRule type="expression" dxfId="686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85" priority="6">
      <formula>$H2=0</formula>
    </cfRule>
  </conditionalFormatting>
  <conditionalFormatting sqref="J2:K200">
    <cfRule type="expression" dxfId="684" priority="7">
      <formula>$J2=0</formula>
    </cfRule>
  </conditionalFormatting>
  <conditionalFormatting sqref="L1:L1048576">
    <cfRule type="expression" dxfId="683" priority="5">
      <formula>$L2=0</formula>
    </cfRule>
  </conditionalFormatting>
  <conditionalFormatting sqref="L2:L45">
    <cfRule type="expression" dxfId="682" priority="3">
      <formula>$L2&lt;0</formula>
    </cfRule>
    <cfRule type="expression" dxfId="681" priority="4">
      <formula>$L2&gt;0</formula>
    </cfRule>
  </conditionalFormatting>
  <conditionalFormatting sqref="M1">
    <cfRule type="expression" dxfId="680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42587</v>
      </c>
      <c r="X2" s="10">
        <v>316.16000000000003</v>
      </c>
      <c r="Y2" s="10">
        <v>318.91000000000003</v>
      </c>
      <c r="Z2" s="10">
        <v>313.69</v>
      </c>
      <c r="AA2" s="10">
        <v>315.95999999999998</v>
      </c>
      <c r="AB2" s="95">
        <v>1358300</v>
      </c>
      <c r="AC2" s="10">
        <v>315.95999999999998</v>
      </c>
      <c r="AD2" s="2">
        <f>Y2-Z2</f>
        <v>5.2200000000000273</v>
      </c>
      <c r="AE2" s="138">
        <f>AC2/AC3-1</f>
        <v>4.4506612410986079E-3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313.64999999999998</v>
      </c>
      <c r="W3" s="133">
        <v>42586</v>
      </c>
      <c r="X3" s="10">
        <v>320.14999999999998</v>
      </c>
      <c r="Y3" s="10">
        <v>320.45</v>
      </c>
      <c r="Z3" s="10">
        <v>314.01</v>
      </c>
      <c r="AA3" s="10">
        <v>314.56</v>
      </c>
      <c r="AB3" s="95">
        <v>1997100</v>
      </c>
      <c r="AC3" s="10">
        <v>314.56</v>
      </c>
      <c r="AD3" s="2">
        <f t="shared" ref="AD3:AD66" si="0">Y3-Z3</f>
        <v>6.4399999999999977</v>
      </c>
      <c r="AE3" s="138">
        <f t="shared" ref="AE3:AE66" si="1">AC3/AC4-1</f>
        <v>-2.1099147320594924E-2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313.64999999999998</v>
      </c>
      <c r="T4" s="1"/>
      <c r="W4" s="133">
        <v>42585</v>
      </c>
      <c r="X4" s="10">
        <v>321.77</v>
      </c>
      <c r="Y4" s="10">
        <v>324.3</v>
      </c>
      <c r="Z4" s="10">
        <v>310.06</v>
      </c>
      <c r="AA4" s="10">
        <v>321.33999999999997</v>
      </c>
      <c r="AB4" s="95">
        <v>6027500</v>
      </c>
      <c r="AC4" s="10">
        <v>321.33999999999997</v>
      </c>
      <c r="AD4" s="2">
        <f t="shared" si="0"/>
        <v>14.240000000000009</v>
      </c>
      <c r="AE4" s="138">
        <f t="shared" si="1"/>
        <v>-2.6566901941777132E-2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42584</v>
      </c>
      <c r="X5" s="10">
        <v>302.88</v>
      </c>
      <c r="Y5" s="10">
        <v>333.65</v>
      </c>
      <c r="Z5" s="10">
        <v>297.66000000000003</v>
      </c>
      <c r="AA5" s="10">
        <v>330.11</v>
      </c>
      <c r="AB5" s="95">
        <v>7693200</v>
      </c>
      <c r="AC5" s="10">
        <v>330.11</v>
      </c>
      <c r="AD5" s="2">
        <f t="shared" si="0"/>
        <v>35.989999999999952</v>
      </c>
      <c r="AE5" s="138">
        <f t="shared" si="1"/>
        <v>9.3695126395653361E-2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42583</v>
      </c>
      <c r="X6" s="10">
        <v>300</v>
      </c>
      <c r="Y6" s="10">
        <v>307.5</v>
      </c>
      <c r="Z6" s="10">
        <v>299.06</v>
      </c>
      <c r="AA6" s="10">
        <v>301.83</v>
      </c>
      <c r="AB6" s="95">
        <v>3546800</v>
      </c>
      <c r="AC6" s="10">
        <v>301.83</v>
      </c>
      <c r="AD6" s="2">
        <f t="shared" si="0"/>
        <v>8.4399999999999977</v>
      </c>
      <c r="AE6" s="138">
        <f t="shared" si="1"/>
        <v>4.1044390025178457E-2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1659.3600000000079</v>
      </c>
      <c r="R7">
        <v>0</v>
      </c>
      <c r="W7" s="133">
        <v>42580</v>
      </c>
      <c r="X7" s="10">
        <v>288.85000000000002</v>
      </c>
      <c r="Y7" s="10">
        <v>290.45999999999998</v>
      </c>
      <c r="Z7" s="10">
        <v>286.8</v>
      </c>
      <c r="AA7" s="10">
        <v>289.93</v>
      </c>
      <c r="AB7" s="95">
        <v>1295800</v>
      </c>
      <c r="AC7" s="10">
        <v>289.93</v>
      </c>
      <c r="AD7" s="2">
        <f t="shared" si="0"/>
        <v>3.6599999999999682</v>
      </c>
      <c r="AE7" s="138">
        <f t="shared" si="1"/>
        <v>3.1138636127738817E-3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42579</v>
      </c>
      <c r="X8" s="10">
        <v>288.61</v>
      </c>
      <c r="Y8" s="10">
        <v>289.98</v>
      </c>
      <c r="Z8" s="10">
        <v>285.07</v>
      </c>
      <c r="AA8" s="10">
        <v>289.02999999999997</v>
      </c>
      <c r="AB8" s="95">
        <v>1452900</v>
      </c>
      <c r="AC8" s="10">
        <v>289.02999999999997</v>
      </c>
      <c r="AD8" s="2">
        <f t="shared" si="0"/>
        <v>4.910000000000025</v>
      </c>
      <c r="AE8" s="138">
        <f t="shared" si="1"/>
        <v>2.3582451881392075E-3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231</v>
      </c>
      <c r="Q9" s="138">
        <f>IF(Q2=0, 0, Q8/Q6)</f>
        <v>0</v>
      </c>
      <c r="T9" s="158"/>
      <c r="W9" s="133">
        <v>42578</v>
      </c>
      <c r="X9" s="10">
        <v>286.83</v>
      </c>
      <c r="Y9" s="10">
        <v>288.77</v>
      </c>
      <c r="Z9" s="10">
        <v>286.08</v>
      </c>
      <c r="AA9" s="10">
        <v>288.35000000000002</v>
      </c>
      <c r="AB9" s="95">
        <v>1452600</v>
      </c>
      <c r="AC9" s="10">
        <v>288.35000000000002</v>
      </c>
      <c r="AD9" s="2">
        <f t="shared" si="0"/>
        <v>2.6899999999999977</v>
      </c>
      <c r="AE9" s="138">
        <f t="shared" si="1"/>
        <v>4.5638238573020296E-3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230</v>
      </c>
      <c r="P10" s="34"/>
      <c r="Q10" s="2">
        <f>M39</f>
        <v>1659.3600000000079</v>
      </c>
      <c r="W10" s="133">
        <v>42577</v>
      </c>
      <c r="X10" s="10">
        <v>286</v>
      </c>
      <c r="Y10" s="10">
        <v>289.95</v>
      </c>
      <c r="Z10" s="10">
        <v>285.47000000000003</v>
      </c>
      <c r="AA10" s="10">
        <v>287.04000000000002</v>
      </c>
      <c r="AB10" s="95">
        <v>1983900</v>
      </c>
      <c r="AC10" s="10">
        <v>287.04000000000002</v>
      </c>
      <c r="AD10" s="2">
        <f t="shared" si="0"/>
        <v>4.4799999999999613</v>
      </c>
      <c r="AE10" s="138">
        <f t="shared" si="1"/>
        <v>-1.0788237341221585E-3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42576</v>
      </c>
      <c r="X11" s="10">
        <v>287.83999999999997</v>
      </c>
      <c r="Y11" s="10">
        <v>290.58</v>
      </c>
      <c r="Z11" s="10">
        <v>285.02</v>
      </c>
      <c r="AA11" s="10">
        <v>287.35000000000002</v>
      </c>
      <c r="AB11" s="95">
        <v>1972800</v>
      </c>
      <c r="AC11" s="10">
        <v>287.35000000000002</v>
      </c>
      <c r="AD11" s="2">
        <f t="shared" si="0"/>
        <v>5.5600000000000023</v>
      </c>
      <c r="AE11" s="138">
        <f t="shared" si="1"/>
        <v>-1.4941969560079427E-3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42573</v>
      </c>
      <c r="X12" s="10">
        <v>282.08999999999997</v>
      </c>
      <c r="Y12" s="10">
        <v>290.92</v>
      </c>
      <c r="Z12" s="10">
        <v>281.38</v>
      </c>
      <c r="AA12" s="10">
        <v>287.77999999999997</v>
      </c>
      <c r="AB12" s="95">
        <v>3371900</v>
      </c>
      <c r="AC12" s="10">
        <v>287.77999999999997</v>
      </c>
      <c r="AD12" s="2">
        <f t="shared" si="0"/>
        <v>9.5400000000000205</v>
      </c>
      <c r="AE12" s="138">
        <f t="shared" si="1"/>
        <v>1.8870596565763842E-2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42572</v>
      </c>
      <c r="X13" s="10">
        <v>279.76</v>
      </c>
      <c r="Y13" s="10">
        <v>282.54000000000002</v>
      </c>
      <c r="Z13" s="10">
        <v>274.23</v>
      </c>
      <c r="AA13" s="10">
        <v>282.45</v>
      </c>
      <c r="AB13" s="95">
        <v>5506500</v>
      </c>
      <c r="AC13" s="10">
        <v>282.45</v>
      </c>
      <c r="AD13" s="2">
        <f t="shared" si="0"/>
        <v>8.3100000000000023</v>
      </c>
      <c r="AE13" s="138">
        <f t="shared" si="1"/>
        <v>7.6369040813993205E-2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42571</v>
      </c>
      <c r="X14" s="10">
        <v>259.87</v>
      </c>
      <c r="Y14" s="10">
        <v>263.16000000000003</v>
      </c>
      <c r="Z14" s="10">
        <v>257.57</v>
      </c>
      <c r="AA14" s="10">
        <v>262.41000000000003</v>
      </c>
      <c r="AB14" s="95">
        <v>1830200</v>
      </c>
      <c r="AC14" s="10">
        <v>262.41000000000003</v>
      </c>
      <c r="AD14" s="2">
        <f t="shared" si="0"/>
        <v>5.5900000000000318</v>
      </c>
      <c r="AE14" s="138">
        <f t="shared" si="1"/>
        <v>9.9684396890156179E-3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42570</v>
      </c>
      <c r="X15" s="10">
        <v>260.94</v>
      </c>
      <c r="Y15" s="10">
        <v>262.49</v>
      </c>
      <c r="Z15" s="10">
        <v>258.16000000000003</v>
      </c>
      <c r="AA15" s="10">
        <v>259.82</v>
      </c>
      <c r="AB15" s="95">
        <v>1094500</v>
      </c>
      <c r="AC15" s="10">
        <v>259.82</v>
      </c>
      <c r="AD15" s="2">
        <f t="shared" si="0"/>
        <v>4.3299999999999841</v>
      </c>
      <c r="AE15" s="138">
        <f t="shared" si="1"/>
        <v>-6.4244741873805689E-3</v>
      </c>
    </row>
    <row r="16" spans="1:40" x14ac:dyDescent="0.25">
      <c r="G16" s="1"/>
      <c r="W16" s="133">
        <v>42569</v>
      </c>
      <c r="X16" s="10">
        <v>260.04000000000002</v>
      </c>
      <c r="Y16" s="10">
        <v>262.8</v>
      </c>
      <c r="Z16" s="10">
        <v>257.47000000000003</v>
      </c>
      <c r="AA16" s="10">
        <v>261.5</v>
      </c>
      <c r="AB16" s="95">
        <v>2133000</v>
      </c>
      <c r="AC16" s="10">
        <v>261.5</v>
      </c>
      <c r="AD16" s="2">
        <f t="shared" si="0"/>
        <v>5.3299999999999841</v>
      </c>
      <c r="AE16" s="138">
        <f t="shared" si="1"/>
        <v>4.6100653092584487E-3</v>
      </c>
    </row>
    <row r="17" spans="1:31" x14ac:dyDescent="0.25">
      <c r="G17" s="1"/>
      <c r="W17" s="133">
        <v>42566</v>
      </c>
      <c r="X17" s="10">
        <v>254.12</v>
      </c>
      <c r="Y17" s="10">
        <v>260.45</v>
      </c>
      <c r="Z17" s="10">
        <v>253.81</v>
      </c>
      <c r="AA17" s="10">
        <v>260.3</v>
      </c>
      <c r="AB17" s="95">
        <v>2404900</v>
      </c>
      <c r="AC17" s="10">
        <v>260.3</v>
      </c>
      <c r="AD17" s="2">
        <f t="shared" si="0"/>
        <v>6.6399999999999864</v>
      </c>
      <c r="AE17" s="138">
        <f t="shared" si="1"/>
        <v>2.9382686756040721E-2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42565</v>
      </c>
      <c r="X18" s="10">
        <v>253.3</v>
      </c>
      <c r="Y18" s="10">
        <v>253.8</v>
      </c>
      <c r="Z18" s="10">
        <v>250.02</v>
      </c>
      <c r="AA18" s="10">
        <v>252.87</v>
      </c>
      <c r="AB18" s="95">
        <v>1295400</v>
      </c>
      <c r="AC18" s="10">
        <v>252.87</v>
      </c>
      <c r="AD18" s="2">
        <f t="shared" si="0"/>
        <v>3.7800000000000011</v>
      </c>
      <c r="AE18" s="138">
        <f t="shared" si="1"/>
        <v>6.6881643377523226E-3</v>
      </c>
    </row>
    <row r="19" spans="1:31" x14ac:dyDescent="0.25">
      <c r="N19" s="2"/>
      <c r="W19" s="133">
        <v>42564</v>
      </c>
      <c r="X19" s="10">
        <v>254.24</v>
      </c>
      <c r="Y19" s="10">
        <v>254.27</v>
      </c>
      <c r="Z19" s="10">
        <v>250.82</v>
      </c>
      <c r="AA19" s="10">
        <v>251.19</v>
      </c>
      <c r="AB19" s="95">
        <v>1285400</v>
      </c>
      <c r="AC19" s="10">
        <v>251.19</v>
      </c>
      <c r="AD19" s="2">
        <f t="shared" si="0"/>
        <v>3.4500000000000171</v>
      </c>
      <c r="AE19" s="138">
        <f t="shared" si="1"/>
        <v>-8.5648879065362005E-3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42563</v>
      </c>
      <c r="X20" s="10">
        <v>253.78</v>
      </c>
      <c r="Y20" s="10">
        <v>254.85</v>
      </c>
      <c r="Z20" s="10">
        <v>251.29</v>
      </c>
      <c r="AA20" s="10">
        <v>253.36</v>
      </c>
      <c r="AB20" s="95">
        <v>1175100</v>
      </c>
      <c r="AC20" s="10">
        <v>253.36</v>
      </c>
      <c r="AD20" s="2">
        <f t="shared" si="0"/>
        <v>3.5600000000000023</v>
      </c>
      <c r="AE20" s="138">
        <f t="shared" si="1"/>
        <v>3.2470103745942946E-3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42562</v>
      </c>
      <c r="X21" s="10">
        <v>253.25</v>
      </c>
      <c r="Y21" s="10">
        <v>255.1</v>
      </c>
      <c r="Z21" s="10">
        <v>251.12</v>
      </c>
      <c r="AA21" s="10">
        <v>252.54</v>
      </c>
      <c r="AB21" s="95">
        <v>1746600</v>
      </c>
      <c r="AC21" s="10">
        <v>252.54</v>
      </c>
      <c r="AD21" s="2">
        <f t="shared" si="0"/>
        <v>3.9799999999999898</v>
      </c>
      <c r="AE21" s="138">
        <f t="shared" si="1"/>
        <v>4.934341424592148E-3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42559</v>
      </c>
      <c r="X22" s="10">
        <v>248.63</v>
      </c>
      <c r="Y22" s="10">
        <v>251.78</v>
      </c>
      <c r="Z22" s="10">
        <v>246.11</v>
      </c>
      <c r="AA22" s="10">
        <v>251.3</v>
      </c>
      <c r="AB22" s="95">
        <v>1295600</v>
      </c>
      <c r="AC22" s="10">
        <v>251.3</v>
      </c>
      <c r="AD22" s="2">
        <f t="shared" si="0"/>
        <v>5.6699999999999875</v>
      </c>
      <c r="AE22" s="138">
        <f t="shared" si="1"/>
        <v>1.6297973874711769E-2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42558</v>
      </c>
      <c r="X23" s="10">
        <v>247.24</v>
      </c>
      <c r="Y23" s="10">
        <v>249.66</v>
      </c>
      <c r="Z23" s="10">
        <v>245.22</v>
      </c>
      <c r="AA23" s="10">
        <v>247.27</v>
      </c>
      <c r="AB23" s="95">
        <v>1140400</v>
      </c>
      <c r="AC23" s="10">
        <v>247.27</v>
      </c>
      <c r="AD23" s="2">
        <f t="shared" si="0"/>
        <v>4.4399999999999977</v>
      </c>
      <c r="AE23" s="138">
        <f t="shared" si="1"/>
        <v>-8.4855341845802013E-4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42557</v>
      </c>
      <c r="X24" s="10">
        <v>241.64</v>
      </c>
      <c r="Y24" s="10">
        <v>247.89</v>
      </c>
      <c r="Z24" s="10">
        <v>240.71</v>
      </c>
      <c r="AA24" s="10">
        <v>247.48</v>
      </c>
      <c r="AB24" s="95">
        <v>1750900</v>
      </c>
      <c r="AC24" s="10">
        <v>247.48</v>
      </c>
      <c r="AD24" s="2">
        <f t="shared" si="0"/>
        <v>7.1799999999999784</v>
      </c>
      <c r="AE24" s="138">
        <f t="shared" si="1"/>
        <v>2.251786968557612E-2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42556</v>
      </c>
      <c r="X25" s="10">
        <v>244.62</v>
      </c>
      <c r="Y25" s="10">
        <v>244.8</v>
      </c>
      <c r="Z25" s="10">
        <v>240.07</v>
      </c>
      <c r="AA25" s="10">
        <v>242.03</v>
      </c>
      <c r="AB25" s="95">
        <v>1239300</v>
      </c>
      <c r="AC25" s="10">
        <v>242.03</v>
      </c>
      <c r="AD25" s="2">
        <f t="shared" si="0"/>
        <v>4.7300000000000182</v>
      </c>
      <c r="AE25" s="138">
        <f t="shared" si="1"/>
        <v>-1.2364318942299835E-2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42552</v>
      </c>
      <c r="X26" s="10">
        <v>242.57</v>
      </c>
      <c r="Y26" s="10">
        <v>246.55</v>
      </c>
      <c r="Z26" s="10">
        <v>241.59</v>
      </c>
      <c r="AA26" s="10">
        <v>245.06</v>
      </c>
      <c r="AB26" s="95">
        <v>1465500</v>
      </c>
      <c r="AC26" s="10">
        <v>245.06</v>
      </c>
      <c r="AD26" s="2">
        <f t="shared" si="0"/>
        <v>4.960000000000008</v>
      </c>
      <c r="AE26" s="138">
        <f t="shared" si="1"/>
        <v>1.3398395500785698E-2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42551</v>
      </c>
      <c r="X27" s="10">
        <v>239.31</v>
      </c>
      <c r="Y27" s="10">
        <v>241.9</v>
      </c>
      <c r="Z27" s="10">
        <v>236.67</v>
      </c>
      <c r="AA27" s="10">
        <v>241.82</v>
      </c>
      <c r="AB27" s="95">
        <v>2093200</v>
      </c>
      <c r="AC27" s="10">
        <v>241.82</v>
      </c>
      <c r="AD27" s="2">
        <f t="shared" si="0"/>
        <v>5.2300000000000182</v>
      </c>
      <c r="AE27" s="138">
        <f t="shared" si="1"/>
        <v>1.2180318948558089E-2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42550</v>
      </c>
      <c r="X28" s="10">
        <v>232.87</v>
      </c>
      <c r="Y28" s="10">
        <v>239.85</v>
      </c>
      <c r="Z28" s="10">
        <v>232</v>
      </c>
      <c r="AA28" s="10">
        <v>238.91</v>
      </c>
      <c r="AB28" s="95">
        <v>2881200</v>
      </c>
      <c r="AC28" s="10">
        <v>238.91</v>
      </c>
      <c r="AD28" s="2">
        <f t="shared" si="0"/>
        <v>7.8499999999999943</v>
      </c>
      <c r="AE28" s="138">
        <f t="shared" si="1"/>
        <v>4.5466479957990469E-2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42549</v>
      </c>
      <c r="X29" s="10">
        <v>225.68</v>
      </c>
      <c r="Y29" s="10">
        <v>229.75</v>
      </c>
      <c r="Z29" s="10">
        <v>225.68</v>
      </c>
      <c r="AA29" s="10">
        <v>228.52</v>
      </c>
      <c r="AB29" s="95">
        <v>2115700</v>
      </c>
      <c r="AC29" s="10">
        <v>228.52</v>
      </c>
      <c r="AD29" s="2">
        <f t="shared" si="0"/>
        <v>4.0699999999999932</v>
      </c>
      <c r="AE29" s="138">
        <f t="shared" si="1"/>
        <v>1.7453250222618122E-2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42548</v>
      </c>
      <c r="X30" s="10">
        <v>227</v>
      </c>
      <c r="Y30" s="10">
        <v>229.54</v>
      </c>
      <c r="Z30" s="10">
        <v>223.02</v>
      </c>
      <c r="AA30" s="10">
        <v>224.6</v>
      </c>
      <c r="AB30" s="95">
        <v>2913900</v>
      </c>
      <c r="AC30" s="10">
        <v>224.6</v>
      </c>
      <c r="AD30" s="2">
        <f t="shared" si="0"/>
        <v>6.5199999999999818</v>
      </c>
      <c r="AE30" s="138">
        <f t="shared" si="1"/>
        <v>-1.9299624486944444E-2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42545</v>
      </c>
      <c r="X31" s="10">
        <v>232</v>
      </c>
      <c r="Y31" s="10">
        <v>235.3</v>
      </c>
      <c r="Z31" s="10">
        <v>229</v>
      </c>
      <c r="AA31" s="10">
        <v>229.02</v>
      </c>
      <c r="AB31" s="95">
        <v>2685000</v>
      </c>
      <c r="AC31" s="10">
        <v>229.02</v>
      </c>
      <c r="AD31" s="2">
        <f t="shared" si="0"/>
        <v>6.3000000000000114</v>
      </c>
      <c r="AE31" s="138">
        <f t="shared" si="1"/>
        <v>-4.0231330148353006E-2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42544</v>
      </c>
      <c r="X32" s="10">
        <v>237.18</v>
      </c>
      <c r="Y32" s="10">
        <v>238.79</v>
      </c>
      <c r="Z32" s="10">
        <v>235.76</v>
      </c>
      <c r="AA32" s="10">
        <v>238.62</v>
      </c>
      <c r="AB32" s="95">
        <v>1403000</v>
      </c>
      <c r="AC32" s="10">
        <v>238.62</v>
      </c>
      <c r="AD32" s="2">
        <f t="shared" si="0"/>
        <v>3.0300000000000011</v>
      </c>
      <c r="AE32" s="138">
        <f t="shared" si="1"/>
        <v>1.7135549872122846E-2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42543</v>
      </c>
      <c r="X33" s="10">
        <v>233.66</v>
      </c>
      <c r="Y33" s="10">
        <v>238.48</v>
      </c>
      <c r="Z33" s="10">
        <v>232.16</v>
      </c>
      <c r="AA33" s="10">
        <v>234.6</v>
      </c>
      <c r="AB33" s="95">
        <v>2622400</v>
      </c>
      <c r="AC33" s="10">
        <v>234.6</v>
      </c>
      <c r="AD33" s="2">
        <f t="shared" si="0"/>
        <v>6.3199999999999932</v>
      </c>
      <c r="AE33" s="138">
        <f t="shared" si="1"/>
        <v>6.8669527896996208E-3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42542</v>
      </c>
      <c r="X34" s="10">
        <v>238</v>
      </c>
      <c r="Y34" s="10">
        <v>238.99</v>
      </c>
      <c r="Z34" s="10">
        <v>232.99</v>
      </c>
      <c r="AA34" s="10">
        <v>233</v>
      </c>
      <c r="AB34" s="95">
        <v>1955900</v>
      </c>
      <c r="AC34" s="10">
        <v>233</v>
      </c>
      <c r="AD34" s="2">
        <f t="shared" si="0"/>
        <v>6</v>
      </c>
      <c r="AE34" s="138">
        <f t="shared" si="1"/>
        <v>-1.8492775601331113E-2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42541</v>
      </c>
      <c r="X35" s="10">
        <v>241</v>
      </c>
      <c r="Y35" s="10">
        <v>242.5</v>
      </c>
      <c r="Z35" s="10">
        <v>237.17</v>
      </c>
      <c r="AA35" s="10">
        <v>237.39</v>
      </c>
      <c r="AB35" s="95">
        <v>1401100</v>
      </c>
      <c r="AC35" s="10">
        <v>237.39</v>
      </c>
      <c r="AD35" s="2">
        <f t="shared" si="0"/>
        <v>5.3300000000000125</v>
      </c>
      <c r="AE35" s="138">
        <f t="shared" si="1"/>
        <v>-3.4423407917384408E-3</v>
      </c>
    </row>
    <row r="36" spans="1:31" x14ac:dyDescent="0.25">
      <c r="W36" s="133">
        <v>42538</v>
      </c>
      <c r="X36" s="10">
        <v>242.27</v>
      </c>
      <c r="Y36" s="10">
        <v>242.27</v>
      </c>
      <c r="Z36" s="10">
        <v>238.2</v>
      </c>
      <c r="AA36" s="10">
        <v>238.21</v>
      </c>
      <c r="AB36" s="95">
        <v>2219500</v>
      </c>
      <c r="AC36" s="10">
        <v>238.21</v>
      </c>
      <c r="AD36" s="2">
        <f t="shared" si="0"/>
        <v>4.0700000000000216</v>
      </c>
      <c r="AE36" s="138">
        <f t="shared" si="1"/>
        <v>-1.6433378752219285E-2</v>
      </c>
    </row>
    <row r="37" spans="1:31" x14ac:dyDescent="0.25">
      <c r="W37" s="133">
        <v>42537</v>
      </c>
      <c r="X37" s="10">
        <v>236.91</v>
      </c>
      <c r="Y37" s="10">
        <v>243.34</v>
      </c>
      <c r="Z37" s="10">
        <v>236.54</v>
      </c>
      <c r="AA37" s="10">
        <v>242.19</v>
      </c>
      <c r="AB37" s="95">
        <v>1995500</v>
      </c>
      <c r="AC37" s="10">
        <v>242.19</v>
      </c>
      <c r="AD37" s="2">
        <f t="shared" si="0"/>
        <v>6.8000000000000114</v>
      </c>
      <c r="AE37" s="138">
        <f t="shared" si="1"/>
        <v>1.3729019295969147E-2</v>
      </c>
    </row>
    <row r="38" spans="1:31" x14ac:dyDescent="0.25">
      <c r="W38" s="133">
        <v>42536</v>
      </c>
      <c r="X38" s="10">
        <v>242.38</v>
      </c>
      <c r="Y38" s="10">
        <v>242.99</v>
      </c>
      <c r="Z38" s="10">
        <v>238.59</v>
      </c>
      <c r="AA38" s="10">
        <v>238.91</v>
      </c>
      <c r="AB38" s="95">
        <v>2101600</v>
      </c>
      <c r="AC38" s="10">
        <v>238.91</v>
      </c>
      <c r="AD38" s="2">
        <f t="shared" si="0"/>
        <v>4.4000000000000057</v>
      </c>
      <c r="AE38" s="138">
        <f t="shared" si="1"/>
        <v>-1.1543235415804709E-2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42535</v>
      </c>
      <c r="X39" s="10">
        <v>243.35</v>
      </c>
      <c r="Y39" s="10">
        <v>245.01</v>
      </c>
      <c r="Z39" s="10">
        <v>240.16</v>
      </c>
      <c r="AA39" s="10">
        <v>241.7</v>
      </c>
      <c r="AB39" s="95">
        <v>1696700</v>
      </c>
      <c r="AC39" s="10">
        <v>241.7</v>
      </c>
      <c r="AD39" s="2">
        <f t="shared" si="0"/>
        <v>4.8499999999999943</v>
      </c>
      <c r="AE39" s="138">
        <f t="shared" si="1"/>
        <v>-1.0845099242889344E-2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42534</v>
      </c>
      <c r="X40" s="10">
        <v>245.76</v>
      </c>
      <c r="Y40" s="10">
        <v>248.4</v>
      </c>
      <c r="Z40" s="10">
        <v>244.04</v>
      </c>
      <c r="AA40" s="10">
        <v>244.35</v>
      </c>
      <c r="AB40" s="95">
        <v>1628200</v>
      </c>
      <c r="AC40" s="10">
        <v>244.35</v>
      </c>
      <c r="AD40" s="2">
        <f t="shared" si="0"/>
        <v>4.3600000000000136</v>
      </c>
      <c r="AE40" s="138">
        <f t="shared" si="1"/>
        <v>-7.2319505952138652E-3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42531</v>
      </c>
      <c r="X41" s="10">
        <v>248.15</v>
      </c>
      <c r="Y41" s="10">
        <v>249.04</v>
      </c>
      <c r="Z41" s="10">
        <v>244.02</v>
      </c>
      <c r="AA41" s="10">
        <v>246.13</v>
      </c>
      <c r="AB41" s="95">
        <v>2455300</v>
      </c>
      <c r="AC41" s="10">
        <v>246.13</v>
      </c>
      <c r="AD41" s="2">
        <f t="shared" si="0"/>
        <v>5.0199999999999818</v>
      </c>
      <c r="AE41" s="138">
        <f t="shared" si="1"/>
        <v>-1.7288189730895187E-2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525" t="s">
        <v>78</v>
      </c>
      <c r="P42" s="525"/>
      <c r="T42" s="112" t="s">
        <v>113</v>
      </c>
      <c r="U42" s="4"/>
      <c r="W42" s="133">
        <v>42530</v>
      </c>
      <c r="X42" s="10">
        <v>253.14</v>
      </c>
      <c r="Y42" s="10">
        <v>256.19</v>
      </c>
      <c r="Z42" s="10">
        <v>249.57</v>
      </c>
      <c r="AA42" s="10">
        <v>250.46</v>
      </c>
      <c r="AB42" s="95">
        <v>2860200</v>
      </c>
      <c r="AC42" s="10">
        <v>250.46</v>
      </c>
      <c r="AD42" s="2">
        <f t="shared" si="0"/>
        <v>6.6200000000000045</v>
      </c>
      <c r="AE42" s="138">
        <f t="shared" si="1"/>
        <v>-1.4596529881575226E-2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345.01499999999999</v>
      </c>
      <c r="Q43" s="2"/>
      <c r="T43" s="186" t="s">
        <v>98</v>
      </c>
      <c r="U43" s="186">
        <v>314.56</v>
      </c>
      <c r="W43" s="133">
        <v>42529</v>
      </c>
      <c r="X43" s="10">
        <v>255.03</v>
      </c>
      <c r="Y43" s="10">
        <v>256.79000000000002</v>
      </c>
      <c r="Z43" s="10">
        <v>251.41</v>
      </c>
      <c r="AA43" s="10">
        <v>254.17</v>
      </c>
      <c r="AB43" s="95">
        <v>3610400</v>
      </c>
      <c r="AC43" s="10">
        <v>254.17</v>
      </c>
      <c r="AD43" s="2">
        <f t="shared" si="0"/>
        <v>5.3800000000000239</v>
      </c>
      <c r="AE43" s="138">
        <f t="shared" si="1"/>
        <v>5.1807324211023964E-3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341.87849999999997</v>
      </c>
      <c r="Q44" s="2"/>
      <c r="T44" s="186" t="s">
        <v>99</v>
      </c>
      <c r="U44" s="186">
        <v>316.16000000000003</v>
      </c>
      <c r="W44" s="133">
        <v>42528</v>
      </c>
      <c r="X44" s="10">
        <v>264.45</v>
      </c>
      <c r="Y44" s="10">
        <v>264.73</v>
      </c>
      <c r="Z44" s="10">
        <v>250.87</v>
      </c>
      <c r="AA44" s="10">
        <v>252.86</v>
      </c>
      <c r="AB44" s="95">
        <v>8876400</v>
      </c>
      <c r="AC44" s="10">
        <v>252.86</v>
      </c>
      <c r="AD44" s="2">
        <f t="shared" si="0"/>
        <v>13.860000000000014</v>
      </c>
      <c r="AE44" s="138">
        <f t="shared" si="1"/>
        <v>-0.12758763455699684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338.74200000000002</v>
      </c>
      <c r="Q45" s="2"/>
      <c r="T45" s="186" t="s">
        <v>100</v>
      </c>
      <c r="U45" s="186" t="s">
        <v>372</v>
      </c>
      <c r="W45" s="133">
        <v>42527</v>
      </c>
      <c r="X45" s="10">
        <v>290</v>
      </c>
      <c r="Y45" s="10">
        <v>290.74</v>
      </c>
      <c r="Z45" s="10">
        <v>285.20999999999998</v>
      </c>
      <c r="AA45" s="10">
        <v>289.83999999999997</v>
      </c>
      <c r="AB45" s="95">
        <v>1618700</v>
      </c>
      <c r="AC45" s="10">
        <v>289.83999999999997</v>
      </c>
      <c r="AD45" s="2">
        <f t="shared" si="0"/>
        <v>5.5300000000000296</v>
      </c>
      <c r="AE45" s="138">
        <f t="shared" si="1"/>
        <v>-1.3437618440548249E-3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335.60550000000001</v>
      </c>
      <c r="Q46" s="2"/>
      <c r="T46" s="186" t="s">
        <v>101</v>
      </c>
      <c r="U46" s="186" t="s">
        <v>373</v>
      </c>
      <c r="W46" s="133">
        <v>42524</v>
      </c>
      <c r="X46" s="10">
        <v>289.51</v>
      </c>
      <c r="Y46" s="10">
        <v>292.69</v>
      </c>
      <c r="Z46" s="10">
        <v>283.79000000000002</v>
      </c>
      <c r="AA46" s="10">
        <v>290.23</v>
      </c>
      <c r="AB46" s="95">
        <v>1473000</v>
      </c>
      <c r="AC46" s="10">
        <v>290.23</v>
      </c>
      <c r="AD46" s="2">
        <f t="shared" si="0"/>
        <v>8.8999999999999773</v>
      </c>
      <c r="AE46" s="138">
        <f t="shared" si="1"/>
        <v>1.7257446588203607E-3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332.46899999999999</v>
      </c>
      <c r="Q47" s="2"/>
      <c r="T47" s="186" t="s">
        <v>102</v>
      </c>
      <c r="U47" s="186">
        <v>333.6</v>
      </c>
      <c r="W47" s="133">
        <v>42523</v>
      </c>
      <c r="X47" s="10">
        <v>286.88</v>
      </c>
      <c r="Y47" s="10">
        <v>289.91000000000003</v>
      </c>
      <c r="Z47" s="10">
        <v>286.56</v>
      </c>
      <c r="AA47" s="10">
        <v>289.73</v>
      </c>
      <c r="AB47" s="95">
        <v>1128200</v>
      </c>
      <c r="AC47" s="10">
        <v>289.73</v>
      </c>
      <c r="AD47" s="2">
        <f t="shared" si="0"/>
        <v>3.3500000000000227</v>
      </c>
      <c r="AE47" s="138">
        <f t="shared" si="1"/>
        <v>1.0145736001673678E-2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329.33249999999998</v>
      </c>
      <c r="Q48" s="2"/>
      <c r="T48" s="186" t="s">
        <v>103</v>
      </c>
      <c r="U48" s="186">
        <v>0.43302800000000002</v>
      </c>
      <c r="W48" s="133">
        <v>42522</v>
      </c>
      <c r="X48" s="10">
        <v>287.97000000000003</v>
      </c>
      <c r="Y48" s="10">
        <v>289.95</v>
      </c>
      <c r="Z48" s="10">
        <v>286.14</v>
      </c>
      <c r="AA48" s="10">
        <v>286.82</v>
      </c>
      <c r="AB48" s="95">
        <v>1418400</v>
      </c>
      <c r="AC48" s="10">
        <v>286.82</v>
      </c>
      <c r="AD48" s="2">
        <f t="shared" si="0"/>
        <v>3.8100000000000023</v>
      </c>
      <c r="AE48" s="138">
        <f t="shared" si="1"/>
        <v>-1.0043833914334166E-2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326.19599999999997</v>
      </c>
      <c r="Q49" s="2"/>
      <c r="T49" s="186" t="s">
        <v>123</v>
      </c>
      <c r="U49" s="186" t="s">
        <v>335</v>
      </c>
      <c r="W49" s="133">
        <v>42521</v>
      </c>
      <c r="X49" s="10">
        <v>285</v>
      </c>
      <c r="Y49" s="10">
        <v>291.63</v>
      </c>
      <c r="Z49" s="10">
        <v>284.66000000000003</v>
      </c>
      <c r="AA49" s="10">
        <v>289.73</v>
      </c>
      <c r="AB49" s="95">
        <v>2146500</v>
      </c>
      <c r="AC49" s="10">
        <v>289.73</v>
      </c>
      <c r="AD49" s="2">
        <f t="shared" si="0"/>
        <v>6.9699999999999704</v>
      </c>
      <c r="AE49" s="138">
        <f t="shared" si="1"/>
        <v>2.4541178966724475E-2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323.05949999999996</v>
      </c>
      <c r="Q50" s="2"/>
      <c r="T50" s="186"/>
      <c r="U50" s="186"/>
      <c r="W50" s="133">
        <v>42517</v>
      </c>
      <c r="X50" s="10">
        <v>282</v>
      </c>
      <c r="Y50" s="10">
        <v>284.25</v>
      </c>
      <c r="Z50" s="10">
        <v>280.61</v>
      </c>
      <c r="AA50" s="10">
        <v>282.79000000000002</v>
      </c>
      <c r="AB50" s="95">
        <v>1262400</v>
      </c>
      <c r="AC50" s="10">
        <v>282.79000000000002</v>
      </c>
      <c r="AD50" s="2">
        <f t="shared" si="0"/>
        <v>3.6399999999999864</v>
      </c>
      <c r="AE50" s="138">
        <f t="shared" si="1"/>
        <v>2.8014184397164854E-3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319.923</v>
      </c>
      <c r="Q51" s="2"/>
      <c r="T51" s="186" t="s">
        <v>105</v>
      </c>
      <c r="U51" s="186" t="s">
        <v>374</v>
      </c>
      <c r="W51" s="133">
        <v>42516</v>
      </c>
      <c r="X51" s="10">
        <v>279.52999999999997</v>
      </c>
      <c r="Y51" s="10">
        <v>284.27999999999997</v>
      </c>
      <c r="Z51" s="10">
        <v>279.08999999999997</v>
      </c>
      <c r="AA51" s="10">
        <v>282</v>
      </c>
      <c r="AB51" s="95">
        <v>1829400</v>
      </c>
      <c r="AC51" s="10">
        <v>282</v>
      </c>
      <c r="AD51" s="2">
        <f t="shared" si="0"/>
        <v>5.1899999999999977</v>
      </c>
      <c r="AE51" s="138">
        <f t="shared" si="1"/>
        <v>8.2230961744726994E-3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316.78649999999999</v>
      </c>
      <c r="Q52" s="2"/>
      <c r="T52" s="186" t="s">
        <v>106</v>
      </c>
      <c r="U52" s="186" t="s">
        <v>375</v>
      </c>
      <c r="W52" s="133">
        <v>42515</v>
      </c>
      <c r="X52" s="10">
        <v>273.73</v>
      </c>
      <c r="Y52" s="10">
        <v>280.07</v>
      </c>
      <c r="Z52" s="10">
        <v>273.51</v>
      </c>
      <c r="AA52" s="10">
        <v>279.7</v>
      </c>
      <c r="AB52" s="95">
        <v>1796300</v>
      </c>
      <c r="AC52" s="10">
        <v>279.7</v>
      </c>
      <c r="AD52" s="2">
        <f t="shared" si="0"/>
        <v>6.5600000000000023</v>
      </c>
      <c r="AE52" s="138">
        <f t="shared" si="1"/>
        <v>2.4767348135121159E-2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313.64999999999998</v>
      </c>
      <c r="Q53" s="2"/>
      <c r="T53" s="186" t="s">
        <v>107</v>
      </c>
      <c r="U53" s="187">
        <v>1358794</v>
      </c>
      <c r="W53" s="133">
        <v>42514</v>
      </c>
      <c r="X53" s="10">
        <v>266.33</v>
      </c>
      <c r="Y53" s="10">
        <v>273.42</v>
      </c>
      <c r="Z53" s="10">
        <v>263.94</v>
      </c>
      <c r="AA53" s="10">
        <v>272.94</v>
      </c>
      <c r="AB53" s="95">
        <v>1560900</v>
      </c>
      <c r="AC53" s="10">
        <v>272.94</v>
      </c>
      <c r="AD53" s="2">
        <f t="shared" si="0"/>
        <v>9.4800000000000182</v>
      </c>
      <c r="AE53" s="138">
        <f t="shared" si="1"/>
        <v>3.0545591844440168E-2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310.51349999999996</v>
      </c>
      <c r="Q54" s="2"/>
      <c r="T54" s="186" t="s">
        <v>110</v>
      </c>
      <c r="U54" s="187">
        <v>2084960</v>
      </c>
      <c r="W54" s="133">
        <v>42513</v>
      </c>
      <c r="X54" s="10">
        <v>263.77</v>
      </c>
      <c r="Y54" s="10">
        <v>267.18</v>
      </c>
      <c r="Z54" s="10">
        <v>263.14999999999998</v>
      </c>
      <c r="AA54" s="10">
        <v>264.85000000000002</v>
      </c>
      <c r="AB54" s="95">
        <v>848500</v>
      </c>
      <c r="AC54" s="10">
        <v>264.85000000000002</v>
      </c>
      <c r="AD54" s="2">
        <f t="shared" si="0"/>
        <v>4.0300000000000296</v>
      </c>
      <c r="AE54" s="138">
        <f t="shared" si="1"/>
        <v>4.5133884548280712E-3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307.37699999999995</v>
      </c>
      <c r="Q55" s="2"/>
      <c r="T55" s="186" t="s">
        <v>108</v>
      </c>
      <c r="U55" s="186" t="s">
        <v>376</v>
      </c>
      <c r="W55" s="133">
        <v>42510</v>
      </c>
      <c r="X55" s="10">
        <v>259.31</v>
      </c>
      <c r="Y55" s="10">
        <v>265.55</v>
      </c>
      <c r="Z55" s="10">
        <v>259</v>
      </c>
      <c r="AA55" s="10">
        <v>263.66000000000003</v>
      </c>
      <c r="AB55" s="95">
        <v>1340400</v>
      </c>
      <c r="AC55" s="10">
        <v>263.66000000000003</v>
      </c>
      <c r="AD55" s="2">
        <f t="shared" si="0"/>
        <v>6.5500000000000114</v>
      </c>
      <c r="AE55" s="138">
        <f t="shared" si="1"/>
        <v>1.9094001236858338E-2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304.2405</v>
      </c>
      <c r="T56" s="186" t="s">
        <v>111</v>
      </c>
      <c r="U56" s="186">
        <v>18.46</v>
      </c>
      <c r="W56" s="133">
        <v>42509</v>
      </c>
      <c r="X56" s="10">
        <v>262.8</v>
      </c>
      <c r="Y56" s="10">
        <v>264.7</v>
      </c>
      <c r="Z56" s="10">
        <v>256.42</v>
      </c>
      <c r="AA56" s="10">
        <v>258.72000000000003</v>
      </c>
      <c r="AB56" s="95">
        <v>1281200</v>
      </c>
      <c r="AC56" s="10">
        <v>258.72000000000003</v>
      </c>
      <c r="AD56" s="2">
        <f t="shared" si="0"/>
        <v>8.2799999999999727</v>
      </c>
      <c r="AE56" s="138">
        <f t="shared" si="1"/>
        <v>-2.1075333913504024E-2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301.10399999999998</v>
      </c>
      <c r="T57" s="186" t="s">
        <v>112</v>
      </c>
      <c r="U57" s="186">
        <v>17.12</v>
      </c>
      <c r="W57" s="133">
        <v>42508</v>
      </c>
      <c r="X57" s="10">
        <v>262.64999999999998</v>
      </c>
      <c r="Y57" s="10">
        <v>265.82</v>
      </c>
      <c r="Z57" s="10">
        <v>262.26</v>
      </c>
      <c r="AA57" s="10">
        <v>264.29000000000002</v>
      </c>
      <c r="AB57" s="95">
        <v>1040800</v>
      </c>
      <c r="AC57" s="10">
        <v>264.29000000000002</v>
      </c>
      <c r="AD57" s="2">
        <f t="shared" si="0"/>
        <v>3.5600000000000023</v>
      </c>
      <c r="AE57" s="138">
        <f t="shared" si="1"/>
        <v>2.9219793564057017E-3</v>
      </c>
    </row>
    <row r="58" spans="1:31" x14ac:dyDescent="0.25">
      <c r="O58" s="83">
        <v>0.95</v>
      </c>
      <c r="P58" s="83">
        <f t="shared" si="5"/>
        <v>297.96749999999997</v>
      </c>
      <c r="T58" s="186" t="s">
        <v>109</v>
      </c>
      <c r="U58" s="186" t="s">
        <v>124</v>
      </c>
      <c r="W58" s="133">
        <v>42507</v>
      </c>
      <c r="X58" s="10">
        <v>265.14999999999998</v>
      </c>
      <c r="Y58" s="10">
        <v>267.89</v>
      </c>
      <c r="Z58" s="10">
        <v>263.08</v>
      </c>
      <c r="AA58" s="10">
        <v>263.52</v>
      </c>
      <c r="AB58" s="95">
        <v>1161000</v>
      </c>
      <c r="AC58" s="10">
        <v>263.52</v>
      </c>
      <c r="AD58" s="2">
        <f t="shared" si="0"/>
        <v>4.8100000000000023</v>
      </c>
      <c r="AE58" s="138">
        <f t="shared" si="1"/>
        <v>-1.0290693307293708E-2</v>
      </c>
    </row>
    <row r="59" spans="1:31" x14ac:dyDescent="0.25">
      <c r="O59" s="83">
        <v>0.94</v>
      </c>
      <c r="P59" s="83">
        <f t="shared" si="5"/>
        <v>294.83099999999996</v>
      </c>
      <c r="W59" s="133">
        <v>42506</v>
      </c>
      <c r="X59" s="10">
        <v>263.02999999999997</v>
      </c>
      <c r="Y59" s="10">
        <v>266.95</v>
      </c>
      <c r="Z59" s="10">
        <v>262.60000000000002</v>
      </c>
      <c r="AA59" s="10">
        <v>266.26</v>
      </c>
      <c r="AB59" s="95">
        <v>1306100</v>
      </c>
      <c r="AC59" s="10">
        <v>266.26</v>
      </c>
      <c r="AD59" s="2">
        <f t="shared" si="0"/>
        <v>4.3499999999999659</v>
      </c>
      <c r="AE59" s="138">
        <f t="shared" si="1"/>
        <v>1.6143189711101957E-2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291.69450000000001</v>
      </c>
      <c r="W60" s="133">
        <v>42503</v>
      </c>
      <c r="X60" s="10">
        <v>261.41000000000003</v>
      </c>
      <c r="Y60" s="10">
        <v>264.98</v>
      </c>
      <c r="Z60" s="10">
        <v>260.10000000000002</v>
      </c>
      <c r="AA60" s="10">
        <v>262.02999999999997</v>
      </c>
      <c r="AB60" s="95">
        <v>997700</v>
      </c>
      <c r="AC60" s="10">
        <v>262.02999999999997</v>
      </c>
      <c r="AD60" s="2">
        <f t="shared" si="0"/>
        <v>4.8799999999999955</v>
      </c>
      <c r="AE60" s="138">
        <f t="shared" si="1"/>
        <v>-2.5884054661032829E-3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288.55799999999999</v>
      </c>
      <c r="W61" s="133">
        <v>42502</v>
      </c>
      <c r="X61" s="10">
        <v>268.25</v>
      </c>
      <c r="Y61" s="10">
        <v>270.55</v>
      </c>
      <c r="Z61" s="10">
        <v>259.58999999999997</v>
      </c>
      <c r="AA61" s="10">
        <v>262.70999999999998</v>
      </c>
      <c r="AB61" s="95">
        <v>1299300</v>
      </c>
      <c r="AC61" s="10">
        <v>262.70999999999998</v>
      </c>
      <c r="AD61" s="2">
        <f t="shared" si="0"/>
        <v>10.960000000000036</v>
      </c>
      <c r="AE61" s="138">
        <f t="shared" si="1"/>
        <v>-1.6987839101964552E-2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285.42149999999998</v>
      </c>
      <c r="W62" s="133">
        <v>42501</v>
      </c>
      <c r="X62" s="10">
        <v>272.22000000000003</v>
      </c>
      <c r="Y62" s="10">
        <v>273.61</v>
      </c>
      <c r="Z62" s="10">
        <v>267</v>
      </c>
      <c r="AA62" s="10">
        <v>267.25</v>
      </c>
      <c r="AB62" s="95">
        <v>971500</v>
      </c>
      <c r="AC62" s="10">
        <v>267.25</v>
      </c>
      <c r="AD62" s="2">
        <f t="shared" si="0"/>
        <v>6.6100000000000136</v>
      </c>
      <c r="AE62" s="138">
        <f t="shared" si="1"/>
        <v>-2.2029494639001612E-2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282.28499999999997</v>
      </c>
      <c r="W63" s="133">
        <v>42500</v>
      </c>
      <c r="X63" s="10">
        <v>271.64</v>
      </c>
      <c r="Y63" s="10">
        <v>273.61</v>
      </c>
      <c r="Z63" s="10">
        <v>269.60000000000002</v>
      </c>
      <c r="AA63" s="10">
        <v>273.27</v>
      </c>
      <c r="AB63" s="95">
        <v>1031800</v>
      </c>
      <c r="AC63" s="10">
        <v>273.27</v>
      </c>
      <c r="AD63" s="2">
        <f t="shared" si="0"/>
        <v>4.0099999999999909</v>
      </c>
      <c r="AE63" s="138">
        <f t="shared" si="1"/>
        <v>1.1474256949328021E-2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42499</v>
      </c>
      <c r="X64" s="10">
        <v>264.72000000000003</v>
      </c>
      <c r="Y64" s="10">
        <v>273.14</v>
      </c>
      <c r="Z64" s="10">
        <v>264.10000000000002</v>
      </c>
      <c r="AA64" s="10">
        <v>270.17</v>
      </c>
      <c r="AB64" s="95">
        <v>1425800</v>
      </c>
      <c r="AC64" s="10">
        <v>270.17</v>
      </c>
      <c r="AD64" s="2">
        <f t="shared" si="0"/>
        <v>9.0399999999999636</v>
      </c>
      <c r="AE64" s="138">
        <f t="shared" si="1"/>
        <v>2.4885247145404188E-2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42496</v>
      </c>
      <c r="X65" s="10">
        <v>263.47000000000003</v>
      </c>
      <c r="Y65" s="10">
        <v>265.87</v>
      </c>
      <c r="Z65" s="10">
        <v>260.89</v>
      </c>
      <c r="AA65" s="10">
        <v>263.61</v>
      </c>
      <c r="AB65" s="95">
        <v>1202000</v>
      </c>
      <c r="AC65" s="10">
        <v>263.61</v>
      </c>
      <c r="AD65" s="2">
        <f t="shared" si="0"/>
        <v>4.9800000000000182</v>
      </c>
      <c r="AE65" s="138">
        <f t="shared" si="1"/>
        <v>-3.8167938931297218E-3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42495</v>
      </c>
      <c r="X66" s="10">
        <v>263.58</v>
      </c>
      <c r="Y66" s="10">
        <v>265.39999999999998</v>
      </c>
      <c r="Z66" s="10">
        <v>262.63</v>
      </c>
      <c r="AA66" s="10">
        <v>264.62</v>
      </c>
      <c r="AB66" s="95">
        <v>1105900</v>
      </c>
      <c r="AC66" s="10">
        <v>264.62</v>
      </c>
      <c r="AD66" s="2">
        <f t="shared" si="0"/>
        <v>2.7699999999999818</v>
      </c>
      <c r="AE66" s="138">
        <f t="shared" si="1"/>
        <v>5.7008209182121128E-3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42494</v>
      </c>
      <c r="X67" s="10">
        <v>271.7</v>
      </c>
      <c r="Y67" s="10">
        <v>271.75</v>
      </c>
      <c r="Z67" s="10">
        <v>262.44</v>
      </c>
      <c r="AA67" s="10">
        <v>263.12</v>
      </c>
      <c r="AB67" s="95">
        <v>1788200</v>
      </c>
      <c r="AC67" s="10">
        <v>263.12</v>
      </c>
      <c r="AD67" s="2">
        <f>Y67-Z67</f>
        <v>9.3100000000000023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202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79" priority="58">
      <formula>F19&gt;0</formula>
    </cfRule>
    <cfRule type="expression" dxfId="67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77" priority="47">
      <formula>H25&gt;0</formula>
    </cfRule>
    <cfRule type="expression" dxfId="676" priority="48">
      <formula>H25&lt;0</formula>
    </cfRule>
  </conditionalFormatting>
  <conditionalFormatting sqref="M39">
    <cfRule type="expression" dxfId="675" priority="45">
      <formula>M39&gt;0</formula>
    </cfRule>
    <cfRule type="expression" dxfId="674" priority="46">
      <formula>M39&lt;0</formula>
    </cfRule>
  </conditionalFormatting>
  <conditionalFormatting sqref="F61:F67">
    <cfRule type="expression" dxfId="673" priority="43">
      <formula>F61&gt;0</formula>
    </cfRule>
    <cfRule type="expression" dxfId="672" priority="44">
      <formula>F61&lt;0</formula>
    </cfRule>
  </conditionalFormatting>
  <conditionalFormatting sqref="H61:H67">
    <cfRule type="expression" dxfId="671" priority="41">
      <formula>H61&gt;0</formula>
    </cfRule>
    <cfRule type="expression" dxfId="670" priority="42">
      <formula>H61&lt;0</formula>
    </cfRule>
  </conditionalFormatting>
  <conditionalFormatting sqref="F21:F24">
    <cfRule type="expression" dxfId="669" priority="39">
      <formula>F21&gt;0</formula>
    </cfRule>
    <cfRule type="expression" dxfId="668" priority="40">
      <formula>F21&lt;0</formula>
    </cfRule>
  </conditionalFormatting>
  <conditionalFormatting sqref="H21:H24">
    <cfRule type="expression" dxfId="667" priority="37">
      <formula>H21&gt;0</formula>
    </cfRule>
    <cfRule type="expression" dxfId="666" priority="38">
      <formula>H21&lt;0</formula>
    </cfRule>
  </conditionalFormatting>
  <conditionalFormatting sqref="I25:I28">
    <cfRule type="expression" dxfId="665" priority="31">
      <formula>I25&gt;0</formula>
    </cfRule>
    <cfRule type="expression" dxfId="664" priority="32">
      <formula>I25&lt;0</formula>
    </cfRule>
  </conditionalFormatting>
  <conditionalFormatting sqref="I21:I24">
    <cfRule type="expression" dxfId="663" priority="29">
      <formula>I21&gt;0</formula>
    </cfRule>
    <cfRule type="expression" dxfId="662" priority="30">
      <formula>I21&lt;0</formula>
    </cfRule>
  </conditionalFormatting>
  <conditionalFormatting sqref="H29">
    <cfRule type="expression" dxfId="661" priority="27">
      <formula>H29&gt;0</formula>
    </cfRule>
    <cfRule type="expression" dxfId="660" priority="28">
      <formula>H29&lt;0</formula>
    </cfRule>
  </conditionalFormatting>
  <conditionalFormatting sqref="H30">
    <cfRule type="expression" dxfId="659" priority="25">
      <formula>H30&gt;0</formula>
    </cfRule>
    <cfRule type="expression" dxfId="658" priority="26">
      <formula>H30&lt;0</formula>
    </cfRule>
  </conditionalFormatting>
  <conditionalFormatting sqref="H31">
    <cfRule type="expression" dxfId="657" priority="23">
      <formula>H31&gt;0</formula>
    </cfRule>
    <cfRule type="expression" dxfId="656" priority="24">
      <formula>H31&lt;0</formula>
    </cfRule>
  </conditionalFormatting>
  <conditionalFormatting sqref="Q7">
    <cfRule type="expression" dxfId="655" priority="21">
      <formula>Q7&gt;0</formula>
    </cfRule>
    <cfRule type="expression" dxfId="654" priority="22">
      <formula>Q7&lt;0</formula>
    </cfRule>
  </conditionalFormatting>
  <conditionalFormatting sqref="Q8">
    <cfRule type="expression" dxfId="653" priority="19">
      <formula>Q8&gt;0</formula>
    </cfRule>
    <cfRule type="expression" dxfId="652" priority="20">
      <formula>Q8&lt;0</formula>
    </cfRule>
  </conditionalFormatting>
  <conditionalFormatting sqref="F73:F82">
    <cfRule type="expression" dxfId="651" priority="17">
      <formula>F73&gt;0</formula>
    </cfRule>
    <cfRule type="expression" dxfId="650" priority="18">
      <formula>F73&lt;0</formula>
    </cfRule>
  </conditionalFormatting>
  <conditionalFormatting sqref="H73:H76">
    <cfRule type="expression" dxfId="649" priority="15">
      <formula>H73&gt;0</formula>
    </cfRule>
    <cfRule type="expression" dxfId="648" priority="16">
      <formula>H73&lt;0</formula>
    </cfRule>
  </conditionalFormatting>
  <conditionalFormatting sqref="F69:F72">
    <cfRule type="expression" dxfId="647" priority="13">
      <formula>F69&gt;0</formula>
    </cfRule>
    <cfRule type="expression" dxfId="646" priority="14">
      <formula>F69&lt;0</formula>
    </cfRule>
  </conditionalFormatting>
  <conditionalFormatting sqref="H69:H72">
    <cfRule type="expression" dxfId="645" priority="11">
      <formula>H69&gt;0</formula>
    </cfRule>
    <cfRule type="expression" dxfId="644" priority="12">
      <formula>H69&lt;0</formula>
    </cfRule>
  </conditionalFormatting>
  <conditionalFormatting sqref="I73:I76">
    <cfRule type="expression" dxfId="643" priority="9">
      <formula>I73&gt;0</formula>
    </cfRule>
    <cfRule type="expression" dxfId="642" priority="10">
      <formula>I73&lt;0</formula>
    </cfRule>
  </conditionalFormatting>
  <conditionalFormatting sqref="I69:I72">
    <cfRule type="expression" dxfId="641" priority="7">
      <formula>I69&gt;0</formula>
    </cfRule>
    <cfRule type="expression" dxfId="640" priority="8">
      <formula>I69&lt;0</formula>
    </cfRule>
  </conditionalFormatting>
  <conditionalFormatting sqref="H77">
    <cfRule type="expression" dxfId="639" priority="5">
      <formula>H77&gt;0</formula>
    </cfRule>
    <cfRule type="expression" dxfId="638" priority="6">
      <formula>H77&lt;0</formula>
    </cfRule>
  </conditionalFormatting>
  <conditionalFormatting sqref="H78">
    <cfRule type="expression" dxfId="637" priority="3">
      <formula>H78&gt;0</formula>
    </cfRule>
    <cfRule type="expression" dxfId="636" priority="4">
      <formula>H78&lt;0</formula>
    </cfRule>
  </conditionalFormatting>
  <conditionalFormatting sqref="H79">
    <cfRule type="expression" dxfId="635" priority="1">
      <formula>H79&gt;0</formula>
    </cfRule>
    <cfRule type="expression" dxfId="63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42587</v>
      </c>
      <c r="X2" s="10">
        <v>48.98</v>
      </c>
      <c r="Y2" s="10">
        <v>49.11</v>
      </c>
      <c r="Z2" s="10">
        <v>48.3</v>
      </c>
      <c r="AA2" s="10">
        <v>48.46</v>
      </c>
      <c r="AB2" s="95">
        <v>4747200</v>
      </c>
      <c r="AC2" s="10">
        <v>48.46</v>
      </c>
      <c r="AD2" s="2">
        <f>Y2-Z2</f>
        <v>0.81000000000000227</v>
      </c>
      <c r="AE2" s="138">
        <f>AC2/AC3-1</f>
        <v>-1.8537590113284486E-3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48.53</v>
      </c>
      <c r="W3" s="133">
        <v>42586</v>
      </c>
      <c r="X3" s="10">
        <v>48.31</v>
      </c>
      <c r="Y3" s="10">
        <v>49.19</v>
      </c>
      <c r="Z3" s="10">
        <v>48.25</v>
      </c>
      <c r="AA3" s="10">
        <v>48.55</v>
      </c>
      <c r="AB3" s="95">
        <v>10856800</v>
      </c>
      <c r="AC3" s="10">
        <v>48.55</v>
      </c>
      <c r="AD3" s="2">
        <f t="shared" ref="AD3:AD66" si="0">Y3-Z3</f>
        <v>0.93999999999999773</v>
      </c>
      <c r="AE3" s="138">
        <f t="shared" ref="AE3:AE66" si="1">AC3/AC4-1</f>
        <v>2.8919644701508318E-3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48.53</v>
      </c>
      <c r="T4" s="1"/>
      <c r="W4" s="133">
        <v>42585</v>
      </c>
      <c r="X4" s="10">
        <v>46.33</v>
      </c>
      <c r="Y4" s="10">
        <v>48.54</v>
      </c>
      <c r="Z4" s="10">
        <v>46.3</v>
      </c>
      <c r="AA4" s="10">
        <v>48.41</v>
      </c>
      <c r="AB4" s="95">
        <v>7781000</v>
      </c>
      <c r="AC4" s="10">
        <v>48.41</v>
      </c>
      <c r="AD4" s="2">
        <f t="shared" si="0"/>
        <v>2.240000000000002</v>
      </c>
      <c r="AE4" s="138">
        <f t="shared" si="1"/>
        <v>4.040404040404022E-2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42584</v>
      </c>
      <c r="X5" s="10">
        <v>46.4</v>
      </c>
      <c r="Y5" s="10">
        <v>46.74</v>
      </c>
      <c r="Z5" s="10">
        <v>45.68</v>
      </c>
      <c r="AA5" s="10">
        <v>46.53</v>
      </c>
      <c r="AB5" s="95">
        <v>4777000</v>
      </c>
      <c r="AC5" s="10">
        <v>46.53</v>
      </c>
      <c r="AD5" s="2">
        <f t="shared" si="0"/>
        <v>1.0600000000000023</v>
      </c>
      <c r="AE5" s="138">
        <f t="shared" si="1"/>
        <v>-4.49293966623876E-3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42583</v>
      </c>
      <c r="X6" s="10">
        <v>46.79</v>
      </c>
      <c r="Y6" s="10">
        <v>47.12</v>
      </c>
      <c r="Z6" s="10">
        <v>46.36</v>
      </c>
      <c r="AA6" s="10">
        <v>46.74</v>
      </c>
      <c r="AB6" s="95">
        <v>3119800</v>
      </c>
      <c r="AC6" s="10">
        <v>46.74</v>
      </c>
      <c r="AD6" s="2">
        <f t="shared" si="0"/>
        <v>0.75999999999999801</v>
      </c>
      <c r="AE6" s="138">
        <f t="shared" si="1"/>
        <v>-1.0686044026501085E-3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439.77999999999975</v>
      </c>
      <c r="R7">
        <v>0</v>
      </c>
      <c r="W7" s="133">
        <v>42580</v>
      </c>
      <c r="X7" s="10">
        <v>46.7</v>
      </c>
      <c r="Y7" s="10">
        <v>46.94</v>
      </c>
      <c r="Z7" s="10">
        <v>46.11</v>
      </c>
      <c r="AA7" s="10">
        <v>46.79</v>
      </c>
      <c r="AB7" s="95">
        <v>2656800</v>
      </c>
      <c r="AC7" s="10">
        <v>46.79</v>
      </c>
      <c r="AD7" s="2">
        <f t="shared" si="0"/>
        <v>0.82999999999999829</v>
      </c>
      <c r="AE7" s="138">
        <f t="shared" si="1"/>
        <v>1.4982876712328341E-3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42579</v>
      </c>
      <c r="X8" s="10">
        <v>46.82</v>
      </c>
      <c r="Y8" s="10">
        <v>46.92</v>
      </c>
      <c r="Z8" s="10">
        <v>45.82</v>
      </c>
      <c r="AA8" s="10">
        <v>46.72</v>
      </c>
      <c r="AB8" s="95">
        <v>3854600</v>
      </c>
      <c r="AC8" s="10">
        <v>46.72</v>
      </c>
      <c r="AD8" s="2">
        <f t="shared" si="0"/>
        <v>1.1000000000000014</v>
      </c>
      <c r="AE8" s="138">
        <f t="shared" si="1"/>
        <v>-4.4747496271042575E-3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231</v>
      </c>
      <c r="Q9" s="138">
        <f>IF(Q2=0, 0, Q8/Q6)</f>
        <v>0</v>
      </c>
      <c r="T9" s="158"/>
      <c r="W9" s="133">
        <v>42578</v>
      </c>
      <c r="X9" s="10">
        <v>46.53</v>
      </c>
      <c r="Y9" s="10">
        <v>47.01</v>
      </c>
      <c r="Z9" s="10">
        <v>46.38</v>
      </c>
      <c r="AA9" s="10">
        <v>46.93</v>
      </c>
      <c r="AB9" s="95">
        <v>2948100</v>
      </c>
      <c r="AC9" s="10">
        <v>46.93</v>
      </c>
      <c r="AD9" s="2">
        <f t="shared" si="0"/>
        <v>0.62999999999999545</v>
      </c>
      <c r="AE9" s="138">
        <f t="shared" si="1"/>
        <v>9.6815834767642883E-3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230</v>
      </c>
      <c r="P10" s="34"/>
      <c r="Q10" s="2">
        <f>M35</f>
        <v>439.77999999999975</v>
      </c>
      <c r="W10" s="133">
        <v>42577</v>
      </c>
      <c r="X10" s="10">
        <v>47.13</v>
      </c>
      <c r="Y10" s="10">
        <v>48.34</v>
      </c>
      <c r="Z10" s="10">
        <v>46.42</v>
      </c>
      <c r="AA10" s="10">
        <v>46.48</v>
      </c>
      <c r="AB10" s="95">
        <v>3797000</v>
      </c>
      <c r="AC10" s="10">
        <v>46.48</v>
      </c>
      <c r="AD10" s="2">
        <f t="shared" si="0"/>
        <v>1.9200000000000017</v>
      </c>
      <c r="AE10" s="138">
        <f t="shared" si="1"/>
        <v>-1.6920473773265776E-2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42576</v>
      </c>
      <c r="X11" s="10">
        <v>46.58</v>
      </c>
      <c r="Y11" s="10">
        <v>47.34</v>
      </c>
      <c r="Z11" s="10">
        <v>46.51</v>
      </c>
      <c r="AA11" s="10">
        <v>47.28</v>
      </c>
      <c r="AB11" s="95">
        <v>2763600</v>
      </c>
      <c r="AC11" s="10">
        <v>47.28</v>
      </c>
      <c r="AD11" s="2">
        <f t="shared" si="0"/>
        <v>0.8300000000000054</v>
      </c>
      <c r="AE11" s="138">
        <f t="shared" si="1"/>
        <v>1.481004507405026E-2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42573</v>
      </c>
      <c r="X12" s="10">
        <v>47.04</v>
      </c>
      <c r="Y12" s="10">
        <v>47.06</v>
      </c>
      <c r="Z12" s="10">
        <v>46.09</v>
      </c>
      <c r="AA12" s="10">
        <v>46.59</v>
      </c>
      <c r="AB12" s="95">
        <v>2236400</v>
      </c>
      <c r="AC12" s="10">
        <v>46.59</v>
      </c>
      <c r="AD12" s="2">
        <f t="shared" si="0"/>
        <v>0.96999999999999886</v>
      </c>
      <c r="AE12" s="138">
        <f t="shared" si="1"/>
        <v>-5.7618437900127661E-3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42572</v>
      </c>
      <c r="X13" s="10">
        <v>47.02</v>
      </c>
      <c r="Y13" s="10">
        <v>47.69</v>
      </c>
      <c r="Z13" s="10">
        <v>45.97</v>
      </c>
      <c r="AA13" s="10">
        <v>46.86</v>
      </c>
      <c r="AB13" s="95">
        <v>4706300</v>
      </c>
      <c r="AC13" s="10">
        <v>46.86</v>
      </c>
      <c r="AD13" s="2">
        <f t="shared" si="0"/>
        <v>1.7199999999999989</v>
      </c>
      <c r="AE13" s="138">
        <f t="shared" si="1"/>
        <v>-7.2033898305084998E-3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42571</v>
      </c>
      <c r="X14" s="10">
        <v>45.07</v>
      </c>
      <c r="Y14" s="10">
        <v>47.21</v>
      </c>
      <c r="Z14" s="10">
        <v>44.99</v>
      </c>
      <c r="AA14" s="10">
        <v>47.2</v>
      </c>
      <c r="AB14" s="95">
        <v>5311800</v>
      </c>
      <c r="AC14" s="10">
        <v>47.2</v>
      </c>
      <c r="AD14" s="2">
        <f t="shared" si="0"/>
        <v>2.2199999999999989</v>
      </c>
      <c r="AE14" s="138">
        <f t="shared" si="1"/>
        <v>5.0523035833518914E-2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42570</v>
      </c>
      <c r="X15" s="10">
        <v>45.32</v>
      </c>
      <c r="Y15" s="10">
        <v>45.75</v>
      </c>
      <c r="Z15" s="10">
        <v>44.74</v>
      </c>
      <c r="AA15" s="10">
        <v>44.93</v>
      </c>
      <c r="AB15" s="95">
        <v>3856200</v>
      </c>
      <c r="AC15" s="10">
        <v>44.93</v>
      </c>
      <c r="AD15" s="2">
        <f t="shared" si="0"/>
        <v>1.009999999999998</v>
      </c>
      <c r="AE15" s="138">
        <f t="shared" si="1"/>
        <v>-1.3178124313639406E-2</v>
      </c>
    </row>
    <row r="16" spans="1:40" x14ac:dyDescent="0.25">
      <c r="G16" s="1"/>
      <c r="W16" s="133">
        <v>42569</v>
      </c>
      <c r="X16" s="10">
        <v>45.56</v>
      </c>
      <c r="Y16" s="10">
        <v>45.92</v>
      </c>
      <c r="Z16" s="10">
        <v>45.41</v>
      </c>
      <c r="AA16" s="10">
        <v>45.53</v>
      </c>
      <c r="AB16" s="95">
        <v>3529800</v>
      </c>
      <c r="AC16" s="10">
        <v>45.53</v>
      </c>
      <c r="AD16" s="2">
        <f t="shared" si="0"/>
        <v>0.51000000000000512</v>
      </c>
      <c r="AE16" s="138">
        <f t="shared" si="1"/>
        <v>1.7601760176018111E-3</v>
      </c>
    </row>
    <row r="17" spans="1:31" x14ac:dyDescent="0.25">
      <c r="G17" s="1"/>
      <c r="W17" s="133">
        <v>42566</v>
      </c>
      <c r="X17" s="10">
        <v>45.83</v>
      </c>
      <c r="Y17" s="10">
        <v>45.9</v>
      </c>
      <c r="Z17" s="10">
        <v>45.15</v>
      </c>
      <c r="AA17" s="10">
        <v>45.45</v>
      </c>
      <c r="AB17" s="95">
        <v>2696000</v>
      </c>
      <c r="AC17" s="10">
        <v>45.45</v>
      </c>
      <c r="AD17" s="2">
        <f t="shared" si="0"/>
        <v>0.75</v>
      </c>
      <c r="AE17" s="138">
        <f t="shared" si="1"/>
        <v>1.5425297487881018E-3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42565</v>
      </c>
      <c r="X18" s="10">
        <v>45.85</v>
      </c>
      <c r="Y18" s="10">
        <v>45.97</v>
      </c>
      <c r="Z18" s="10">
        <v>45.28</v>
      </c>
      <c r="AA18" s="10">
        <v>45.38</v>
      </c>
      <c r="AB18" s="95">
        <v>2502400</v>
      </c>
      <c r="AC18" s="10">
        <v>45.38</v>
      </c>
      <c r="AD18" s="2">
        <f t="shared" si="0"/>
        <v>0.68999999999999773</v>
      </c>
      <c r="AE18" s="138">
        <f t="shared" si="1"/>
        <v>1.7660044150111798E-3</v>
      </c>
    </row>
    <row r="19" spans="1:31" x14ac:dyDescent="0.25">
      <c r="N19" s="2"/>
      <c r="W19" s="133">
        <v>42564</v>
      </c>
      <c r="X19" s="10">
        <v>45.94</v>
      </c>
      <c r="Y19" s="10">
        <v>46.78</v>
      </c>
      <c r="Z19" s="10">
        <v>45.28</v>
      </c>
      <c r="AA19" s="10">
        <v>45.3</v>
      </c>
      <c r="AB19" s="95">
        <v>3604100</v>
      </c>
      <c r="AC19" s="10">
        <v>45.3</v>
      </c>
      <c r="AD19" s="2">
        <f t="shared" si="0"/>
        <v>1.5</v>
      </c>
      <c r="AE19" s="138">
        <f t="shared" si="1"/>
        <v>3.1000885739591588E-3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42563</v>
      </c>
      <c r="X20" s="10">
        <v>44.78</v>
      </c>
      <c r="Y20" s="10">
        <v>45.39</v>
      </c>
      <c r="Z20" s="10">
        <v>44.74</v>
      </c>
      <c r="AA20" s="10">
        <v>45.16</v>
      </c>
      <c r="AB20" s="95">
        <v>2629100</v>
      </c>
      <c r="AC20" s="10">
        <v>45.16</v>
      </c>
      <c r="AD20" s="2">
        <f t="shared" si="0"/>
        <v>0.64999999999999858</v>
      </c>
      <c r="AE20" s="138">
        <f t="shared" si="1"/>
        <v>1.3692480359146941E-2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42562</v>
      </c>
      <c r="X21" s="10">
        <v>44.72</v>
      </c>
      <c r="Y21" s="10">
        <v>44.88</v>
      </c>
      <c r="Z21" s="10">
        <v>44.31</v>
      </c>
      <c r="AA21" s="10">
        <v>44.55</v>
      </c>
      <c r="AB21" s="95">
        <v>3109900</v>
      </c>
      <c r="AC21" s="10">
        <v>44.55</v>
      </c>
      <c r="AD21" s="2">
        <f t="shared" si="0"/>
        <v>0.57000000000000028</v>
      </c>
      <c r="AE21" s="138">
        <f t="shared" si="1"/>
        <v>2.2451728783101643E-4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42559</v>
      </c>
      <c r="X22" s="10">
        <v>44.18</v>
      </c>
      <c r="Y22" s="10">
        <v>44.79</v>
      </c>
      <c r="Z22" s="10">
        <v>43.8</v>
      </c>
      <c r="AA22" s="10">
        <v>44.54</v>
      </c>
      <c r="AB22" s="95">
        <v>2490500</v>
      </c>
      <c r="AC22" s="10">
        <v>44.54</v>
      </c>
      <c r="AD22" s="2">
        <f t="shared" si="0"/>
        <v>0.99000000000000199</v>
      </c>
      <c r="AE22" s="138">
        <f t="shared" si="1"/>
        <v>1.922196796338671E-2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42558</v>
      </c>
      <c r="X23" s="10">
        <v>43.76</v>
      </c>
      <c r="Y23" s="10">
        <v>43.92</v>
      </c>
      <c r="Z23" s="10">
        <v>43.14</v>
      </c>
      <c r="AA23" s="10">
        <v>43.7</v>
      </c>
      <c r="AB23" s="95">
        <v>2110900</v>
      </c>
      <c r="AC23" s="10">
        <v>43.7</v>
      </c>
      <c r="AD23" s="2">
        <f t="shared" si="0"/>
        <v>0.78000000000000114</v>
      </c>
      <c r="AE23" s="138">
        <f t="shared" si="1"/>
        <v>3.6747818098301632E-3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42557</v>
      </c>
      <c r="X24" s="10">
        <v>42.64</v>
      </c>
      <c r="Y24" s="10">
        <v>43.6</v>
      </c>
      <c r="Z24" s="10">
        <v>41.99</v>
      </c>
      <c r="AA24" s="10">
        <v>43.54</v>
      </c>
      <c r="AB24" s="95">
        <v>3764000</v>
      </c>
      <c r="AC24" s="10">
        <v>43.54</v>
      </c>
      <c r="AD24" s="2">
        <f t="shared" si="0"/>
        <v>1.6099999999999994</v>
      </c>
      <c r="AE24" s="138">
        <f t="shared" si="1"/>
        <v>2.0389032106866489E-2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42556</v>
      </c>
      <c r="X25" s="10">
        <v>43.3</v>
      </c>
      <c r="Y25" s="10">
        <v>43.31</v>
      </c>
      <c r="Z25" s="10">
        <v>42.33</v>
      </c>
      <c r="AA25" s="10">
        <v>42.67</v>
      </c>
      <c r="AB25" s="95">
        <v>4036200</v>
      </c>
      <c r="AC25" s="10">
        <v>42.67</v>
      </c>
      <c r="AD25" s="2">
        <f t="shared" si="0"/>
        <v>0.98000000000000398</v>
      </c>
      <c r="AE25" s="138">
        <f t="shared" si="1"/>
        <v>-1.8629254829806707E-2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42552</v>
      </c>
      <c r="X26" s="10">
        <v>43.34</v>
      </c>
      <c r="Y26" s="10">
        <v>43.59</v>
      </c>
      <c r="Z26" s="10">
        <v>42.84</v>
      </c>
      <c r="AA26" s="10">
        <v>43.48</v>
      </c>
      <c r="AB26" s="95">
        <v>5332200</v>
      </c>
      <c r="AC26" s="10">
        <v>43.48</v>
      </c>
      <c r="AD26" s="2">
        <f t="shared" si="0"/>
        <v>0.75</v>
      </c>
      <c r="AE26" s="138">
        <f t="shared" si="1"/>
        <v>5.5504162812209934E-3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42551</v>
      </c>
      <c r="X27" s="10">
        <v>43.25</v>
      </c>
      <c r="Y27" s="10">
        <v>43.37</v>
      </c>
      <c r="Z27" s="10">
        <v>42.47</v>
      </c>
      <c r="AA27" s="10">
        <v>43.24</v>
      </c>
      <c r="AB27" s="95">
        <v>7206400</v>
      </c>
      <c r="AC27" s="10">
        <v>43.24</v>
      </c>
      <c r="AD27" s="2">
        <f t="shared" si="0"/>
        <v>0.89999999999999858</v>
      </c>
      <c r="AE27" s="138">
        <f t="shared" si="1"/>
        <v>4.6274872744112017E-4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42550</v>
      </c>
      <c r="X28" s="10">
        <v>43.17</v>
      </c>
      <c r="Y28" s="10">
        <v>43.93</v>
      </c>
      <c r="Z28" s="10">
        <v>42.67</v>
      </c>
      <c r="AA28" s="10">
        <v>43.22</v>
      </c>
      <c r="AB28" s="95">
        <v>4748800</v>
      </c>
      <c r="AC28" s="10">
        <v>43.22</v>
      </c>
      <c r="AD28" s="2">
        <f t="shared" si="0"/>
        <v>1.259999999999998</v>
      </c>
      <c r="AE28" s="138">
        <f t="shared" si="1"/>
        <v>9.3414292386735376E-3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42549</v>
      </c>
      <c r="X29" s="10">
        <v>42.18</v>
      </c>
      <c r="Y29" s="10">
        <v>43.07</v>
      </c>
      <c r="Z29" s="10">
        <v>42.14</v>
      </c>
      <c r="AA29" s="10">
        <v>42.82</v>
      </c>
      <c r="AB29" s="95">
        <v>3755300</v>
      </c>
      <c r="AC29" s="10">
        <v>42.82</v>
      </c>
      <c r="AD29" s="2">
        <f t="shared" si="0"/>
        <v>0.92999999999999972</v>
      </c>
      <c r="AE29" s="138">
        <f t="shared" si="1"/>
        <v>2.4156900263094805E-2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42548</v>
      </c>
      <c r="X30" s="10">
        <v>43.18</v>
      </c>
      <c r="Y30" s="10">
        <v>43.19</v>
      </c>
      <c r="Z30" s="10">
        <v>41.62</v>
      </c>
      <c r="AA30" s="10">
        <v>41.81</v>
      </c>
      <c r="AB30" s="95">
        <v>5270300</v>
      </c>
      <c r="AC30" s="10">
        <v>41.81</v>
      </c>
      <c r="AD30" s="2">
        <f t="shared" si="0"/>
        <v>1.5700000000000003</v>
      </c>
      <c r="AE30" s="138">
        <f t="shared" si="1"/>
        <v>-4.0174471992653782E-2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42545</v>
      </c>
      <c r="X31" s="10">
        <v>43.68</v>
      </c>
      <c r="Y31" s="10">
        <v>45.14</v>
      </c>
      <c r="Z31" s="10">
        <v>43.2</v>
      </c>
      <c r="AA31" s="10">
        <v>43.56</v>
      </c>
      <c r="AB31" s="95">
        <v>9367100</v>
      </c>
      <c r="AC31" s="10">
        <v>43.56</v>
      </c>
      <c r="AD31" s="2">
        <f t="shared" si="0"/>
        <v>1.9399999999999977</v>
      </c>
      <c r="AE31" s="138">
        <f t="shared" si="1"/>
        <v>-5.6325823223570048E-2</v>
      </c>
    </row>
    <row r="32" spans="1:31" x14ac:dyDescent="0.25">
      <c r="W32" s="133">
        <v>42544</v>
      </c>
      <c r="X32" s="10">
        <v>45.64</v>
      </c>
      <c r="Y32" s="10">
        <v>46.22</v>
      </c>
      <c r="Z32" s="10">
        <v>45.46</v>
      </c>
      <c r="AA32" s="10">
        <v>46.16</v>
      </c>
      <c r="AB32" s="95">
        <v>2964200</v>
      </c>
      <c r="AC32" s="10">
        <v>46.16</v>
      </c>
      <c r="AD32" s="2">
        <f t="shared" si="0"/>
        <v>0.75999999999999801</v>
      </c>
      <c r="AE32" s="138">
        <f t="shared" si="1"/>
        <v>2.5777777777777677E-2</v>
      </c>
    </row>
    <row r="33" spans="1:31" x14ac:dyDescent="0.25">
      <c r="W33" s="133">
        <v>42543</v>
      </c>
      <c r="X33" s="10">
        <v>44.74</v>
      </c>
      <c r="Y33" s="10">
        <v>46.29</v>
      </c>
      <c r="Z33" s="10">
        <v>44.7</v>
      </c>
      <c r="AA33" s="10">
        <v>45</v>
      </c>
      <c r="AB33" s="95">
        <v>3360400</v>
      </c>
      <c r="AC33" s="10">
        <v>45</v>
      </c>
      <c r="AD33" s="2">
        <f t="shared" si="0"/>
        <v>1.5899999999999963</v>
      </c>
      <c r="AE33" s="138">
        <f t="shared" si="1"/>
        <v>2.673796791443861E-3</v>
      </c>
    </row>
    <row r="34" spans="1:31" x14ac:dyDescent="0.25">
      <c r="W34" s="133">
        <v>42542</v>
      </c>
      <c r="X34" s="10">
        <v>45.56</v>
      </c>
      <c r="Y34" s="10">
        <v>45.79</v>
      </c>
      <c r="Z34" s="10">
        <v>44.06</v>
      </c>
      <c r="AA34" s="10">
        <v>44.88</v>
      </c>
      <c r="AB34" s="95">
        <v>5221100</v>
      </c>
      <c r="AC34" s="10">
        <v>44.88</v>
      </c>
      <c r="AD34" s="2">
        <f t="shared" si="0"/>
        <v>1.7299999999999969</v>
      </c>
      <c r="AE34" s="138">
        <f t="shared" si="1"/>
        <v>-1.1018069634200045E-2</v>
      </c>
    </row>
    <row r="35" spans="1:31" x14ac:dyDescent="0.25">
      <c r="L35" t="s">
        <v>230</v>
      </c>
      <c r="M35" s="2">
        <f>K53+M53-F53</f>
        <v>439.77999999999975</v>
      </c>
      <c r="W35" s="133">
        <v>42541</v>
      </c>
      <c r="X35" s="10">
        <v>45.66</v>
      </c>
      <c r="Y35" s="10">
        <v>46.21</v>
      </c>
      <c r="Z35" s="10">
        <v>45.09</v>
      </c>
      <c r="AA35" s="10">
        <v>45.38</v>
      </c>
      <c r="AB35" s="95">
        <v>3812700</v>
      </c>
      <c r="AC35" s="10">
        <v>45.38</v>
      </c>
      <c r="AD35" s="2">
        <f t="shared" si="0"/>
        <v>1.1199999999999974</v>
      </c>
      <c r="AE35" s="138">
        <f t="shared" si="1"/>
        <v>8.2203954676740576E-3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42538</v>
      </c>
      <c r="X36" s="10">
        <v>45.05</v>
      </c>
      <c r="Y36" s="10">
        <v>45.58</v>
      </c>
      <c r="Z36" s="10">
        <v>44.47</v>
      </c>
      <c r="AA36" s="10">
        <v>45.01</v>
      </c>
      <c r="AB36" s="95">
        <v>9207200</v>
      </c>
      <c r="AC36" s="10">
        <v>45.01</v>
      </c>
      <c r="AD36" s="2">
        <f t="shared" si="0"/>
        <v>1.1099999999999994</v>
      </c>
      <c r="AE36" s="138">
        <f t="shared" si="1"/>
        <v>-8.8790233074365066E-4</v>
      </c>
    </row>
    <row r="37" spans="1:31" x14ac:dyDescent="0.25">
      <c r="A37" s="398" t="s">
        <v>225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42537</v>
      </c>
      <c r="X37" s="10">
        <v>44.4</v>
      </c>
      <c r="Y37" s="10">
        <v>45.12</v>
      </c>
      <c r="Z37" s="10">
        <v>44.09</v>
      </c>
      <c r="AA37" s="10">
        <v>45.05</v>
      </c>
      <c r="AB37" s="95">
        <v>3046000</v>
      </c>
      <c r="AC37" s="10">
        <v>45.05</v>
      </c>
      <c r="AD37" s="2">
        <f t="shared" si="0"/>
        <v>1.029999999999994</v>
      </c>
      <c r="AE37" s="138">
        <f t="shared" si="1"/>
        <v>6.9289226642823554E-3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42536</v>
      </c>
      <c r="X38" s="10">
        <v>44.97</v>
      </c>
      <c r="Y38" s="10">
        <v>45.8</v>
      </c>
      <c r="Z38" s="10">
        <v>44.66</v>
      </c>
      <c r="AA38" s="10">
        <v>44.74</v>
      </c>
      <c r="AB38" s="95">
        <v>3455300</v>
      </c>
      <c r="AC38" s="10">
        <v>44.74</v>
      </c>
      <c r="AD38" s="2">
        <f t="shared" si="0"/>
        <v>1.1400000000000006</v>
      </c>
      <c r="AE38" s="138">
        <f t="shared" si="1"/>
        <v>-2.8972587474926925E-3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42535</v>
      </c>
      <c r="X39" s="10">
        <v>44.67</v>
      </c>
      <c r="Y39" s="10">
        <v>45.43</v>
      </c>
      <c r="Z39" s="10">
        <v>44.1</v>
      </c>
      <c r="AA39" s="10">
        <v>44.87</v>
      </c>
      <c r="AB39" s="95">
        <v>4302800</v>
      </c>
      <c r="AC39" s="10">
        <v>44.87</v>
      </c>
      <c r="AD39" s="2">
        <f t="shared" si="0"/>
        <v>1.3299999999999983</v>
      </c>
      <c r="AE39" s="138">
        <f t="shared" si="1"/>
        <v>2.2336385972747674E-3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42534</v>
      </c>
      <c r="X40" s="10">
        <v>44.15</v>
      </c>
      <c r="Y40" s="10">
        <v>45.37</v>
      </c>
      <c r="Z40" s="10">
        <v>44.05</v>
      </c>
      <c r="AA40" s="10">
        <v>44.77</v>
      </c>
      <c r="AB40" s="95">
        <v>4893100</v>
      </c>
      <c r="AC40" s="10">
        <v>44.77</v>
      </c>
      <c r="AD40" s="2">
        <f t="shared" si="0"/>
        <v>1.3200000000000003</v>
      </c>
      <c r="AE40" s="138">
        <f t="shared" si="1"/>
        <v>5.3896249719291855E-3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42531</v>
      </c>
      <c r="X41" s="10">
        <v>44.39</v>
      </c>
      <c r="Y41" s="10">
        <v>44.58</v>
      </c>
      <c r="Z41" s="10">
        <v>43</v>
      </c>
      <c r="AA41" s="10">
        <v>44.53</v>
      </c>
      <c r="AB41" s="95">
        <v>7341000</v>
      </c>
      <c r="AC41" s="10">
        <v>44.53</v>
      </c>
      <c r="AD41" s="2">
        <f t="shared" si="0"/>
        <v>1.5799999999999983</v>
      </c>
      <c r="AE41" s="138">
        <f t="shared" si="1"/>
        <v>-2.6879370629370514E-2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525" t="s">
        <v>78</v>
      </c>
      <c r="P42" s="525"/>
      <c r="T42" s="112" t="s">
        <v>113</v>
      </c>
      <c r="U42" s="9"/>
      <c r="W42" s="133">
        <v>42530</v>
      </c>
      <c r="X42" s="10">
        <v>46.29</v>
      </c>
      <c r="Y42" s="10">
        <v>46.71</v>
      </c>
      <c r="Z42" s="10">
        <v>45.71</v>
      </c>
      <c r="AA42" s="10">
        <v>45.76</v>
      </c>
      <c r="AB42" s="95">
        <v>3919200</v>
      </c>
      <c r="AC42" s="10">
        <v>45.76</v>
      </c>
      <c r="AD42" s="2">
        <f t="shared" si="0"/>
        <v>1</v>
      </c>
      <c r="AE42" s="138">
        <f t="shared" si="1"/>
        <v>-1.6125564394753766E-2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53.383000000000003</v>
      </c>
      <c r="Q43" s="2"/>
      <c r="T43" s="139" t="s">
        <v>98</v>
      </c>
      <c r="U43" s="375">
        <v>48.55</v>
      </c>
      <c r="W43" s="133">
        <v>42529</v>
      </c>
      <c r="X43" s="10">
        <v>46.67</v>
      </c>
      <c r="Y43" s="10">
        <v>47</v>
      </c>
      <c r="Z43" s="10">
        <v>46.18</v>
      </c>
      <c r="AA43" s="10">
        <v>46.51</v>
      </c>
      <c r="AB43" s="95">
        <v>4764000</v>
      </c>
      <c r="AC43" s="10">
        <v>46.51</v>
      </c>
      <c r="AD43" s="2">
        <f t="shared" si="0"/>
        <v>0.82000000000000028</v>
      </c>
      <c r="AE43" s="138">
        <f t="shared" si="1"/>
        <v>-2.1454623471358625E-3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52.897700000000007</v>
      </c>
      <c r="Q44" s="2"/>
      <c r="T44" s="108" t="s">
        <v>99</v>
      </c>
      <c r="U44" s="376">
        <v>48.98</v>
      </c>
      <c r="W44" s="133">
        <v>42528</v>
      </c>
      <c r="X44" s="10">
        <v>46.28</v>
      </c>
      <c r="Y44" s="10">
        <v>46.68</v>
      </c>
      <c r="Z44" s="10">
        <v>45.42</v>
      </c>
      <c r="AA44" s="10">
        <v>46.61</v>
      </c>
      <c r="AB44" s="95">
        <v>4569600</v>
      </c>
      <c r="AC44" s="10">
        <v>46.61</v>
      </c>
      <c r="AD44" s="2">
        <f t="shared" si="0"/>
        <v>1.259999999999998</v>
      </c>
      <c r="AE44" s="138">
        <f t="shared" si="1"/>
        <v>1.9346517626825932E-3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52.412400000000005</v>
      </c>
      <c r="Q45" s="2"/>
      <c r="T45" s="108" t="s">
        <v>100</v>
      </c>
      <c r="U45" s="376" t="s">
        <v>474</v>
      </c>
      <c r="W45" s="133">
        <v>42527</v>
      </c>
      <c r="X45" s="10">
        <v>45.12</v>
      </c>
      <c r="Y45" s="10">
        <v>46.55</v>
      </c>
      <c r="Z45" s="10">
        <v>44.8</v>
      </c>
      <c r="AA45" s="10">
        <v>46.52</v>
      </c>
      <c r="AB45" s="95">
        <v>4955900</v>
      </c>
      <c r="AC45" s="10">
        <v>46.52</v>
      </c>
      <c r="AD45" s="2">
        <f t="shared" si="0"/>
        <v>1.75</v>
      </c>
      <c r="AE45" s="138">
        <f t="shared" si="1"/>
        <v>4.4923629829290102E-2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51.927100000000003</v>
      </c>
      <c r="Q46" s="2"/>
      <c r="T46" s="108" t="s">
        <v>101</v>
      </c>
      <c r="U46" s="376" t="s">
        <v>475</v>
      </c>
      <c r="W46" s="133">
        <v>42524</v>
      </c>
      <c r="X46" s="10">
        <v>44.95</v>
      </c>
      <c r="Y46" s="10">
        <v>45.29</v>
      </c>
      <c r="Z46" s="10">
        <v>43.53</v>
      </c>
      <c r="AA46" s="10">
        <v>44.52</v>
      </c>
      <c r="AB46" s="95">
        <v>2792700</v>
      </c>
      <c r="AC46" s="10">
        <v>44.52</v>
      </c>
      <c r="AD46" s="2">
        <f t="shared" si="0"/>
        <v>1.759999999999998</v>
      </c>
      <c r="AE46" s="138">
        <f t="shared" si="1"/>
        <v>-9.7864768683273429E-3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51.441800000000001</v>
      </c>
      <c r="Q47" s="2"/>
      <c r="T47" s="108" t="s">
        <v>102</v>
      </c>
      <c r="U47" s="376">
        <v>58.06</v>
      </c>
      <c r="W47" s="133">
        <v>42523</v>
      </c>
      <c r="X47" s="10">
        <v>44.75</v>
      </c>
      <c r="Y47" s="10">
        <v>45.68</v>
      </c>
      <c r="Z47" s="10">
        <v>44.55</v>
      </c>
      <c r="AA47" s="10">
        <v>44.96</v>
      </c>
      <c r="AB47" s="95">
        <v>6713800</v>
      </c>
      <c r="AC47" s="10">
        <v>44.96</v>
      </c>
      <c r="AD47" s="2">
        <f t="shared" si="0"/>
        <v>1.1300000000000026</v>
      </c>
      <c r="AE47" s="138">
        <f t="shared" si="1"/>
        <v>1.124606387764282E-2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50.956500000000005</v>
      </c>
      <c r="Q48" s="2"/>
      <c r="T48" s="108" t="s">
        <v>103</v>
      </c>
      <c r="U48" s="376">
        <v>1.3286500000000001</v>
      </c>
      <c r="W48" s="133">
        <v>42522</v>
      </c>
      <c r="X48" s="10">
        <v>43.24</v>
      </c>
      <c r="Y48" s="10">
        <v>44.86</v>
      </c>
      <c r="Z48" s="10">
        <v>42.97</v>
      </c>
      <c r="AA48" s="10">
        <v>44.46</v>
      </c>
      <c r="AB48" s="95">
        <v>5554800</v>
      </c>
      <c r="AC48" s="10">
        <v>44.46</v>
      </c>
      <c r="AD48" s="2">
        <f t="shared" si="0"/>
        <v>1.8900000000000006</v>
      </c>
      <c r="AE48" s="138">
        <f t="shared" si="1"/>
        <v>2.5842178126441961E-2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50.471200000000003</v>
      </c>
      <c r="Q49" s="2"/>
      <c r="T49" s="108" t="s">
        <v>104</v>
      </c>
      <c r="U49" s="376" t="s">
        <v>292</v>
      </c>
      <c r="W49" s="133">
        <v>42521</v>
      </c>
      <c r="X49" s="10">
        <v>43.21</v>
      </c>
      <c r="Y49" s="10">
        <v>43.59</v>
      </c>
      <c r="Z49" s="10">
        <v>42.97</v>
      </c>
      <c r="AA49" s="10">
        <v>43.34</v>
      </c>
      <c r="AB49" s="95">
        <v>3456000</v>
      </c>
      <c r="AC49" s="10">
        <v>43.34</v>
      </c>
      <c r="AD49" s="2">
        <f t="shared" si="0"/>
        <v>0.62000000000000455</v>
      </c>
      <c r="AE49" s="138">
        <f t="shared" si="1"/>
        <v>6.5025545750116986E-3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49.985900000000001</v>
      </c>
      <c r="Q50" s="2"/>
      <c r="T50" s="108"/>
      <c r="U50" s="376"/>
      <c r="W50" s="133">
        <v>42517</v>
      </c>
      <c r="X50" s="10">
        <v>43.06</v>
      </c>
      <c r="Y50" s="10">
        <v>43.84</v>
      </c>
      <c r="Z50" s="10">
        <v>42.89</v>
      </c>
      <c r="AA50" s="10">
        <v>43.06</v>
      </c>
      <c r="AB50" s="95">
        <v>3054000</v>
      </c>
      <c r="AC50" s="10">
        <v>43.06</v>
      </c>
      <c r="AD50" s="2">
        <f t="shared" si="0"/>
        <v>0.95000000000000284</v>
      </c>
      <c r="AE50" s="138">
        <f t="shared" si="1"/>
        <v>4.6663555762949116E-3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49.500599999999999</v>
      </c>
      <c r="Q51" s="2"/>
      <c r="T51" s="108" t="s">
        <v>105</v>
      </c>
      <c r="U51" s="376" t="s">
        <v>476</v>
      </c>
      <c r="W51" s="133">
        <v>42516</v>
      </c>
      <c r="X51" s="10">
        <v>42.66</v>
      </c>
      <c r="Y51" s="10">
        <v>43</v>
      </c>
      <c r="Z51" s="10">
        <v>42.41</v>
      </c>
      <c r="AA51" s="10">
        <v>42.86</v>
      </c>
      <c r="AB51" s="95">
        <v>1953700</v>
      </c>
      <c r="AC51" s="10">
        <v>42.86</v>
      </c>
      <c r="AD51" s="2">
        <f t="shared" si="0"/>
        <v>0.59000000000000341</v>
      </c>
      <c r="AE51" s="138">
        <f t="shared" si="1"/>
        <v>4.217432052483483E-3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49.015300000000003</v>
      </c>
      <c r="Q52" s="2"/>
      <c r="T52" s="108" t="s">
        <v>106</v>
      </c>
      <c r="U52" s="376" t="s">
        <v>346</v>
      </c>
      <c r="W52" s="133">
        <v>42515</v>
      </c>
      <c r="X52" s="10">
        <v>42.47</v>
      </c>
      <c r="Y52" s="10">
        <v>42.97</v>
      </c>
      <c r="Z52" s="10">
        <v>42.14</v>
      </c>
      <c r="AA52" s="10">
        <v>42.68</v>
      </c>
      <c r="AB52" s="95">
        <v>3340100</v>
      </c>
      <c r="AC52" s="10">
        <v>42.68</v>
      </c>
      <c r="AD52" s="2">
        <f t="shared" si="0"/>
        <v>0.82999999999999829</v>
      </c>
      <c r="AE52" s="138">
        <f t="shared" si="1"/>
        <v>5.655042412818112E-3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48.53</v>
      </c>
      <c r="Q53" s="2"/>
      <c r="T53" s="108" t="s">
        <v>107</v>
      </c>
      <c r="U53" s="377">
        <v>4747340</v>
      </c>
      <c r="W53" s="133">
        <v>42514</v>
      </c>
      <c r="X53" s="10">
        <v>41.55</v>
      </c>
      <c r="Y53" s="10">
        <v>42.6</v>
      </c>
      <c r="Z53" s="10">
        <v>41.5</v>
      </c>
      <c r="AA53" s="10">
        <v>42.44</v>
      </c>
      <c r="AB53" s="95">
        <v>3702800</v>
      </c>
      <c r="AC53" s="10">
        <v>42.44</v>
      </c>
      <c r="AD53" s="2">
        <f t="shared" si="0"/>
        <v>1.1000000000000014</v>
      </c>
      <c r="AE53" s="138">
        <f t="shared" si="1"/>
        <v>2.9847124484348342E-2</v>
      </c>
    </row>
    <row r="54" spans="1:31" x14ac:dyDescent="0.25">
      <c r="O54" s="83">
        <v>0.99</v>
      </c>
      <c r="P54" s="83">
        <f t="shared" si="3"/>
        <v>48.044699999999999</v>
      </c>
      <c r="Q54" s="2"/>
      <c r="T54" s="108" t="s">
        <v>110</v>
      </c>
      <c r="U54" s="377">
        <v>4569570</v>
      </c>
      <c r="W54" s="133">
        <v>42513</v>
      </c>
      <c r="X54" s="10">
        <v>41.56</v>
      </c>
      <c r="Y54" s="10">
        <v>41.66</v>
      </c>
      <c r="Z54" s="10">
        <v>40.950000000000003</v>
      </c>
      <c r="AA54" s="10">
        <v>41.21</v>
      </c>
      <c r="AB54" s="95">
        <v>3710900</v>
      </c>
      <c r="AC54" s="10">
        <v>41.21</v>
      </c>
      <c r="AD54" s="2">
        <f t="shared" si="0"/>
        <v>0.70999999999999375</v>
      </c>
      <c r="AE54" s="138">
        <f t="shared" si="1"/>
        <v>-7.2271741748975993E-3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47.559400000000004</v>
      </c>
      <c r="Q55" s="2"/>
      <c r="T55" s="108" t="s">
        <v>108</v>
      </c>
      <c r="U55" s="376" t="s">
        <v>477</v>
      </c>
      <c r="W55" s="133">
        <v>42510</v>
      </c>
      <c r="X55" s="10">
        <v>41.17</v>
      </c>
      <c r="Y55" s="10">
        <v>42.09</v>
      </c>
      <c r="Z55" s="10">
        <v>41.09</v>
      </c>
      <c r="AA55" s="10">
        <v>41.51</v>
      </c>
      <c r="AB55" s="95">
        <v>3550100</v>
      </c>
      <c r="AC55" s="10">
        <v>41.51</v>
      </c>
      <c r="AD55" s="2">
        <f t="shared" si="0"/>
        <v>1</v>
      </c>
      <c r="AE55" s="138">
        <f t="shared" si="1"/>
        <v>9.484435797665336E-3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47.074100000000001</v>
      </c>
      <c r="T56" s="108" t="s">
        <v>111</v>
      </c>
      <c r="U56" s="376">
        <v>31</v>
      </c>
      <c r="W56" s="133">
        <v>42509</v>
      </c>
      <c r="X56" s="10">
        <v>41.83</v>
      </c>
      <c r="Y56" s="10">
        <v>42.42</v>
      </c>
      <c r="Z56" s="10">
        <v>40.5</v>
      </c>
      <c r="AA56" s="10">
        <v>41.12</v>
      </c>
      <c r="AB56" s="95">
        <v>3702100</v>
      </c>
      <c r="AC56" s="10">
        <v>41.12</v>
      </c>
      <c r="AD56" s="2">
        <f t="shared" si="0"/>
        <v>1.9200000000000017</v>
      </c>
      <c r="AE56" s="138">
        <f t="shared" si="1"/>
        <v>-2.1883920076118057E-2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46.588799999999999</v>
      </c>
      <c r="T57" s="108" t="s">
        <v>112</v>
      </c>
      <c r="U57" s="376">
        <v>1.56</v>
      </c>
      <c r="W57" s="133">
        <v>42508</v>
      </c>
      <c r="X57" s="10">
        <v>41.18</v>
      </c>
      <c r="Y57" s="10">
        <v>42.76</v>
      </c>
      <c r="Z57" s="10">
        <v>41.15</v>
      </c>
      <c r="AA57" s="10">
        <v>42.04</v>
      </c>
      <c r="AB57" s="95">
        <v>5298800</v>
      </c>
      <c r="AC57" s="10">
        <v>42.04</v>
      </c>
      <c r="AD57" s="2">
        <f t="shared" si="0"/>
        <v>1.6099999999999994</v>
      </c>
      <c r="AE57" s="138">
        <f t="shared" si="1"/>
        <v>2.4865919063871145E-2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46.103499999999997</v>
      </c>
      <c r="T58" s="108" t="s">
        <v>109</v>
      </c>
      <c r="U58" s="376" t="s">
        <v>124</v>
      </c>
      <c r="W58" s="133">
        <v>42507</v>
      </c>
      <c r="X58" s="10">
        <v>40.4</v>
      </c>
      <c r="Y58" s="10">
        <v>41.72</v>
      </c>
      <c r="Z58" s="10">
        <v>40.21</v>
      </c>
      <c r="AA58" s="10">
        <v>41.02</v>
      </c>
      <c r="AB58" s="95">
        <v>6066900</v>
      </c>
      <c r="AC58" s="10">
        <v>41.02</v>
      </c>
      <c r="AD58" s="2">
        <f t="shared" si="0"/>
        <v>1.509999999999998</v>
      </c>
      <c r="AE58" s="138">
        <f t="shared" si="1"/>
        <v>1.4091470951792306E-2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45.618200000000002</v>
      </c>
      <c r="W59" s="133">
        <v>42506</v>
      </c>
      <c r="X59" s="10">
        <v>39.47</v>
      </c>
      <c r="Y59" s="10">
        <v>40.53</v>
      </c>
      <c r="Z59" s="10">
        <v>39.200000000000003</v>
      </c>
      <c r="AA59" s="10">
        <v>40.450000000000003</v>
      </c>
      <c r="AB59" s="95">
        <v>4879400</v>
      </c>
      <c r="AC59" s="10">
        <v>40.450000000000003</v>
      </c>
      <c r="AD59" s="2">
        <f t="shared" si="0"/>
        <v>1.3299999999999983</v>
      </c>
      <c r="AE59" s="138">
        <f t="shared" si="1"/>
        <v>3.2941777323799881E-2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45.132900000000006</v>
      </c>
      <c r="W60" s="133">
        <v>42503</v>
      </c>
      <c r="X60" s="10">
        <v>38.380000000000003</v>
      </c>
      <c r="Y60" s="10">
        <v>39.32</v>
      </c>
      <c r="Z60" s="10">
        <v>38.049999999999997</v>
      </c>
      <c r="AA60" s="10">
        <v>39.159999999999997</v>
      </c>
      <c r="AB60" s="95">
        <v>5623300</v>
      </c>
      <c r="AC60" s="10">
        <v>39.159999999999997</v>
      </c>
      <c r="AD60" s="2">
        <f t="shared" si="0"/>
        <v>1.2700000000000031</v>
      </c>
      <c r="AE60" s="138">
        <f t="shared" si="1"/>
        <v>1.3982392542724043E-2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44.647600000000004</v>
      </c>
      <c r="W61" s="133">
        <v>42502</v>
      </c>
      <c r="X61" s="10">
        <v>39.65</v>
      </c>
      <c r="Y61" s="10">
        <v>39.89</v>
      </c>
      <c r="Z61" s="10">
        <v>38.01</v>
      </c>
      <c r="AA61" s="10">
        <v>38.619999999999997</v>
      </c>
      <c r="AB61" s="95">
        <v>7383700</v>
      </c>
      <c r="AC61" s="10">
        <v>38.619999999999997</v>
      </c>
      <c r="AD61" s="2">
        <f t="shared" si="0"/>
        <v>1.8800000000000026</v>
      </c>
      <c r="AE61" s="138">
        <f t="shared" si="1"/>
        <v>-2.5731584258325002E-2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44.162300000000002</v>
      </c>
      <c r="W62" s="133">
        <v>42501</v>
      </c>
      <c r="X62" s="10">
        <v>40.71</v>
      </c>
      <c r="Y62" s="10">
        <v>40.75</v>
      </c>
      <c r="Z62" s="10">
        <v>39.57</v>
      </c>
      <c r="AA62" s="10">
        <v>39.64</v>
      </c>
      <c r="AB62" s="95">
        <v>3858300</v>
      </c>
      <c r="AC62" s="10">
        <v>39.64</v>
      </c>
      <c r="AD62" s="2">
        <f t="shared" si="0"/>
        <v>1.1799999999999997</v>
      </c>
      <c r="AE62" s="138">
        <f t="shared" si="1"/>
        <v>-2.8669443763783442E-2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43.677</v>
      </c>
      <c r="W63" s="133">
        <v>42500</v>
      </c>
      <c r="X63" s="10">
        <v>40.880000000000003</v>
      </c>
      <c r="Y63" s="10">
        <v>41.37</v>
      </c>
      <c r="Z63" s="10">
        <v>40.56</v>
      </c>
      <c r="AA63" s="10">
        <v>40.81</v>
      </c>
      <c r="AB63" s="95">
        <v>4606600</v>
      </c>
      <c r="AC63" s="10">
        <v>40.81</v>
      </c>
      <c r="AD63" s="2">
        <f t="shared" si="0"/>
        <v>0.80999999999999517</v>
      </c>
      <c r="AE63" s="138">
        <f t="shared" si="1"/>
        <v>9.811135638950752E-4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42499</v>
      </c>
      <c r="X64" s="10">
        <v>40.520000000000003</v>
      </c>
      <c r="Y64" s="10">
        <v>41.1</v>
      </c>
      <c r="Z64" s="10">
        <v>40.159999999999997</v>
      </c>
      <c r="AA64" s="10">
        <v>40.770000000000003</v>
      </c>
      <c r="AB64" s="95">
        <v>5440000</v>
      </c>
      <c r="AC64" s="10">
        <v>40.770000000000003</v>
      </c>
      <c r="AD64" s="2">
        <f t="shared" si="0"/>
        <v>0.94000000000000483</v>
      </c>
      <c r="AE64" s="138">
        <f t="shared" si="1"/>
        <v>2.8247162673392223E-2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42496</v>
      </c>
      <c r="X65" s="10">
        <v>40.31</v>
      </c>
      <c r="Y65" s="10">
        <v>41.22</v>
      </c>
      <c r="Z65" s="10">
        <v>38.46</v>
      </c>
      <c r="AA65" s="10">
        <v>39.65</v>
      </c>
      <c r="AB65" s="95">
        <v>11473500</v>
      </c>
      <c r="AC65" s="10">
        <v>39.65</v>
      </c>
      <c r="AD65" s="2">
        <f t="shared" si="0"/>
        <v>2.759999999999998</v>
      </c>
      <c r="AE65" s="138">
        <f t="shared" si="1"/>
        <v>-4.2270531400966149E-2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42495</v>
      </c>
      <c r="X66" s="10">
        <v>41.84</v>
      </c>
      <c r="Y66" s="10">
        <v>42.03</v>
      </c>
      <c r="Z66" s="10">
        <v>40.76</v>
      </c>
      <c r="AA66" s="10">
        <v>41.4</v>
      </c>
      <c r="AB66" s="95">
        <v>9059200</v>
      </c>
      <c r="AC66" s="10">
        <v>41.4</v>
      </c>
      <c r="AD66" s="2">
        <f t="shared" si="0"/>
        <v>1.2700000000000031</v>
      </c>
      <c r="AE66" s="138">
        <f t="shared" si="1"/>
        <v>-1.2875536480686622E-2</v>
      </c>
    </row>
    <row r="67" spans="2:31" x14ac:dyDescent="0.25">
      <c r="W67" s="133">
        <v>42494</v>
      </c>
      <c r="X67" s="10">
        <v>43.4</v>
      </c>
      <c r="Y67" s="10">
        <v>43.5</v>
      </c>
      <c r="Z67" s="10">
        <v>41.58</v>
      </c>
      <c r="AA67" s="10">
        <v>41.94</v>
      </c>
      <c r="AB67" s="95">
        <v>5547600</v>
      </c>
      <c r="AC67" s="10">
        <v>41.94</v>
      </c>
      <c r="AD67" s="2">
        <f>Y67-Z67</f>
        <v>1.9200000000000017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33" priority="25">
      <formula>N19&gt;0</formula>
    </cfRule>
    <cfRule type="expression" dxfId="63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31" priority="19">
      <formula>F21&gt;0</formula>
    </cfRule>
    <cfRule type="expression" dxfId="630" priority="20">
      <formula>F21&lt;0</formula>
    </cfRule>
  </conditionalFormatting>
  <conditionalFormatting sqref="H21:H31">
    <cfRule type="expression" dxfId="629" priority="17">
      <formula>H21&gt;0</formula>
    </cfRule>
    <cfRule type="expression" dxfId="628" priority="18">
      <formula>H21&lt;0</formula>
    </cfRule>
  </conditionalFormatting>
  <conditionalFormatting sqref="I21:I31">
    <cfRule type="expression" dxfId="627" priority="15">
      <formula>I21&gt;0</formula>
    </cfRule>
    <cfRule type="expression" dxfId="626" priority="16">
      <formula>I21&lt;0</formula>
    </cfRule>
  </conditionalFormatting>
  <conditionalFormatting sqref="Q8">
    <cfRule type="expression" dxfId="625" priority="7">
      <formula>Q8&gt;0</formula>
    </cfRule>
    <cfRule type="expression" dxfId="624" priority="8">
      <formula>Q8&lt;0</formula>
    </cfRule>
  </conditionalFormatting>
  <conditionalFormatting sqref="Q7">
    <cfRule type="expression" dxfId="623" priority="9">
      <formula>Q7&gt;0</formula>
    </cfRule>
    <cfRule type="expression" dxfId="622" priority="10">
      <formula>Q7&lt;0</formula>
    </cfRule>
  </conditionalFormatting>
  <conditionalFormatting sqref="F56:F66">
    <cfRule type="expression" dxfId="621" priority="5">
      <formula>F56&gt;0</formula>
    </cfRule>
    <cfRule type="expression" dxfId="620" priority="6">
      <formula>F56&lt;0</formula>
    </cfRule>
  </conditionalFormatting>
  <conditionalFormatting sqref="H56:H66">
    <cfRule type="expression" dxfId="619" priority="3">
      <formula>H56&gt;0</formula>
    </cfRule>
    <cfRule type="expression" dxfId="618" priority="4">
      <formula>H56&lt;0</formula>
    </cfRule>
  </conditionalFormatting>
  <conditionalFormatting sqref="I56:I66">
    <cfRule type="expression" dxfId="617" priority="1">
      <formula>I56&gt;0</formula>
    </cfRule>
    <cfRule type="expression" dxfId="61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320</v>
      </c>
      <c r="W2" s="133">
        <v>42587</v>
      </c>
      <c r="X2" s="10">
        <v>86.65</v>
      </c>
      <c r="Y2" s="10">
        <v>87.91</v>
      </c>
      <c r="Z2" s="10">
        <v>86.4</v>
      </c>
      <c r="AA2" s="10">
        <v>87</v>
      </c>
      <c r="AB2" s="95">
        <v>956700</v>
      </c>
      <c r="AC2" s="10">
        <v>87</v>
      </c>
      <c r="AD2" s="2">
        <f>Y2-Z2</f>
        <v>1.5099999999999909</v>
      </c>
      <c r="AE2" s="138">
        <f>AC2/AC3-1</f>
        <v>9.1636701078761096E-3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87.9</v>
      </c>
      <c r="W3" s="133">
        <v>42586</v>
      </c>
      <c r="X3" s="10">
        <v>84.6</v>
      </c>
      <c r="Y3" s="10">
        <v>86.21</v>
      </c>
      <c r="Z3" s="10">
        <v>83.86</v>
      </c>
      <c r="AA3" s="10">
        <v>86.21</v>
      </c>
      <c r="AB3" s="95">
        <v>1139700</v>
      </c>
      <c r="AC3" s="10">
        <v>86.21</v>
      </c>
      <c r="AD3" s="2">
        <f t="shared" ref="AD3:AD66" si="0">Y3-Z3</f>
        <v>2.3499999999999943</v>
      </c>
      <c r="AE3" s="138">
        <f t="shared" ref="AE3:AE66" si="1">AC3/AC4-1</f>
        <v>2.1566536319469032E-2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87.9</v>
      </c>
      <c r="T4" s="1"/>
      <c r="W4" s="133">
        <v>42585</v>
      </c>
      <c r="X4" s="10">
        <v>82.93</v>
      </c>
      <c r="Y4" s="10">
        <v>84.53</v>
      </c>
      <c r="Z4" s="10">
        <v>81.86</v>
      </c>
      <c r="AA4" s="10">
        <v>84.39</v>
      </c>
      <c r="AB4" s="95">
        <v>1001400</v>
      </c>
      <c r="AC4" s="10">
        <v>84.39</v>
      </c>
      <c r="AD4" s="2">
        <f t="shared" si="0"/>
        <v>2.6700000000000017</v>
      </c>
      <c r="AE4" s="138">
        <f t="shared" si="1"/>
        <v>9.5705227898073009E-3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42584</v>
      </c>
      <c r="X5" s="10">
        <v>86.52</v>
      </c>
      <c r="Y5" s="10">
        <v>86.7</v>
      </c>
      <c r="Z5" s="10">
        <v>83.46</v>
      </c>
      <c r="AA5" s="10">
        <v>83.59</v>
      </c>
      <c r="AB5" s="95">
        <v>1052700</v>
      </c>
      <c r="AC5" s="10">
        <v>83.59</v>
      </c>
      <c r="AD5" s="2">
        <f t="shared" si="0"/>
        <v>3.2400000000000091</v>
      </c>
      <c r="AE5" s="138">
        <f t="shared" si="1"/>
        <v>-3.5759603183758149E-2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42583</v>
      </c>
      <c r="X6" s="10">
        <v>87.86</v>
      </c>
      <c r="Y6" s="10">
        <v>88.1</v>
      </c>
      <c r="Z6" s="10">
        <v>86.27</v>
      </c>
      <c r="AA6" s="10">
        <v>86.69</v>
      </c>
      <c r="AB6" s="95">
        <v>776200</v>
      </c>
      <c r="AC6" s="10">
        <v>86.69</v>
      </c>
      <c r="AD6" s="2">
        <f t="shared" si="0"/>
        <v>1.8299999999999983</v>
      </c>
      <c r="AE6" s="138">
        <f t="shared" si="1"/>
        <v>-1.3877829598452962E-2</v>
      </c>
      <c r="AK6" s="236"/>
      <c r="AN6" s="236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420.9900000000016</v>
      </c>
      <c r="R7">
        <v>0</v>
      </c>
      <c r="W7" s="133">
        <v>42580</v>
      </c>
      <c r="X7" s="10">
        <v>86.95</v>
      </c>
      <c r="Y7" s="10">
        <v>88.08</v>
      </c>
      <c r="Z7" s="10">
        <v>84.94</v>
      </c>
      <c r="AA7" s="10">
        <v>87.91</v>
      </c>
      <c r="AB7" s="95">
        <v>1669700</v>
      </c>
      <c r="AC7" s="10">
        <v>87.91</v>
      </c>
      <c r="AD7" s="2">
        <f t="shared" si="0"/>
        <v>3.1400000000000006</v>
      </c>
      <c r="AE7" s="138">
        <f t="shared" si="1"/>
        <v>1.1389783709157886E-2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42579</v>
      </c>
      <c r="X8" s="10">
        <v>87.22</v>
      </c>
      <c r="Y8" s="10">
        <v>87.43</v>
      </c>
      <c r="Z8" s="10">
        <v>85.57</v>
      </c>
      <c r="AA8" s="10">
        <v>86.92</v>
      </c>
      <c r="AB8" s="95">
        <v>1463800</v>
      </c>
      <c r="AC8" s="10">
        <v>86.92</v>
      </c>
      <c r="AD8" s="2">
        <f t="shared" si="0"/>
        <v>1.8600000000000136</v>
      </c>
      <c r="AE8" s="138">
        <f t="shared" si="1"/>
        <v>-3.4395780784223229E-3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231</v>
      </c>
      <c r="Q9" s="138">
        <f>IF(Q2=0, 0, Q8/Q6)</f>
        <v>0</v>
      </c>
      <c r="T9" s="158"/>
      <c r="W9" s="133">
        <v>42578</v>
      </c>
      <c r="X9" s="10">
        <v>88.39</v>
      </c>
      <c r="Y9" s="10">
        <v>89.97</v>
      </c>
      <c r="Z9" s="10">
        <v>86.63</v>
      </c>
      <c r="AA9" s="10">
        <v>87.22</v>
      </c>
      <c r="AB9" s="95">
        <v>1732800</v>
      </c>
      <c r="AC9" s="10">
        <v>87.22</v>
      </c>
      <c r="AD9" s="2">
        <f t="shared" si="0"/>
        <v>3.3400000000000034</v>
      </c>
      <c r="AE9" s="138" t="e">
        <f t="shared" si="1"/>
        <v>#DIV/0!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230</v>
      </c>
      <c r="P10" s="34"/>
      <c r="Q10" s="2">
        <f>M55</f>
        <v>420.9900000000016</v>
      </c>
      <c r="W10" s="133">
        <v>42578</v>
      </c>
      <c r="X10" s="10" t="s">
        <v>142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1.2E-2</v>
      </c>
      <c r="W11" s="133">
        <v>42577</v>
      </c>
      <c r="X11" s="10">
        <v>89.22</v>
      </c>
      <c r="Y11" s="10">
        <v>89.5</v>
      </c>
      <c r="Z11" s="10">
        <v>87.99</v>
      </c>
      <c r="AA11" s="10">
        <v>89.46</v>
      </c>
      <c r="AB11" s="95">
        <v>1258400</v>
      </c>
      <c r="AC11" s="10">
        <v>89.2</v>
      </c>
      <c r="AD11" s="2">
        <f t="shared" si="0"/>
        <v>1.5100000000000051</v>
      </c>
      <c r="AE11" s="138">
        <f t="shared" si="1"/>
        <v>6.7720090293454938E-3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42576</v>
      </c>
      <c r="X12" s="10">
        <v>89.54</v>
      </c>
      <c r="Y12" s="10">
        <v>89.79</v>
      </c>
      <c r="Z12" s="10">
        <v>88.78</v>
      </c>
      <c r="AA12" s="10">
        <v>88.86</v>
      </c>
      <c r="AB12" s="95">
        <v>910100</v>
      </c>
      <c r="AC12" s="10">
        <v>88.6</v>
      </c>
      <c r="AD12" s="2">
        <f t="shared" si="0"/>
        <v>1.0100000000000051</v>
      </c>
      <c r="AE12" s="138">
        <f t="shared" si="1"/>
        <v>-7.5053209364848161E-3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42573</v>
      </c>
      <c r="X13" s="10">
        <v>87.82</v>
      </c>
      <c r="Y13" s="10">
        <v>89.73</v>
      </c>
      <c r="Z13" s="10">
        <v>87.36</v>
      </c>
      <c r="AA13" s="10">
        <v>89.53</v>
      </c>
      <c r="AB13" s="95">
        <v>1571900</v>
      </c>
      <c r="AC13" s="10">
        <v>89.27</v>
      </c>
      <c r="AD13" s="2">
        <f t="shared" si="0"/>
        <v>2.3700000000000045</v>
      </c>
      <c r="AE13" s="138">
        <f t="shared" si="1"/>
        <v>2.3621144364178503E-2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42572</v>
      </c>
      <c r="X14" s="10">
        <v>89.55</v>
      </c>
      <c r="Y14" s="10">
        <v>89.83</v>
      </c>
      <c r="Z14" s="10">
        <v>86.97</v>
      </c>
      <c r="AA14" s="10">
        <v>87.46</v>
      </c>
      <c r="AB14" s="95">
        <v>1919800</v>
      </c>
      <c r="AC14" s="10">
        <v>87.21</v>
      </c>
      <c r="AD14" s="2">
        <f t="shared" si="0"/>
        <v>2.8599999999999994</v>
      </c>
      <c r="AE14" s="138">
        <f t="shared" si="1"/>
        <v>-2.3294881845671522E-2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42571</v>
      </c>
      <c r="X15" s="10">
        <v>90.96</v>
      </c>
      <c r="Y15" s="10">
        <v>90.99</v>
      </c>
      <c r="Z15" s="10">
        <v>89.13</v>
      </c>
      <c r="AA15" s="10">
        <v>89.55</v>
      </c>
      <c r="AB15" s="95">
        <v>1697800</v>
      </c>
      <c r="AC15" s="10">
        <v>89.29</v>
      </c>
      <c r="AD15" s="2">
        <f t="shared" si="0"/>
        <v>1.8599999999999994</v>
      </c>
      <c r="AE15" s="138">
        <f t="shared" si="1"/>
        <v>-9.3198712970152808E-3</v>
      </c>
    </row>
    <row r="16" spans="1:40" x14ac:dyDescent="0.25">
      <c r="G16" s="1"/>
      <c r="H16" s="72"/>
      <c r="W16" s="133">
        <v>42570</v>
      </c>
      <c r="X16" s="10">
        <v>91.84</v>
      </c>
      <c r="Y16" s="10">
        <v>91.92</v>
      </c>
      <c r="Z16" s="10">
        <v>89.77</v>
      </c>
      <c r="AA16" s="10">
        <v>90.39</v>
      </c>
      <c r="AB16" s="95">
        <v>1353600</v>
      </c>
      <c r="AC16" s="10">
        <v>90.13</v>
      </c>
      <c r="AD16" s="2">
        <f t="shared" si="0"/>
        <v>2.1500000000000057</v>
      </c>
      <c r="AE16" s="138">
        <f t="shared" si="1"/>
        <v>-2.0219589085770151E-2</v>
      </c>
    </row>
    <row r="17" spans="1:31" x14ac:dyDescent="0.25">
      <c r="G17" s="1"/>
      <c r="H17" s="72"/>
      <c r="W17" s="133">
        <v>42569</v>
      </c>
      <c r="X17" s="10">
        <v>90.48</v>
      </c>
      <c r="Y17" s="10">
        <v>92.67</v>
      </c>
      <c r="Z17" s="10">
        <v>90.41</v>
      </c>
      <c r="AA17" s="10">
        <v>92.26</v>
      </c>
      <c r="AB17" s="95">
        <v>1456700</v>
      </c>
      <c r="AC17" s="10">
        <v>91.99</v>
      </c>
      <c r="AD17" s="2">
        <f t="shared" si="0"/>
        <v>2.2600000000000051</v>
      </c>
      <c r="AE17" s="138">
        <f t="shared" si="1"/>
        <v>2.1203374777975181E-2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42566</v>
      </c>
      <c r="X18" s="10">
        <v>91.7</v>
      </c>
      <c r="Y18" s="10">
        <v>91.76</v>
      </c>
      <c r="Z18" s="10">
        <v>90</v>
      </c>
      <c r="AA18" s="10">
        <v>90.34</v>
      </c>
      <c r="AB18" s="95">
        <v>1790700</v>
      </c>
      <c r="AC18" s="10">
        <v>90.08</v>
      </c>
      <c r="AD18" s="2">
        <f t="shared" si="0"/>
        <v>1.7600000000000051</v>
      </c>
      <c r="AE18" s="138">
        <f t="shared" si="1"/>
        <v>-1.3578624616732315E-2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>SumByColor($A$19,M2:M17)</f>
        <v>0</v>
      </c>
      <c r="N19" s="2"/>
      <c r="W19" s="133">
        <v>42565</v>
      </c>
      <c r="X19" s="10">
        <v>89.66</v>
      </c>
      <c r="Y19" s="10">
        <v>91.59</v>
      </c>
      <c r="Z19" s="10">
        <v>89.24</v>
      </c>
      <c r="AA19" s="10">
        <v>91.59</v>
      </c>
      <c r="AB19" s="95">
        <v>2416800</v>
      </c>
      <c r="AC19" s="10">
        <v>91.32</v>
      </c>
      <c r="AD19" s="2">
        <f t="shared" si="0"/>
        <v>2.3500000000000085</v>
      </c>
      <c r="AE19" s="138">
        <f t="shared" si="1"/>
        <v>3.1747825104507799E-2</v>
      </c>
    </row>
    <row r="20" spans="1:31" x14ac:dyDescent="0.25">
      <c r="W20" s="133">
        <v>42564</v>
      </c>
      <c r="X20" s="10">
        <v>89.06</v>
      </c>
      <c r="Y20" s="10">
        <v>89.24</v>
      </c>
      <c r="Z20" s="10">
        <v>87.56</v>
      </c>
      <c r="AA20" s="10">
        <v>88.77</v>
      </c>
      <c r="AB20" s="95">
        <v>1099400</v>
      </c>
      <c r="AC20" s="10">
        <v>88.51</v>
      </c>
      <c r="AD20" s="2">
        <f t="shared" si="0"/>
        <v>1.6799999999999926</v>
      </c>
      <c r="AE20" s="138">
        <f t="shared" si="1"/>
        <v>-3.3779979732011522E-3</v>
      </c>
    </row>
    <row r="21" spans="1:31" x14ac:dyDescent="0.25">
      <c r="W21" s="133">
        <v>42563</v>
      </c>
      <c r="X21" s="10">
        <v>88.37</v>
      </c>
      <c r="Y21" s="10">
        <v>89.9</v>
      </c>
      <c r="Z21" s="10">
        <v>88.37</v>
      </c>
      <c r="AA21" s="10">
        <v>89.07</v>
      </c>
      <c r="AB21" s="95">
        <v>2148500</v>
      </c>
      <c r="AC21" s="10">
        <v>88.81</v>
      </c>
      <c r="AD21" s="2">
        <f t="shared" si="0"/>
        <v>1.5300000000000011</v>
      </c>
      <c r="AE21" s="138">
        <f t="shared" si="1"/>
        <v>1.4739488117001986E-2</v>
      </c>
    </row>
    <row r="22" spans="1:31" x14ac:dyDescent="0.25">
      <c r="W22" s="133">
        <v>42562</v>
      </c>
      <c r="X22" s="10">
        <v>84.78</v>
      </c>
      <c r="Y22" s="10">
        <v>87.78</v>
      </c>
      <c r="Z22" s="10">
        <v>84.78</v>
      </c>
      <c r="AA22" s="10">
        <v>87.78</v>
      </c>
      <c r="AB22" s="95">
        <v>2072300</v>
      </c>
      <c r="AC22" s="10">
        <v>87.52</v>
      </c>
      <c r="AD22" s="2">
        <f t="shared" si="0"/>
        <v>3</v>
      </c>
      <c r="AE22" s="138">
        <f t="shared" si="1"/>
        <v>4.2028812953923023E-2</v>
      </c>
    </row>
    <row r="23" spans="1:31" x14ac:dyDescent="0.25">
      <c r="W23" s="133">
        <v>42559</v>
      </c>
      <c r="X23" s="10">
        <v>82.47</v>
      </c>
      <c r="Y23" s="10">
        <v>84.71</v>
      </c>
      <c r="Z23" s="10">
        <v>82.47</v>
      </c>
      <c r="AA23" s="10">
        <v>84.23</v>
      </c>
      <c r="AB23" s="95">
        <v>984100</v>
      </c>
      <c r="AC23" s="10">
        <v>83.99</v>
      </c>
      <c r="AD23" s="2">
        <f t="shared" si="0"/>
        <v>2.2399999999999949</v>
      </c>
      <c r="AE23" s="138">
        <f t="shared" si="1"/>
        <v>2.1403380761279234E-2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42558</v>
      </c>
      <c r="X24" s="10">
        <v>82.35</v>
      </c>
      <c r="Y24" s="10">
        <v>84.49</v>
      </c>
      <c r="Z24" s="10">
        <v>81.680000000000007</v>
      </c>
      <c r="AA24" s="10">
        <v>82.47</v>
      </c>
      <c r="AB24" s="95">
        <v>803000</v>
      </c>
      <c r="AC24" s="10">
        <v>82.23</v>
      </c>
      <c r="AD24" s="2">
        <f t="shared" si="0"/>
        <v>2.8099999999999881</v>
      </c>
      <c r="AE24" s="138">
        <f t="shared" si="1"/>
        <v>4.7653958944282593E-3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3">C25*(E25-D25)</f>
        <v>15.999999999999943</v>
      </c>
      <c r="G25" s="40">
        <f t="shared" ref="G25:G33" si="4">D25*C25</f>
        <v>1924</v>
      </c>
      <c r="H25" s="233">
        <f t="shared" ref="H25:H33" si="5">(E25-D25)/D25</f>
        <v>8.316008316008287E-3</v>
      </c>
      <c r="I25" s="233"/>
      <c r="W25" s="133">
        <v>42557</v>
      </c>
      <c r="X25" s="10">
        <v>80.83</v>
      </c>
      <c r="Y25" s="10">
        <v>82.54</v>
      </c>
      <c r="Z25" s="10">
        <v>80.28</v>
      </c>
      <c r="AA25" s="10">
        <v>82.08</v>
      </c>
      <c r="AB25" s="95">
        <v>1632400</v>
      </c>
      <c r="AC25" s="10">
        <v>81.84</v>
      </c>
      <c r="AD25" s="2">
        <f t="shared" si="0"/>
        <v>2.2600000000000051</v>
      </c>
      <c r="AE25" s="138">
        <f t="shared" si="1"/>
        <v>9.747069710055678E-3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3"/>
        <v>50.600000000000023</v>
      </c>
      <c r="G26" s="40">
        <f t="shared" si="4"/>
        <v>1924</v>
      </c>
      <c r="H26" s="233">
        <f t="shared" si="5"/>
        <v>2.6299376299376311E-2</v>
      </c>
      <c r="I26" s="233"/>
      <c r="W26" s="133">
        <v>42556</v>
      </c>
      <c r="X26" s="10">
        <v>82.88</v>
      </c>
      <c r="Y26" s="10">
        <v>84.1</v>
      </c>
      <c r="Z26" s="10">
        <v>79.349999999999994</v>
      </c>
      <c r="AA26" s="10">
        <v>81.290000000000006</v>
      </c>
      <c r="AB26" s="95">
        <v>1816500</v>
      </c>
      <c r="AC26" s="10">
        <v>81.05</v>
      </c>
      <c r="AD26" s="2">
        <f t="shared" si="0"/>
        <v>4.75</v>
      </c>
      <c r="AE26" s="138">
        <f t="shared" si="1"/>
        <v>-3.4084137766654754E-2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3"/>
        <v>-176.20199999999988</v>
      </c>
      <c r="G27" s="40">
        <f t="shared" si="4"/>
        <v>4063.752</v>
      </c>
      <c r="H27" s="233">
        <f t="shared" si="5"/>
        <v>-4.3359437288495929E-2</v>
      </c>
      <c r="I27" s="234"/>
      <c r="W27" s="133">
        <v>42552</v>
      </c>
      <c r="X27" s="10">
        <v>82.27</v>
      </c>
      <c r="Y27" s="10">
        <v>84.8</v>
      </c>
      <c r="Z27" s="10">
        <v>82.27</v>
      </c>
      <c r="AA27" s="10">
        <v>84.15</v>
      </c>
      <c r="AB27" s="95">
        <v>1241100</v>
      </c>
      <c r="AC27" s="10">
        <v>83.91</v>
      </c>
      <c r="AD27" s="2">
        <f t="shared" si="0"/>
        <v>2.5300000000000011</v>
      </c>
      <c r="AE27" s="138">
        <f t="shared" si="1"/>
        <v>2.117561153705716E-2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3"/>
        <v>-51.239999999999952</v>
      </c>
      <c r="G28" s="40">
        <f t="shared" si="4"/>
        <v>2283.9899999999998</v>
      </c>
      <c r="H28" s="233">
        <f t="shared" si="5"/>
        <v>-2.2434423968581276E-2</v>
      </c>
      <c r="I28" s="233"/>
      <c r="W28" s="133">
        <v>42551</v>
      </c>
      <c r="X28" s="10">
        <v>82</v>
      </c>
      <c r="Y28" s="10">
        <v>82.75</v>
      </c>
      <c r="Z28" s="10">
        <v>80.83</v>
      </c>
      <c r="AA28" s="10">
        <v>82.41</v>
      </c>
      <c r="AB28" s="95">
        <v>1822100</v>
      </c>
      <c r="AC28" s="10">
        <v>82.17</v>
      </c>
      <c r="AD28" s="2">
        <f t="shared" si="0"/>
        <v>1.9200000000000017</v>
      </c>
      <c r="AE28" s="138">
        <f t="shared" si="1"/>
        <v>5.0146771037180571E-3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3"/>
        <v>-146.2399999999999</v>
      </c>
      <c r="G29" s="40">
        <f t="shared" si="4"/>
        <v>2283.9899999999998</v>
      </c>
      <c r="H29" s="233">
        <f t="shared" si="5"/>
        <v>-6.402830134983073E-2</v>
      </c>
      <c r="I29" s="233"/>
      <c r="W29" s="133">
        <v>42550</v>
      </c>
      <c r="X29" s="10">
        <v>81.510000000000005</v>
      </c>
      <c r="Y29" s="10">
        <v>82.87</v>
      </c>
      <c r="Z29" s="10">
        <v>81.5</v>
      </c>
      <c r="AA29" s="10">
        <v>82</v>
      </c>
      <c r="AB29" s="95">
        <v>1350400</v>
      </c>
      <c r="AC29" s="10">
        <v>81.760000000000005</v>
      </c>
      <c r="AD29" s="2">
        <f t="shared" si="0"/>
        <v>1.3700000000000045</v>
      </c>
      <c r="AE29" s="138">
        <f t="shared" si="1"/>
        <v>1.5778357559945499E-2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3"/>
        <v>-159.23999999999978</v>
      </c>
      <c r="G30" s="40">
        <f t="shared" si="4"/>
        <v>4352.74</v>
      </c>
      <c r="H30" s="233">
        <f t="shared" si="5"/>
        <v>-3.6583852929419118E-2</v>
      </c>
      <c r="I30" s="233"/>
      <c r="W30" s="133">
        <v>42549</v>
      </c>
      <c r="X30" s="10">
        <v>81.010000000000005</v>
      </c>
      <c r="Y30" s="10">
        <v>82.91</v>
      </c>
      <c r="Z30" s="10">
        <v>79.92</v>
      </c>
      <c r="AA30" s="10">
        <v>80.72</v>
      </c>
      <c r="AB30" s="95">
        <v>1423000</v>
      </c>
      <c r="AC30" s="10">
        <v>80.489999999999995</v>
      </c>
      <c r="AD30" s="2">
        <f t="shared" si="0"/>
        <v>2.9899999999999949</v>
      </c>
      <c r="AE30" s="138">
        <f t="shared" si="1"/>
        <v>1.8473997216246874E-2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3"/>
        <v>-37.790000000000035</v>
      </c>
      <c r="G31" s="40">
        <f t="shared" si="4"/>
        <v>2188.04</v>
      </c>
      <c r="H31" s="233">
        <f t="shared" si="5"/>
        <v>-1.7271165060967823E-2</v>
      </c>
      <c r="I31" s="233"/>
      <c r="W31" s="133">
        <v>42548</v>
      </c>
      <c r="X31" s="10">
        <v>81.16</v>
      </c>
      <c r="Y31" s="10">
        <v>81.59</v>
      </c>
      <c r="Z31" s="10">
        <v>77</v>
      </c>
      <c r="AA31" s="10">
        <v>79.260000000000005</v>
      </c>
      <c r="AB31" s="95">
        <v>4621200</v>
      </c>
      <c r="AC31" s="10">
        <v>79.03</v>
      </c>
      <c r="AD31" s="2">
        <f t="shared" si="0"/>
        <v>4.5900000000000034</v>
      </c>
      <c r="AE31" s="138">
        <f t="shared" si="1"/>
        <v>-3.3626803619466905E-2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3"/>
        <v>-137.54000000000025</v>
      </c>
      <c r="G32" s="40">
        <f t="shared" si="4"/>
        <v>2188.04</v>
      </c>
      <c r="H32" s="233">
        <f t="shared" si="5"/>
        <v>-6.285991115336112E-2</v>
      </c>
      <c r="I32" s="233"/>
      <c r="W32" s="133">
        <v>42545</v>
      </c>
      <c r="X32" s="10">
        <v>84.35</v>
      </c>
      <c r="Y32" s="10">
        <v>85.27</v>
      </c>
      <c r="Z32" s="10">
        <v>81.650000000000006</v>
      </c>
      <c r="AA32" s="10">
        <v>82.02</v>
      </c>
      <c r="AB32" s="95">
        <v>2846400</v>
      </c>
      <c r="AC32" s="10">
        <v>81.78</v>
      </c>
      <c r="AD32" s="2">
        <f t="shared" si="0"/>
        <v>3.6199999999999903</v>
      </c>
      <c r="AE32" s="138">
        <f t="shared" si="1"/>
        <v>-5.2485227667709466E-2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3"/>
        <v>-167.54249999999934</v>
      </c>
      <c r="G33" s="40">
        <f t="shared" si="4"/>
        <v>6112.0424999999996</v>
      </c>
      <c r="H33" s="233">
        <f t="shared" si="5"/>
        <v>-2.7411867636718715E-2</v>
      </c>
      <c r="I33" s="233"/>
      <c r="W33" s="133">
        <v>42544</v>
      </c>
      <c r="X33" s="10">
        <v>85.54</v>
      </c>
      <c r="Y33" s="10">
        <v>86.62</v>
      </c>
      <c r="Z33" s="10">
        <v>85</v>
      </c>
      <c r="AA33" s="10">
        <v>86.56</v>
      </c>
      <c r="AB33" s="95">
        <v>1606700</v>
      </c>
      <c r="AC33" s="10">
        <v>86.31</v>
      </c>
      <c r="AD33" s="2">
        <f t="shared" si="0"/>
        <v>1.6200000000000045</v>
      </c>
      <c r="AE33" s="138">
        <f t="shared" si="1"/>
        <v>1.2790424782914922E-2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6">C34*(E34-D34)</f>
        <v>-58.042499999999819</v>
      </c>
      <c r="G34" s="40">
        <f t="shared" ref="G34:G35" si="7">D34*C34</f>
        <v>6112.0424999999996</v>
      </c>
      <c r="H34" s="233">
        <f t="shared" ref="H34:H35" si="8">(E34-D34)/D34</f>
        <v>-9.4964162961890114E-3</v>
      </c>
      <c r="I34" s="233"/>
      <c r="W34" s="133">
        <v>42543</v>
      </c>
      <c r="X34" s="10">
        <v>85.12</v>
      </c>
      <c r="Y34" s="10">
        <v>85.93</v>
      </c>
      <c r="Z34" s="10">
        <v>84.7</v>
      </c>
      <c r="AA34" s="10">
        <v>85.47</v>
      </c>
      <c r="AB34" s="95">
        <v>1439100</v>
      </c>
      <c r="AC34" s="10">
        <v>85.22</v>
      </c>
      <c r="AD34" s="2">
        <f t="shared" si="0"/>
        <v>1.230000000000004</v>
      </c>
      <c r="AE34" s="138">
        <f t="shared" si="1"/>
        <v>2.8241939279829431E-3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6"/>
        <v>195.77249999999998</v>
      </c>
      <c r="G35" s="40">
        <f t="shared" si="7"/>
        <v>4432.4775</v>
      </c>
      <c r="H35" s="233">
        <f t="shared" si="8"/>
        <v>4.4167736892065435E-2</v>
      </c>
      <c r="I35" s="233"/>
      <c r="W35" s="133">
        <v>42542</v>
      </c>
      <c r="X35" s="10">
        <v>86.09</v>
      </c>
      <c r="Y35" s="10">
        <v>86.88</v>
      </c>
      <c r="Z35" s="10">
        <v>84.22</v>
      </c>
      <c r="AA35" s="10">
        <v>85.23</v>
      </c>
      <c r="AB35" s="95">
        <v>1735800</v>
      </c>
      <c r="AC35" s="10">
        <v>84.98</v>
      </c>
      <c r="AD35" s="2">
        <f t="shared" si="0"/>
        <v>2.6599999999999966</v>
      </c>
      <c r="AE35" s="138">
        <f t="shared" si="1"/>
        <v>-9.0951492537313383E-3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9">C36*(E36-D36)</f>
        <v>38.472500000000025</v>
      </c>
      <c r="G36" s="40">
        <f t="shared" ref="G36" si="10">D36*C36</f>
        <v>4432.4775</v>
      </c>
      <c r="H36" s="233">
        <f t="shared" ref="H36" si="11">(E36-D36)/D36</f>
        <v>8.6796830891978632E-3</v>
      </c>
      <c r="I36" s="233"/>
      <c r="W36" s="133">
        <v>42541</v>
      </c>
      <c r="X36" s="10">
        <v>85.82</v>
      </c>
      <c r="Y36" s="10">
        <v>89.47</v>
      </c>
      <c r="Z36" s="10">
        <v>85.82</v>
      </c>
      <c r="AA36" s="10">
        <v>86.01</v>
      </c>
      <c r="AB36" s="95">
        <v>2802000</v>
      </c>
      <c r="AC36" s="10">
        <v>85.76</v>
      </c>
      <c r="AD36" s="2">
        <f t="shared" si="0"/>
        <v>3.6500000000000057</v>
      </c>
      <c r="AE36" s="138">
        <f t="shared" si="1"/>
        <v>1.31128174837567E-2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2">C37*(E37-D37)</f>
        <v>466.37249999999932</v>
      </c>
      <c r="G37" s="40">
        <f t="shared" ref="G37" si="13">D37*C37</f>
        <v>4432.4775</v>
      </c>
      <c r="H37" s="233">
        <f t="shared" ref="H37" si="14">(E37-D37)/D37</f>
        <v>0.10521711616133399</v>
      </c>
      <c r="I37" s="233"/>
      <c r="W37" s="133">
        <v>42538</v>
      </c>
      <c r="X37" s="10">
        <v>82.01</v>
      </c>
      <c r="Y37" s="10">
        <v>85.55</v>
      </c>
      <c r="Z37" s="10">
        <v>81.97</v>
      </c>
      <c r="AA37" s="10">
        <v>84.9</v>
      </c>
      <c r="AB37" s="95">
        <v>2741100</v>
      </c>
      <c r="AC37" s="10">
        <v>84.65</v>
      </c>
      <c r="AD37" s="2">
        <f t="shared" si="0"/>
        <v>3.5799999999999983</v>
      </c>
      <c r="AE37" s="138">
        <f t="shared" si="1"/>
        <v>3.5094155050134468E-2</v>
      </c>
    </row>
    <row r="38" spans="2:31" x14ac:dyDescent="0.25">
      <c r="B38" s="195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5">C38*(E38-D38)</f>
        <v>536.22249999999985</v>
      </c>
      <c r="G38" s="40">
        <f t="shared" ref="G38:G39" si="16">D38*C38</f>
        <v>4432.4775</v>
      </c>
      <c r="H38" s="233">
        <f t="shared" ref="H38:H39" si="17">(E38-D38)/D38</f>
        <v>0.12097579739547462</v>
      </c>
      <c r="I38" s="233"/>
      <c r="W38" s="133">
        <v>42537</v>
      </c>
      <c r="X38" s="10">
        <v>82.82</v>
      </c>
      <c r="Y38" s="10">
        <v>83.58</v>
      </c>
      <c r="Z38" s="10">
        <v>81.319999999999993</v>
      </c>
      <c r="AA38" s="10">
        <v>82.02</v>
      </c>
      <c r="AB38" s="95">
        <v>1576300</v>
      </c>
      <c r="AC38" s="10">
        <v>81.78</v>
      </c>
      <c r="AD38" s="2">
        <f t="shared" si="0"/>
        <v>2.2600000000000051</v>
      </c>
      <c r="AE38" s="138">
        <f t="shared" si="1"/>
        <v>-1.1722054380664648E-2</v>
      </c>
    </row>
    <row r="39" spans="2:31" ht="20.25" thickBot="1" x14ac:dyDescent="0.35">
      <c r="B39" s="195">
        <v>42569</v>
      </c>
      <c r="C39" s="10">
        <v>50</v>
      </c>
      <c r="D39" s="40">
        <v>79.449799999999996</v>
      </c>
      <c r="E39" s="40">
        <v>92.26</v>
      </c>
      <c r="F39" s="40">
        <f t="shared" si="15"/>
        <v>640.51000000000045</v>
      </c>
      <c r="G39" s="40">
        <f t="shared" si="16"/>
        <v>3972.49</v>
      </c>
      <c r="H39" s="233">
        <f t="shared" si="17"/>
        <v>0.16123640336413697</v>
      </c>
      <c r="I39" s="233"/>
      <c r="T39" s="112" t="s">
        <v>113</v>
      </c>
      <c r="U39" s="9"/>
      <c r="W39" s="133">
        <v>42536</v>
      </c>
      <c r="X39" s="10">
        <v>84.36</v>
      </c>
      <c r="Y39" s="10">
        <v>84.73</v>
      </c>
      <c r="Z39" s="10">
        <v>82.79</v>
      </c>
      <c r="AA39" s="10">
        <v>82.99</v>
      </c>
      <c r="AB39" s="95">
        <v>2123700</v>
      </c>
      <c r="AC39" s="10">
        <v>82.75</v>
      </c>
      <c r="AD39" s="2">
        <f t="shared" si="0"/>
        <v>1.9399999999999977</v>
      </c>
      <c r="AE39" s="138">
        <f t="shared" si="1"/>
        <v>-1.0522539758459848E-2</v>
      </c>
    </row>
    <row r="40" spans="2:31" ht="15.75" thickTop="1" x14ac:dyDescent="0.25">
      <c r="B40" s="195">
        <v>42570</v>
      </c>
      <c r="C40" s="10">
        <v>50</v>
      </c>
      <c r="D40" s="40">
        <v>79.449799999999996</v>
      </c>
      <c r="E40" s="40">
        <v>90.39</v>
      </c>
      <c r="F40" s="40">
        <f t="shared" ref="F40" si="18">C40*(E40-D40)</f>
        <v>547.01000000000022</v>
      </c>
      <c r="G40" s="40">
        <f t="shared" ref="G40" si="19">D40*C40</f>
        <v>3972.49</v>
      </c>
      <c r="H40" s="233">
        <f t="shared" ref="H40" si="20">(E40-D40)/D40</f>
        <v>0.13769952850730907</v>
      </c>
      <c r="I40" s="233"/>
      <c r="T40" s="139" t="s">
        <v>98</v>
      </c>
      <c r="U40" s="375">
        <v>86.21</v>
      </c>
      <c r="W40" s="133">
        <v>42535</v>
      </c>
      <c r="X40" s="10">
        <v>85.57</v>
      </c>
      <c r="Y40" s="10">
        <v>85.6</v>
      </c>
      <c r="Z40" s="10">
        <v>81.69</v>
      </c>
      <c r="AA40" s="10">
        <v>83.87</v>
      </c>
      <c r="AB40" s="95">
        <v>2895800</v>
      </c>
      <c r="AC40" s="10">
        <v>83.63</v>
      </c>
      <c r="AD40" s="2">
        <f t="shared" si="0"/>
        <v>3.9099999999999966</v>
      </c>
      <c r="AE40" s="138">
        <f t="shared" si="1"/>
        <v>-1.9117992024396124E-2</v>
      </c>
    </row>
    <row r="41" spans="2:31" x14ac:dyDescent="0.25">
      <c r="B41" s="195">
        <v>42571</v>
      </c>
      <c r="C41" s="10">
        <v>50</v>
      </c>
      <c r="D41" s="40">
        <v>79.449799999999996</v>
      </c>
      <c r="E41" s="40">
        <v>89.55</v>
      </c>
      <c r="F41" s="40">
        <f t="shared" ref="F41" si="21">C41*(E41-D41)</f>
        <v>505.01000000000005</v>
      </c>
      <c r="G41" s="40">
        <f t="shared" ref="G41" si="22">D41*C41</f>
        <v>3972.49</v>
      </c>
      <c r="H41" s="233">
        <f t="shared" ref="H41" si="23">(E41-D41)/D41</f>
        <v>0.12712681466787834</v>
      </c>
      <c r="I41" s="233"/>
      <c r="T41" s="108" t="s">
        <v>99</v>
      </c>
      <c r="U41" s="376">
        <v>86.65</v>
      </c>
      <c r="W41" s="133">
        <v>42534</v>
      </c>
      <c r="X41" s="10">
        <v>89</v>
      </c>
      <c r="Y41" s="10">
        <v>89.1</v>
      </c>
      <c r="Z41" s="10">
        <v>85.32</v>
      </c>
      <c r="AA41" s="10">
        <v>85.51</v>
      </c>
      <c r="AB41" s="95">
        <v>1463100</v>
      </c>
      <c r="AC41" s="10">
        <v>85.26</v>
      </c>
      <c r="AD41" s="2">
        <f t="shared" si="0"/>
        <v>3.7800000000000011</v>
      </c>
      <c r="AE41" s="138">
        <f t="shared" si="1"/>
        <v>-4.0621131990547954E-2</v>
      </c>
    </row>
    <row r="42" spans="2:31" ht="20.25" thickBot="1" x14ac:dyDescent="0.35">
      <c r="B42" s="195">
        <v>42572</v>
      </c>
      <c r="C42" s="10">
        <v>50</v>
      </c>
      <c r="D42" s="40">
        <v>79.449799999999996</v>
      </c>
      <c r="E42" s="40">
        <v>87.46</v>
      </c>
      <c r="F42" s="40">
        <f t="shared" ref="F42" si="24">C42*(E42-D42)</f>
        <v>400.50999999999988</v>
      </c>
      <c r="G42" s="40">
        <f t="shared" ref="G42" si="25">D42*C42</f>
        <v>3972.49</v>
      </c>
      <c r="H42" s="233">
        <f t="shared" ref="H42" si="26">(E42-D42)/D42</f>
        <v>0.1008208957102472</v>
      </c>
      <c r="I42" s="233"/>
      <c r="O42" s="525" t="s">
        <v>78</v>
      </c>
      <c r="P42" s="525"/>
      <c r="T42" s="108" t="s">
        <v>100</v>
      </c>
      <c r="U42" s="376" t="s">
        <v>478</v>
      </c>
      <c r="W42" s="133">
        <v>42531</v>
      </c>
      <c r="X42" s="10">
        <v>88.23</v>
      </c>
      <c r="Y42" s="10">
        <v>90.11</v>
      </c>
      <c r="Z42" s="10">
        <v>87.9</v>
      </c>
      <c r="AA42" s="10">
        <v>89.13</v>
      </c>
      <c r="AB42" s="95">
        <v>2418100</v>
      </c>
      <c r="AC42" s="10">
        <v>88.87</v>
      </c>
      <c r="AD42" s="2">
        <f t="shared" si="0"/>
        <v>2.2099999999999937</v>
      </c>
      <c r="AE42" s="138">
        <f t="shared" si="1"/>
        <v>-5.2608014327288899E-3</v>
      </c>
    </row>
    <row r="43" spans="2:31" ht="15.75" thickTop="1" x14ac:dyDescent="0.25">
      <c r="B43" s="195">
        <v>42575</v>
      </c>
      <c r="C43" s="10">
        <v>50</v>
      </c>
      <c r="D43" s="40">
        <v>79.449799999999996</v>
      </c>
      <c r="E43" s="40">
        <v>89.53</v>
      </c>
      <c r="F43" s="40">
        <f t="shared" ref="F43" si="27">C43*(E43-D43)</f>
        <v>504.01000000000022</v>
      </c>
      <c r="G43" s="40">
        <f t="shared" ref="G43" si="28">D43*C43</f>
        <v>3972.49</v>
      </c>
      <c r="H43" s="233">
        <f t="shared" ref="H43" si="29">(E43-D43)/D43</f>
        <v>0.12687508338598719</v>
      </c>
      <c r="I43" s="233"/>
      <c r="O43" s="83">
        <v>1.1000000000000001</v>
      </c>
      <c r="P43" s="83">
        <f>O43*$Q$4</f>
        <v>96.690000000000012</v>
      </c>
      <c r="Q43" s="2"/>
      <c r="T43" s="108" t="s">
        <v>101</v>
      </c>
      <c r="U43" s="376" t="s">
        <v>479</v>
      </c>
      <c r="W43" s="133">
        <v>42530</v>
      </c>
      <c r="X43" s="10">
        <v>89</v>
      </c>
      <c r="Y43" s="10">
        <v>90.68</v>
      </c>
      <c r="Z43" s="10">
        <v>88.42</v>
      </c>
      <c r="AA43" s="10">
        <v>89.6</v>
      </c>
      <c r="AB43" s="95">
        <v>2611300</v>
      </c>
      <c r="AC43" s="10">
        <v>89.34</v>
      </c>
      <c r="AD43" s="2">
        <f t="shared" si="0"/>
        <v>2.2600000000000051</v>
      </c>
      <c r="AE43" s="138">
        <f t="shared" si="1"/>
        <v>3.2565974171814283E-3</v>
      </c>
    </row>
    <row r="44" spans="2:31" x14ac:dyDescent="0.25">
      <c r="B44" s="195">
        <v>42576</v>
      </c>
      <c r="C44" s="10">
        <v>50</v>
      </c>
      <c r="D44" s="40">
        <v>79.449799999999996</v>
      </c>
      <c r="E44" s="40">
        <v>88.86</v>
      </c>
      <c r="F44" s="40">
        <f t="shared" ref="F44" si="30">C44*(E44-D44)</f>
        <v>470.51000000000016</v>
      </c>
      <c r="G44" s="40">
        <f t="shared" ref="G44" si="31">D44*C44</f>
        <v>3972.49</v>
      </c>
      <c r="H44" s="233">
        <f t="shared" ref="H44" si="32">(E44-D44)/D44</f>
        <v>0.11844208544263174</v>
      </c>
      <c r="I44" s="233"/>
      <c r="O44" s="83">
        <v>1.0900000000000001</v>
      </c>
      <c r="P44" s="83">
        <f t="shared" ref="P44:P63" si="33">O44*$Q$4</f>
        <v>95.811000000000007</v>
      </c>
      <c r="Q44" s="2"/>
      <c r="T44" s="108" t="s">
        <v>102</v>
      </c>
      <c r="U44" s="376">
        <v>131.02000000000001</v>
      </c>
      <c r="W44" s="133">
        <v>42529</v>
      </c>
      <c r="X44" s="10">
        <v>86.84</v>
      </c>
      <c r="Y44" s="10">
        <v>90.5</v>
      </c>
      <c r="Z44" s="10">
        <v>86.1</v>
      </c>
      <c r="AA44" s="10">
        <v>89.31</v>
      </c>
      <c r="AB44" s="95">
        <v>4561600</v>
      </c>
      <c r="AC44" s="10">
        <v>89.05</v>
      </c>
      <c r="AD44" s="2">
        <f t="shared" si="0"/>
        <v>4.4000000000000057</v>
      </c>
      <c r="AE44" s="138">
        <f t="shared" si="1"/>
        <v>3.9696438995913574E-2</v>
      </c>
    </row>
    <row r="45" spans="2:31" x14ac:dyDescent="0.25">
      <c r="B45" s="195">
        <v>42577</v>
      </c>
      <c r="C45" s="10">
        <v>50</v>
      </c>
      <c r="D45" s="40">
        <v>79.449799999999996</v>
      </c>
      <c r="E45" s="40">
        <v>89.46</v>
      </c>
      <c r="F45" s="40">
        <f t="shared" ref="F45:F46" si="34">C45*(E45-D45)</f>
        <v>500.50999999999988</v>
      </c>
      <c r="G45" s="40">
        <f t="shared" ref="G45:G46" si="35">D45*C45</f>
        <v>3972.49</v>
      </c>
      <c r="H45" s="233">
        <f t="shared" ref="H45:H46" si="36">(E45-D45)/D45</f>
        <v>0.12599402389936787</v>
      </c>
      <c r="I45" s="233"/>
      <c r="O45" s="83">
        <v>1.08</v>
      </c>
      <c r="P45" s="83">
        <f t="shared" si="33"/>
        <v>94.932000000000016</v>
      </c>
      <c r="Q45" s="2"/>
      <c r="T45" s="108" t="s">
        <v>103</v>
      </c>
      <c r="U45" s="376">
        <v>1.13331</v>
      </c>
      <c r="W45" s="133">
        <v>42528</v>
      </c>
      <c r="X45" s="10">
        <v>86.5</v>
      </c>
      <c r="Y45" s="10">
        <v>86.71</v>
      </c>
      <c r="Z45" s="10">
        <v>84.15</v>
      </c>
      <c r="AA45" s="10">
        <v>85.9</v>
      </c>
      <c r="AB45" s="95">
        <v>2971000</v>
      </c>
      <c r="AC45" s="10">
        <v>85.65</v>
      </c>
      <c r="AD45" s="2">
        <f t="shared" si="0"/>
        <v>2.5599999999999881</v>
      </c>
      <c r="AE45" s="138">
        <f t="shared" si="1"/>
        <v>-5.6884142094264512E-3</v>
      </c>
    </row>
    <row r="46" spans="2:31" x14ac:dyDescent="0.25">
      <c r="B46" s="195">
        <v>42580</v>
      </c>
      <c r="C46" s="10">
        <v>30</v>
      </c>
      <c r="D46" s="40">
        <v>73.937700000000007</v>
      </c>
      <c r="E46" s="40">
        <v>87.72</v>
      </c>
      <c r="F46" s="40">
        <f t="shared" si="34"/>
        <v>413.46899999999977</v>
      </c>
      <c r="G46" s="40">
        <f t="shared" si="35"/>
        <v>2218.1310000000003</v>
      </c>
      <c r="H46" s="233">
        <f t="shared" si="36"/>
        <v>0.18640422950673324</v>
      </c>
      <c r="I46" s="233"/>
      <c r="O46" s="83">
        <v>1.07</v>
      </c>
      <c r="P46" s="83">
        <f t="shared" si="33"/>
        <v>94.053000000000011</v>
      </c>
      <c r="Q46" s="2"/>
      <c r="T46" s="108" t="s">
        <v>104</v>
      </c>
      <c r="U46" s="376" t="s">
        <v>577</v>
      </c>
      <c r="W46" s="133">
        <v>42527</v>
      </c>
      <c r="X46" s="10">
        <v>87.47</v>
      </c>
      <c r="Y46" s="10">
        <v>87.74</v>
      </c>
      <c r="Z46" s="10">
        <v>84.27</v>
      </c>
      <c r="AA46" s="10">
        <v>86.39</v>
      </c>
      <c r="AB46" s="95">
        <v>4353800</v>
      </c>
      <c r="AC46" s="10">
        <v>86.14</v>
      </c>
      <c r="AD46" s="2">
        <f t="shared" si="0"/>
        <v>3.4699999999999989</v>
      </c>
      <c r="AE46" s="138">
        <f t="shared" si="1"/>
        <v>-2.0357102240418534E-2</v>
      </c>
    </row>
    <row r="47" spans="2:31" x14ac:dyDescent="0.25">
      <c r="B47" s="195">
        <v>42580</v>
      </c>
      <c r="C47" s="10">
        <v>0</v>
      </c>
      <c r="D47" s="40"/>
      <c r="E47" s="40"/>
      <c r="F47" s="40">
        <v>420.99</v>
      </c>
      <c r="G47" s="40"/>
      <c r="H47" s="233"/>
      <c r="I47" s="233"/>
      <c r="O47" s="83">
        <v>1.06</v>
      </c>
      <c r="P47" s="83">
        <f t="shared" si="33"/>
        <v>93.174000000000007</v>
      </c>
      <c r="Q47" s="2"/>
      <c r="T47" s="108"/>
      <c r="U47" s="376"/>
      <c r="W47" s="133">
        <v>42524</v>
      </c>
      <c r="X47" s="10">
        <v>92.14</v>
      </c>
      <c r="Y47" s="10">
        <v>92.4</v>
      </c>
      <c r="Z47" s="10">
        <v>87.48</v>
      </c>
      <c r="AA47" s="10">
        <v>88.19</v>
      </c>
      <c r="AB47" s="95">
        <v>3837000</v>
      </c>
      <c r="AC47" s="10">
        <v>87.93</v>
      </c>
      <c r="AD47" s="2">
        <f t="shared" si="0"/>
        <v>4.9200000000000017</v>
      </c>
      <c r="AE47" s="138">
        <f t="shared" si="1"/>
        <v>-4.3823401478903734E-2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233"/>
      <c r="O48" s="83">
        <v>1.05</v>
      </c>
      <c r="P48" s="83">
        <f t="shared" si="33"/>
        <v>92.295000000000016</v>
      </c>
      <c r="Q48" s="2"/>
      <c r="T48" s="108" t="s">
        <v>105</v>
      </c>
      <c r="U48" s="376" t="s">
        <v>480</v>
      </c>
      <c r="W48" s="133">
        <v>42523</v>
      </c>
      <c r="X48" s="10">
        <v>98.66</v>
      </c>
      <c r="Y48" s="10">
        <v>99.03</v>
      </c>
      <c r="Z48" s="10">
        <v>84.8</v>
      </c>
      <c r="AA48" s="10">
        <v>92.23</v>
      </c>
      <c r="AB48" s="95">
        <v>11586700</v>
      </c>
      <c r="AC48" s="10">
        <v>91.96</v>
      </c>
      <c r="AD48" s="2">
        <f t="shared" si="0"/>
        <v>14.230000000000004</v>
      </c>
      <c r="AE48" s="138">
        <f t="shared" si="1"/>
        <v>-6.5826899634295E-2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233"/>
      <c r="O49" s="83">
        <v>1.04</v>
      </c>
      <c r="P49" s="83">
        <f t="shared" si="33"/>
        <v>91.416000000000011</v>
      </c>
      <c r="Q49" s="2"/>
      <c r="T49" s="108" t="s">
        <v>106</v>
      </c>
      <c r="U49" s="376" t="s">
        <v>371</v>
      </c>
      <c r="W49" s="133">
        <v>42522</v>
      </c>
      <c r="X49" s="10">
        <v>98.76</v>
      </c>
      <c r="Y49" s="10">
        <v>99.28</v>
      </c>
      <c r="Z49" s="10">
        <v>98.01</v>
      </c>
      <c r="AA49" s="10">
        <v>98.73</v>
      </c>
      <c r="AB49" s="95">
        <v>1499300</v>
      </c>
      <c r="AC49" s="10">
        <v>98.44</v>
      </c>
      <c r="AD49" s="2">
        <f t="shared" si="0"/>
        <v>1.269999999999996</v>
      </c>
      <c r="AE49" s="138">
        <f t="shared" si="1"/>
        <v>-2.4321037697608849E-3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233"/>
      <c r="O50" s="83">
        <v>1.03</v>
      </c>
      <c r="P50" s="83">
        <f t="shared" si="33"/>
        <v>90.537000000000006</v>
      </c>
      <c r="Q50" s="2"/>
      <c r="T50" s="108" t="s">
        <v>107</v>
      </c>
      <c r="U50" s="377">
        <v>957095</v>
      </c>
      <c r="W50" s="133">
        <v>42521</v>
      </c>
      <c r="X50" s="10">
        <v>99.37</v>
      </c>
      <c r="Y50" s="10">
        <v>99.7</v>
      </c>
      <c r="Z50" s="10">
        <v>97.85</v>
      </c>
      <c r="AA50" s="10">
        <v>98.97</v>
      </c>
      <c r="AB50" s="95">
        <v>2047200</v>
      </c>
      <c r="AC50" s="10">
        <v>98.68</v>
      </c>
      <c r="AD50" s="2">
        <f t="shared" si="0"/>
        <v>1.8500000000000085</v>
      </c>
      <c r="AE50" s="138">
        <f t="shared" si="1"/>
        <v>-6.1436196998690962E-3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233"/>
      <c r="O51" s="83">
        <v>1.02</v>
      </c>
      <c r="P51" s="83">
        <f t="shared" si="33"/>
        <v>89.658000000000001</v>
      </c>
      <c r="Q51" s="2"/>
      <c r="T51" s="108" t="s">
        <v>110</v>
      </c>
      <c r="U51" s="377">
        <v>2090480</v>
      </c>
      <c r="W51" s="133">
        <v>42517</v>
      </c>
      <c r="X51" s="10">
        <v>96.08</v>
      </c>
      <c r="Y51" s="10">
        <v>99.8</v>
      </c>
      <c r="Z51" s="10">
        <v>96.05</v>
      </c>
      <c r="AA51" s="10">
        <v>99.58</v>
      </c>
      <c r="AB51" s="95">
        <v>3783800</v>
      </c>
      <c r="AC51" s="10">
        <v>99.29</v>
      </c>
      <c r="AD51" s="2">
        <f t="shared" si="0"/>
        <v>3.75</v>
      </c>
      <c r="AE51" s="138">
        <f t="shared" si="1"/>
        <v>2.6571546732837126E-2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233"/>
      <c r="O52" s="83">
        <v>1.01</v>
      </c>
      <c r="P52" s="83">
        <f t="shared" si="33"/>
        <v>88.779000000000011</v>
      </c>
      <c r="Q52" s="2"/>
      <c r="T52" s="108" t="s">
        <v>108</v>
      </c>
      <c r="U52" s="376" t="s">
        <v>481</v>
      </c>
      <c r="W52" s="133">
        <v>42516</v>
      </c>
      <c r="X52" s="10">
        <v>108.98</v>
      </c>
      <c r="Y52" s="10">
        <v>109.09</v>
      </c>
      <c r="Z52" s="10">
        <v>95.99</v>
      </c>
      <c r="AA52" s="10">
        <v>97</v>
      </c>
      <c r="AB52" s="95">
        <v>9944700</v>
      </c>
      <c r="AC52" s="10">
        <v>96.72</v>
      </c>
      <c r="AD52" s="2">
        <f t="shared" si="0"/>
        <v>13.100000000000009</v>
      </c>
      <c r="AE52" s="138">
        <f t="shared" si="1"/>
        <v>-0.10494169905607997</v>
      </c>
    </row>
    <row r="53" spans="1:31" x14ac:dyDescent="0.25">
      <c r="O53" s="83">
        <v>1</v>
      </c>
      <c r="P53" s="83">
        <f t="shared" si="33"/>
        <v>87.9</v>
      </c>
      <c r="Q53" s="2"/>
      <c r="T53" s="108" t="s">
        <v>111</v>
      </c>
      <c r="U53" s="376">
        <v>13.9</v>
      </c>
      <c r="W53" s="133">
        <v>42515</v>
      </c>
      <c r="X53" s="10">
        <v>105.97</v>
      </c>
      <c r="Y53" s="10">
        <v>108.81</v>
      </c>
      <c r="Z53" s="10">
        <v>105.95</v>
      </c>
      <c r="AA53" s="10">
        <v>108.37</v>
      </c>
      <c r="AB53" s="95">
        <v>2235800</v>
      </c>
      <c r="AC53" s="10">
        <v>108.06</v>
      </c>
      <c r="AD53" s="2">
        <f t="shared" si="0"/>
        <v>2.8599999999999994</v>
      </c>
      <c r="AE53" s="138">
        <f t="shared" si="1"/>
        <v>2.4556745994121609E-2</v>
      </c>
    </row>
    <row r="54" spans="1:31" x14ac:dyDescent="0.25">
      <c r="O54" s="83">
        <v>0.99</v>
      </c>
      <c r="P54" s="83">
        <f t="shared" si="33"/>
        <v>87.021000000000001</v>
      </c>
      <c r="Q54" s="2"/>
      <c r="T54" s="108" t="s">
        <v>112</v>
      </c>
      <c r="U54" s="376">
        <v>6.26</v>
      </c>
      <c r="W54" s="133">
        <v>42514</v>
      </c>
      <c r="X54" s="10">
        <v>108.03</v>
      </c>
      <c r="Y54" s="10">
        <v>108.52</v>
      </c>
      <c r="Z54" s="10">
        <v>105.55</v>
      </c>
      <c r="AA54" s="10">
        <v>105.78</v>
      </c>
      <c r="AB54" s="95">
        <v>1751500</v>
      </c>
      <c r="AC54" s="10">
        <v>105.47</v>
      </c>
      <c r="AD54" s="2">
        <f t="shared" si="0"/>
        <v>2.9699999999999989</v>
      </c>
      <c r="AE54" s="138">
        <f t="shared" si="1"/>
        <v>-2.0159791898922363E-2</v>
      </c>
    </row>
    <row r="55" spans="1:31" x14ac:dyDescent="0.25">
      <c r="L55" t="s">
        <v>65</v>
      </c>
      <c r="M55" s="2">
        <f>K73+M73-F73</f>
        <v>420.9900000000016</v>
      </c>
      <c r="O55" s="83">
        <v>0.98</v>
      </c>
      <c r="P55" s="83">
        <f t="shared" si="33"/>
        <v>86.14200000000001</v>
      </c>
      <c r="Q55" s="2"/>
      <c r="T55" s="108" t="s">
        <v>109</v>
      </c>
      <c r="U55" s="376" t="s">
        <v>578</v>
      </c>
      <c r="W55" s="133">
        <v>42513</v>
      </c>
      <c r="X55" s="10">
        <v>107.37</v>
      </c>
      <c r="Y55" s="10">
        <v>109.42</v>
      </c>
      <c r="Z55" s="10">
        <v>106.78</v>
      </c>
      <c r="AA55" s="10">
        <v>107.95</v>
      </c>
      <c r="AB55" s="95">
        <v>1452400</v>
      </c>
      <c r="AC55" s="10">
        <v>107.64</v>
      </c>
      <c r="AD55" s="2">
        <f t="shared" si="0"/>
        <v>2.6400000000000006</v>
      </c>
      <c r="AE55" s="138">
        <f t="shared" si="1"/>
        <v>7.0165590794275534E-3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33"/>
        <v>85.263000000000005</v>
      </c>
      <c r="W56" s="133">
        <v>42510</v>
      </c>
      <c r="X56" s="10">
        <v>108.51</v>
      </c>
      <c r="Y56" s="10">
        <v>108.67</v>
      </c>
      <c r="Z56" s="10">
        <v>106.06</v>
      </c>
      <c r="AA56" s="10">
        <v>107.2</v>
      </c>
      <c r="AB56" s="95">
        <v>1192400</v>
      </c>
      <c r="AC56" s="10">
        <v>106.89</v>
      </c>
      <c r="AD56" s="2">
        <f t="shared" si="0"/>
        <v>2.6099999999999994</v>
      </c>
      <c r="AE56" s="138">
        <f t="shared" si="1"/>
        <v>-1.3474850023073359E-2</v>
      </c>
    </row>
    <row r="57" spans="1:31" x14ac:dyDescent="0.25">
      <c r="A57" s="269" t="s">
        <v>245</v>
      </c>
      <c r="B57" s="270">
        <v>42516</v>
      </c>
      <c r="C57" s="265">
        <v>20</v>
      </c>
      <c r="D57" s="266">
        <v>96.2</v>
      </c>
      <c r="E57" s="266">
        <v>0</v>
      </c>
      <c r="F57" s="266">
        <f t="shared" ref="F57:F62" si="37">C57*D57 + E57</f>
        <v>1924</v>
      </c>
      <c r="G57" s="270">
        <v>42516</v>
      </c>
      <c r="H57" s="265">
        <v>20</v>
      </c>
      <c r="I57" s="266">
        <v>88.99</v>
      </c>
      <c r="J57" s="266">
        <v>0.04</v>
      </c>
      <c r="K57" s="266">
        <f t="shared" ref="K57:K62" si="38">H57*I57 - J57</f>
        <v>1779.76</v>
      </c>
      <c r="L57" s="270">
        <v>42608</v>
      </c>
      <c r="M57" s="265"/>
      <c r="O57" s="83">
        <v>0.96</v>
      </c>
      <c r="P57" s="83">
        <f t="shared" si="33"/>
        <v>84.384</v>
      </c>
      <c r="W57" s="133">
        <v>42509</v>
      </c>
      <c r="X57" s="10">
        <v>106.06</v>
      </c>
      <c r="Y57" s="10">
        <v>109.13</v>
      </c>
      <c r="Z57" s="10">
        <v>105.23</v>
      </c>
      <c r="AA57" s="10">
        <v>108.67</v>
      </c>
      <c r="AB57" s="95">
        <v>1388700</v>
      </c>
      <c r="AC57" s="10">
        <v>108.35</v>
      </c>
      <c r="AD57" s="2">
        <f t="shared" si="0"/>
        <v>3.8999999999999915</v>
      </c>
      <c r="AE57" s="138">
        <f t="shared" si="1"/>
        <v>1.7848755284170847E-2</v>
      </c>
    </row>
    <row r="58" spans="1:31" x14ac:dyDescent="0.25">
      <c r="A58" s="272" t="s">
        <v>71</v>
      </c>
      <c r="B58" s="494">
        <v>42527</v>
      </c>
      <c r="C58" s="265">
        <v>25</v>
      </c>
      <c r="D58" s="266">
        <v>85.59</v>
      </c>
      <c r="E58" s="266">
        <v>0</v>
      </c>
      <c r="F58" s="266">
        <f t="shared" si="37"/>
        <v>2139.75</v>
      </c>
      <c r="G58" s="270">
        <v>42541</v>
      </c>
      <c r="H58" s="271">
        <v>25</v>
      </c>
      <c r="I58" s="266">
        <v>86.59</v>
      </c>
      <c r="J58" s="266">
        <v>0.05</v>
      </c>
      <c r="K58" s="266">
        <f t="shared" si="38"/>
        <v>2164.6999999999998</v>
      </c>
      <c r="L58" s="265"/>
      <c r="M58" s="265"/>
      <c r="O58" s="83">
        <v>0.95</v>
      </c>
      <c r="P58" s="83">
        <f t="shared" si="33"/>
        <v>83.504999999999995</v>
      </c>
      <c r="W58" s="133">
        <v>42508</v>
      </c>
      <c r="X58" s="10">
        <v>105.32</v>
      </c>
      <c r="Y58" s="10">
        <v>107.54</v>
      </c>
      <c r="Z58" s="10">
        <v>105.06</v>
      </c>
      <c r="AA58" s="10">
        <v>106.76</v>
      </c>
      <c r="AB58" s="95">
        <v>794800</v>
      </c>
      <c r="AC58" s="10">
        <v>106.45</v>
      </c>
      <c r="AD58" s="2">
        <f t="shared" si="0"/>
        <v>2.480000000000004</v>
      </c>
      <c r="AE58" s="138">
        <f t="shared" si="1"/>
        <v>6.2387749314680718E-3</v>
      </c>
    </row>
    <row r="59" spans="1:31" x14ac:dyDescent="0.25">
      <c r="A59" s="265"/>
      <c r="B59" s="494">
        <v>42535</v>
      </c>
      <c r="C59" s="265">
        <v>20</v>
      </c>
      <c r="D59" s="266">
        <v>82.75</v>
      </c>
      <c r="E59" s="266">
        <v>0</v>
      </c>
      <c r="F59" s="266">
        <f t="shared" si="37"/>
        <v>1655</v>
      </c>
      <c r="G59" s="270">
        <v>42552</v>
      </c>
      <c r="H59" s="271">
        <v>20</v>
      </c>
      <c r="I59" s="266">
        <v>83.98</v>
      </c>
      <c r="J59" s="266">
        <v>0.04</v>
      </c>
      <c r="K59" s="266">
        <f t="shared" si="38"/>
        <v>1679.5600000000002</v>
      </c>
      <c r="L59" s="265"/>
      <c r="M59" s="265"/>
      <c r="O59" s="83">
        <v>0.94</v>
      </c>
      <c r="P59" s="83">
        <f t="shared" si="33"/>
        <v>82.626000000000005</v>
      </c>
      <c r="W59" s="133">
        <v>42507</v>
      </c>
      <c r="X59" s="10">
        <v>106.32</v>
      </c>
      <c r="Y59" s="10">
        <v>108.44</v>
      </c>
      <c r="Z59" s="10">
        <v>105.08</v>
      </c>
      <c r="AA59" s="10">
        <v>106.1</v>
      </c>
      <c r="AB59" s="95">
        <v>789200</v>
      </c>
      <c r="AC59" s="10">
        <v>105.79</v>
      </c>
      <c r="AD59" s="2">
        <f t="shared" si="0"/>
        <v>3.3599999999999994</v>
      </c>
      <c r="AE59" s="138">
        <f t="shared" si="1"/>
        <v>-9.4437623949372718E-4</v>
      </c>
    </row>
    <row r="60" spans="1:31" x14ac:dyDescent="0.25">
      <c r="A60" s="265"/>
      <c r="B60" s="270">
        <v>42535</v>
      </c>
      <c r="C60" s="265">
        <v>5</v>
      </c>
      <c r="D60" s="266">
        <v>82.75</v>
      </c>
      <c r="E60" s="266">
        <v>0</v>
      </c>
      <c r="F60" s="266">
        <f t="shared" si="37"/>
        <v>413.75</v>
      </c>
      <c r="G60" s="270">
        <v>42569</v>
      </c>
      <c r="H60" s="271">
        <v>5</v>
      </c>
      <c r="I60" s="266">
        <v>92</v>
      </c>
      <c r="J60" s="266">
        <v>0.01</v>
      </c>
      <c r="K60" s="266">
        <f t="shared" si="38"/>
        <v>459.99</v>
      </c>
      <c r="L60" s="265"/>
      <c r="M60" s="265"/>
      <c r="O60" s="83">
        <v>0.93</v>
      </c>
      <c r="P60" s="83">
        <f t="shared" si="33"/>
        <v>81.747000000000014</v>
      </c>
      <c r="W60" s="133">
        <v>42506</v>
      </c>
      <c r="X60" s="10">
        <v>103.03</v>
      </c>
      <c r="Y60" s="10">
        <v>106.95</v>
      </c>
      <c r="Z60" s="10">
        <v>103.03</v>
      </c>
      <c r="AA60" s="10">
        <v>106.2</v>
      </c>
      <c r="AB60" s="95">
        <v>992900</v>
      </c>
      <c r="AC60" s="10">
        <v>105.89</v>
      </c>
      <c r="AD60" s="2">
        <f t="shared" si="0"/>
        <v>3.9200000000000017</v>
      </c>
      <c r="AE60" s="138">
        <f t="shared" si="1"/>
        <v>3.0058365758754979E-2</v>
      </c>
    </row>
    <row r="61" spans="1:31" x14ac:dyDescent="0.25">
      <c r="A61" s="265"/>
      <c r="B61" s="270">
        <v>42548</v>
      </c>
      <c r="C61" s="265">
        <v>20</v>
      </c>
      <c r="D61" s="266">
        <v>78.48</v>
      </c>
      <c r="E61" s="266">
        <v>0</v>
      </c>
      <c r="F61" s="266">
        <f t="shared" si="37"/>
        <v>1569.6000000000001</v>
      </c>
      <c r="G61" s="270">
        <v>42580</v>
      </c>
      <c r="H61" s="271">
        <v>20</v>
      </c>
      <c r="I61" s="266">
        <v>87.72</v>
      </c>
      <c r="J61" s="266">
        <v>0.04</v>
      </c>
      <c r="K61" s="266">
        <f t="shared" si="38"/>
        <v>1754.3600000000001</v>
      </c>
      <c r="L61" s="265"/>
      <c r="M61" s="265"/>
      <c r="O61" s="83">
        <v>0.92</v>
      </c>
      <c r="P61" s="83">
        <f t="shared" si="33"/>
        <v>80.868000000000009</v>
      </c>
      <c r="W61" s="133">
        <v>42503</v>
      </c>
      <c r="X61" s="10">
        <v>103.98</v>
      </c>
      <c r="Y61" s="10">
        <v>104.4</v>
      </c>
      <c r="Z61" s="10">
        <v>102.24</v>
      </c>
      <c r="AA61" s="10">
        <v>103.1</v>
      </c>
      <c r="AB61" s="95">
        <v>1207200</v>
      </c>
      <c r="AC61" s="10">
        <v>102.8</v>
      </c>
      <c r="AD61" s="2">
        <f t="shared" si="0"/>
        <v>2.1600000000000108</v>
      </c>
      <c r="AE61" s="138">
        <f t="shared" si="1"/>
        <v>-9.6339113680153909E-3</v>
      </c>
    </row>
    <row r="62" spans="1:31" x14ac:dyDescent="0.25">
      <c r="A62" s="265"/>
      <c r="B62" s="270">
        <v>42548</v>
      </c>
      <c r="C62" s="265">
        <v>30</v>
      </c>
      <c r="D62" s="266">
        <v>78.48</v>
      </c>
      <c r="E62" s="266">
        <v>0</v>
      </c>
      <c r="F62" s="266">
        <f t="shared" si="37"/>
        <v>2354.4</v>
      </c>
      <c r="G62" s="270">
        <v>42580</v>
      </c>
      <c r="H62" s="271">
        <v>30</v>
      </c>
      <c r="I62" s="266">
        <v>87.97</v>
      </c>
      <c r="J62" s="266">
        <v>-0.02</v>
      </c>
      <c r="K62" s="266">
        <f t="shared" si="38"/>
        <v>2639.12</v>
      </c>
      <c r="L62" s="265"/>
      <c r="M62" s="265"/>
      <c r="O62" s="83">
        <v>0.91</v>
      </c>
      <c r="P62" s="83">
        <f t="shared" si="33"/>
        <v>79.989000000000004</v>
      </c>
      <c r="W62" s="133">
        <v>42502</v>
      </c>
      <c r="X62" s="10">
        <v>103.98</v>
      </c>
      <c r="Y62" s="10">
        <v>105.68</v>
      </c>
      <c r="Z62" s="10">
        <v>103.11</v>
      </c>
      <c r="AA62" s="10">
        <v>104.1</v>
      </c>
      <c r="AB62" s="95">
        <v>904000</v>
      </c>
      <c r="AC62" s="10">
        <v>103.8</v>
      </c>
      <c r="AD62" s="2">
        <f t="shared" si="0"/>
        <v>2.5700000000000074</v>
      </c>
      <c r="AE62" s="138">
        <f t="shared" si="1"/>
        <v>1.1574074074072183E-3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33"/>
        <v>79.110000000000014</v>
      </c>
      <c r="W63" s="133">
        <v>42501</v>
      </c>
      <c r="X63" s="10">
        <v>106.77</v>
      </c>
      <c r="Y63" s="10">
        <v>106.96</v>
      </c>
      <c r="Z63" s="10">
        <v>102.15</v>
      </c>
      <c r="AA63" s="10">
        <v>103.98</v>
      </c>
      <c r="AB63" s="95">
        <v>2342600</v>
      </c>
      <c r="AC63" s="10">
        <v>103.68</v>
      </c>
      <c r="AD63" s="2">
        <f t="shared" si="0"/>
        <v>4.8099999999999881</v>
      </c>
      <c r="AE63" s="138">
        <f t="shared" si="1"/>
        <v>-3.8218923933209581E-2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42500</v>
      </c>
      <c r="X64" s="10">
        <v>107.18</v>
      </c>
      <c r="Y64" s="10">
        <v>108.99</v>
      </c>
      <c r="Z64" s="10">
        <v>107.18</v>
      </c>
      <c r="AA64" s="10">
        <v>108.11</v>
      </c>
      <c r="AB64" s="95">
        <v>960100</v>
      </c>
      <c r="AC64" s="10">
        <v>107.8</v>
      </c>
      <c r="AD64" s="2">
        <f t="shared" si="0"/>
        <v>1.8099999999999881</v>
      </c>
      <c r="AE64" s="138">
        <f t="shared" si="1"/>
        <v>4.5662100456620447E-3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42499</v>
      </c>
      <c r="X65" s="10">
        <v>107.93</v>
      </c>
      <c r="Y65" s="10">
        <v>108.67</v>
      </c>
      <c r="Z65" s="10">
        <v>107.36</v>
      </c>
      <c r="AA65" s="10">
        <v>107.62</v>
      </c>
      <c r="AB65" s="95">
        <v>854800</v>
      </c>
      <c r="AC65" s="10">
        <v>107.31</v>
      </c>
      <c r="AD65" s="2">
        <f t="shared" si="0"/>
        <v>1.3100000000000023</v>
      </c>
      <c r="AE65" s="138">
        <f t="shared" si="1"/>
        <v>-3.4361069836552627E-3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42496</v>
      </c>
      <c r="X66" s="10">
        <v>108.01</v>
      </c>
      <c r="Y66" s="10">
        <v>108.83</v>
      </c>
      <c r="Z66" s="10">
        <v>105.79</v>
      </c>
      <c r="AA66" s="10">
        <v>107.99</v>
      </c>
      <c r="AB66" s="95">
        <v>897100</v>
      </c>
      <c r="AC66" s="10">
        <v>107.68</v>
      </c>
      <c r="AD66" s="2">
        <f t="shared" si="0"/>
        <v>3.039999999999992</v>
      </c>
      <c r="AE66" s="138">
        <f t="shared" si="1"/>
        <v>-6.4587562280862265E-3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42495</v>
      </c>
      <c r="X67" s="10">
        <v>109.3</v>
      </c>
      <c r="Y67" s="10">
        <v>109.62</v>
      </c>
      <c r="Z67" s="10">
        <v>107.9</v>
      </c>
      <c r="AA67" s="10">
        <v>108.7</v>
      </c>
      <c r="AB67" s="95">
        <v>906200</v>
      </c>
      <c r="AC67" s="10">
        <v>108.38</v>
      </c>
      <c r="AD67" s="2">
        <f>Y67-Z67</f>
        <v>1.7199999999999989</v>
      </c>
      <c r="AE67" s="138">
        <f>AC67/AC68-1</f>
        <v>-7.1454745327959035E-3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42494</v>
      </c>
      <c r="X68" s="10">
        <v>108.43</v>
      </c>
      <c r="Y68" s="10">
        <v>110.14</v>
      </c>
      <c r="Z68" s="10">
        <v>108.28</v>
      </c>
      <c r="AA68" s="10">
        <v>109.48</v>
      </c>
      <c r="AB68" s="95">
        <v>509200</v>
      </c>
      <c r="AC68" s="10">
        <v>109.16</v>
      </c>
      <c r="AD68" s="2">
        <f>Y68-Z68</f>
        <v>1.8599999999999994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s="288" t="s">
        <v>122</v>
      </c>
      <c r="AB69" s="237"/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120</v>
      </c>
      <c r="D73" s="14"/>
      <c r="E73" s="14"/>
      <c r="F73" s="18">
        <f t="shared" ref="F73" si="39">SUM(F57:F69)</f>
        <v>10056.5</v>
      </c>
      <c r="G73" s="14"/>
      <c r="H73" s="14">
        <f t="shared" ref="H73" si="40">SUM(H57:H69)</f>
        <v>120</v>
      </c>
      <c r="I73" s="14"/>
      <c r="J73" s="14"/>
      <c r="K73" s="14">
        <f t="shared" ref="K73" si="41">SUM(K57:K69)</f>
        <v>10477.490000000002</v>
      </c>
      <c r="L73" s="14"/>
      <c r="M73" s="18">
        <f t="shared" ref="M73" si="42">SUM(M57:M69)</f>
        <v>0</v>
      </c>
    </row>
    <row r="74" spans="1:31" ht="15.75" thickBot="1" x14ac:dyDescent="0.3">
      <c r="A74" s="496" t="s">
        <v>206</v>
      </c>
      <c r="B74" s="497"/>
      <c r="C74" s="498">
        <f>SumByColor($A$19,C57:C72)</f>
        <v>0</v>
      </c>
      <c r="D74" s="498"/>
      <c r="E74" s="498"/>
      <c r="F74" s="499">
        <f>SumByColor($A$19,F57:F72)</f>
        <v>0</v>
      </c>
      <c r="G74" s="498"/>
      <c r="H74" s="498">
        <f>SumByColor($A$19,H57:H72)</f>
        <v>0</v>
      </c>
      <c r="I74" s="498"/>
      <c r="J74" s="498"/>
      <c r="K74" s="499">
        <f>SumByColor($A$19,K57:K72)</f>
        <v>0</v>
      </c>
      <c r="L74" s="498"/>
      <c r="M74" s="499">
        <f>SumByColor($A$19,M57:M72)</f>
        <v>0</v>
      </c>
    </row>
  </sheetData>
  <mergeCells count="1">
    <mergeCell ref="O42:P42"/>
  </mergeCells>
  <conditionalFormatting sqref="N19">
    <cfRule type="expression" dxfId="615" priority="19">
      <formula>N19&gt;0</formula>
    </cfRule>
    <cfRule type="expression" dxfId="61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613" priority="13">
      <formula>F29&gt;0</formula>
    </cfRule>
    <cfRule type="expression" dxfId="612" priority="14">
      <formula>F29&lt;0</formula>
    </cfRule>
  </conditionalFormatting>
  <conditionalFormatting sqref="H29:H52">
    <cfRule type="expression" dxfId="611" priority="11">
      <formula>H29&gt;0</formula>
    </cfRule>
    <cfRule type="expression" dxfId="610" priority="12">
      <formula>H29&lt;0</formula>
    </cfRule>
  </conditionalFormatting>
  <conditionalFormatting sqref="I25:I52">
    <cfRule type="expression" dxfId="609" priority="9">
      <formula>I25&gt;0</formula>
    </cfRule>
    <cfRule type="expression" dxfId="608" priority="10">
      <formula>I25&lt;0</formula>
    </cfRule>
  </conditionalFormatting>
  <conditionalFormatting sqref="Q7">
    <cfRule type="expression" dxfId="607" priority="7">
      <formula>Q7&gt;0</formula>
    </cfRule>
    <cfRule type="expression" dxfId="606" priority="8">
      <formula>Q7&lt;0</formula>
    </cfRule>
  </conditionalFormatting>
  <conditionalFormatting sqref="Q8">
    <cfRule type="expression" dxfId="605" priority="5">
      <formula>Q8&gt;0</formula>
    </cfRule>
    <cfRule type="expression" dxfId="604" priority="6">
      <formula>Q8&lt;0</formula>
    </cfRule>
  </conditionalFormatting>
  <conditionalFormatting sqref="F25:F28">
    <cfRule type="expression" dxfId="603" priority="3">
      <formula>F25&gt;0</formula>
    </cfRule>
    <cfRule type="expression" dxfId="602" priority="4">
      <formula>F25&lt;0</formula>
    </cfRule>
  </conditionalFormatting>
  <conditionalFormatting sqref="H25:H28">
    <cfRule type="expression" dxfId="601" priority="1">
      <formula>H25&gt;0</formula>
    </cfRule>
    <cfRule type="expression" dxfId="600" priority="2">
      <formula>H25&lt;0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42587</v>
      </c>
      <c r="X2" s="10">
        <v>106.27</v>
      </c>
      <c r="Y2" s="10">
        <v>107.65</v>
      </c>
      <c r="Z2" s="10">
        <v>106.18</v>
      </c>
      <c r="AA2" s="10">
        <v>107.48</v>
      </c>
      <c r="AB2" s="95">
        <v>38415400</v>
      </c>
      <c r="AC2" s="10">
        <v>107.48</v>
      </c>
      <c r="AD2" s="2">
        <f>Y2-Z2</f>
        <v>1.4699999999999989</v>
      </c>
      <c r="AE2" s="138">
        <f>AC2/AC3-1</f>
        <v>1.5207329744025611E-2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108.37</v>
      </c>
      <c r="W3" s="133">
        <v>42586</v>
      </c>
      <c r="X3" s="10">
        <v>105.58</v>
      </c>
      <c r="Y3" s="10">
        <v>106</v>
      </c>
      <c r="Z3" s="10">
        <v>105.28</v>
      </c>
      <c r="AA3" s="10">
        <v>105.87</v>
      </c>
      <c r="AB3" s="95">
        <v>27408700</v>
      </c>
      <c r="AC3" s="10">
        <v>105.87</v>
      </c>
      <c r="AD3" s="2">
        <f t="shared" ref="AD3:AD66" si="0">Y3-Z3</f>
        <v>0.71999999999999886</v>
      </c>
      <c r="AE3" s="138" t="e">
        <f t="shared" ref="AE3:AE66" si="1">AC3/AC4-1</f>
        <v>#DIV/0!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108.37</v>
      </c>
      <c r="T4" s="1"/>
      <c r="W4" s="133">
        <v>42586</v>
      </c>
      <c r="X4" s="10" t="s">
        <v>227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42585</v>
      </c>
      <c r="X5" s="10">
        <v>104.81</v>
      </c>
      <c r="Y5" s="10">
        <v>105.84</v>
      </c>
      <c r="Z5" s="10">
        <v>104.77</v>
      </c>
      <c r="AA5" s="10">
        <v>105.79</v>
      </c>
      <c r="AB5" s="95">
        <v>30202600</v>
      </c>
      <c r="AC5" s="10">
        <v>105.22</v>
      </c>
      <c r="AD5" s="2">
        <f t="shared" si="0"/>
        <v>1.0700000000000074</v>
      </c>
      <c r="AE5" s="138">
        <f t="shared" si="1"/>
        <v>1.2509622786758934E-2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42584</v>
      </c>
      <c r="X6" s="10">
        <v>106.05</v>
      </c>
      <c r="Y6" s="10">
        <v>106.07</v>
      </c>
      <c r="Z6" s="10">
        <v>104</v>
      </c>
      <c r="AA6" s="10">
        <v>104.48</v>
      </c>
      <c r="AB6" s="95">
        <v>33816600</v>
      </c>
      <c r="AC6" s="10">
        <v>103.92</v>
      </c>
      <c r="AD6" s="2">
        <f t="shared" si="0"/>
        <v>2.0699999999999932</v>
      </c>
      <c r="AE6" s="138">
        <f t="shared" si="1"/>
        <v>-1.4789533560864654E-2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188</v>
      </c>
      <c r="Q7" s="2">
        <f>Q10+Q8</f>
        <v>363.09999999999945</v>
      </c>
      <c r="R7">
        <v>0</v>
      </c>
      <c r="W7" s="133">
        <v>42583</v>
      </c>
      <c r="X7" s="10">
        <v>104.41</v>
      </c>
      <c r="Y7" s="10">
        <v>106.15</v>
      </c>
      <c r="Z7" s="10">
        <v>104.41</v>
      </c>
      <c r="AA7" s="10">
        <v>106.05</v>
      </c>
      <c r="AB7" s="95">
        <v>38167900</v>
      </c>
      <c r="AC7" s="10">
        <v>105.48</v>
      </c>
      <c r="AD7" s="2">
        <f t="shared" si="0"/>
        <v>1.7400000000000091</v>
      </c>
      <c r="AE7" s="138">
        <f t="shared" si="1"/>
        <v>1.7655571635311063E-2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42580</v>
      </c>
      <c r="X8" s="10">
        <v>104.19</v>
      </c>
      <c r="Y8" s="10">
        <v>104.55</v>
      </c>
      <c r="Z8" s="10">
        <v>103.68</v>
      </c>
      <c r="AA8" s="10">
        <v>104.21</v>
      </c>
      <c r="AB8" s="95">
        <v>27733700</v>
      </c>
      <c r="AC8" s="10">
        <v>103.65</v>
      </c>
      <c r="AD8" s="2">
        <f t="shared" si="0"/>
        <v>0.86999999999999034</v>
      </c>
      <c r="AE8" s="138">
        <f t="shared" si="1"/>
        <v>-1.2526498361918881E-3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T9" s="158"/>
      <c r="W9" s="133">
        <v>42579</v>
      </c>
      <c r="X9" s="10">
        <v>102.83</v>
      </c>
      <c r="Y9" s="10">
        <v>104.45</v>
      </c>
      <c r="Z9" s="10">
        <v>102.82</v>
      </c>
      <c r="AA9" s="10">
        <v>104.34</v>
      </c>
      <c r="AB9" s="95">
        <v>39869800</v>
      </c>
      <c r="AC9" s="10">
        <v>103.78</v>
      </c>
      <c r="AD9" s="2">
        <f t="shared" si="0"/>
        <v>1.6300000000000097</v>
      </c>
      <c r="AE9" s="138">
        <f t="shared" si="1"/>
        <v>1.3476562499999956E-2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230</v>
      </c>
      <c r="P10" s="34"/>
      <c r="Q10" s="2">
        <f>M55</f>
        <v>363.09999999999945</v>
      </c>
      <c r="W10" s="133">
        <v>42578</v>
      </c>
      <c r="X10" s="10">
        <v>104.27</v>
      </c>
      <c r="Y10" s="10">
        <v>104.35</v>
      </c>
      <c r="Z10" s="10">
        <v>102.75</v>
      </c>
      <c r="AA10" s="10">
        <v>102.95</v>
      </c>
      <c r="AB10" s="95">
        <v>92344800</v>
      </c>
      <c r="AC10" s="10">
        <v>102.4</v>
      </c>
      <c r="AD10" s="2">
        <f t="shared" si="0"/>
        <v>1.5999999999999943</v>
      </c>
      <c r="AE10" s="138">
        <f t="shared" si="1"/>
        <v>6.5002600104004049E-2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2.12E-2</v>
      </c>
      <c r="W11" s="133">
        <v>42577</v>
      </c>
      <c r="X11" s="10">
        <v>96.82</v>
      </c>
      <c r="Y11" s="10">
        <v>97.97</v>
      </c>
      <c r="Z11" s="10">
        <v>96.42</v>
      </c>
      <c r="AA11" s="10">
        <v>96.67</v>
      </c>
      <c r="AB11" s="95">
        <v>56239800</v>
      </c>
      <c r="AC11" s="10">
        <v>96.15</v>
      </c>
      <c r="AD11" s="2">
        <f t="shared" si="0"/>
        <v>1.5499999999999972</v>
      </c>
      <c r="AE11" s="138">
        <f t="shared" si="1"/>
        <v>-6.9200578392892842E-3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42576</v>
      </c>
      <c r="X12" s="10">
        <v>98.25</v>
      </c>
      <c r="Y12" s="10">
        <v>98.84</v>
      </c>
      <c r="Z12" s="10">
        <v>96.92</v>
      </c>
      <c r="AA12" s="10">
        <v>97.34</v>
      </c>
      <c r="AB12" s="95">
        <v>40382900</v>
      </c>
      <c r="AC12" s="10">
        <v>96.82</v>
      </c>
      <c r="AD12" s="2">
        <f t="shared" si="0"/>
        <v>1.9200000000000017</v>
      </c>
      <c r="AE12" s="138">
        <f t="shared" si="1"/>
        <v>-1.3349638234994465E-2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42573</v>
      </c>
      <c r="X13" s="10">
        <v>99.26</v>
      </c>
      <c r="Y13" s="10">
        <v>99.3</v>
      </c>
      <c r="Z13" s="10">
        <v>98.31</v>
      </c>
      <c r="AA13" s="10">
        <v>98.66</v>
      </c>
      <c r="AB13" s="95">
        <v>28313700</v>
      </c>
      <c r="AC13" s="10">
        <v>98.13</v>
      </c>
      <c r="AD13" s="2">
        <f t="shared" si="0"/>
        <v>0.98999999999999488</v>
      </c>
      <c r="AE13" s="138">
        <f t="shared" si="1"/>
        <v>-7.6853069066640245E-3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42572</v>
      </c>
      <c r="X14" s="10">
        <v>99.83</v>
      </c>
      <c r="Y14" s="10">
        <v>101</v>
      </c>
      <c r="Z14" s="10">
        <v>99.13</v>
      </c>
      <c r="AA14" s="10">
        <v>99.43</v>
      </c>
      <c r="AB14" s="95">
        <v>32702000</v>
      </c>
      <c r="AC14" s="10">
        <v>98.89</v>
      </c>
      <c r="AD14" s="2">
        <f t="shared" si="0"/>
        <v>1.8700000000000045</v>
      </c>
      <c r="AE14" s="138">
        <f t="shared" si="1"/>
        <v>-5.3309193321263715E-3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42571</v>
      </c>
      <c r="X15" s="10">
        <v>100</v>
      </c>
      <c r="Y15" s="10">
        <v>100.46</v>
      </c>
      <c r="Z15" s="10">
        <v>99.74</v>
      </c>
      <c r="AA15" s="10">
        <v>99.96</v>
      </c>
      <c r="AB15" s="95">
        <v>26276000</v>
      </c>
      <c r="AC15" s="10">
        <v>99.42</v>
      </c>
      <c r="AD15" s="2">
        <f t="shared" si="0"/>
        <v>0.71999999999999886</v>
      </c>
      <c r="AE15" s="138">
        <f t="shared" si="1"/>
        <v>9.0607067351267112E-4</v>
      </c>
    </row>
    <row r="16" spans="1:40" x14ac:dyDescent="0.25">
      <c r="G16" s="1"/>
      <c r="H16" s="72"/>
      <c r="W16" s="133">
        <v>42570</v>
      </c>
      <c r="X16" s="10">
        <v>99.56</v>
      </c>
      <c r="Y16" s="10">
        <v>100</v>
      </c>
      <c r="Z16" s="10">
        <v>99.34</v>
      </c>
      <c r="AA16" s="10">
        <v>99.87</v>
      </c>
      <c r="AB16" s="95">
        <v>23779900</v>
      </c>
      <c r="AC16" s="10">
        <v>99.33</v>
      </c>
      <c r="AD16" s="2">
        <f t="shared" si="0"/>
        <v>0.65999999999999659</v>
      </c>
      <c r="AE16" s="138">
        <f t="shared" si="1"/>
        <v>4.0286030818803553E-4</v>
      </c>
    </row>
    <row r="17" spans="1:31" x14ac:dyDescent="0.25">
      <c r="G17" s="1"/>
      <c r="H17" s="72"/>
      <c r="W17" s="133">
        <v>42569</v>
      </c>
      <c r="X17" s="10">
        <v>98.7</v>
      </c>
      <c r="Y17" s="10">
        <v>100.13</v>
      </c>
      <c r="Z17" s="10">
        <v>98.6</v>
      </c>
      <c r="AA17" s="10">
        <v>99.83</v>
      </c>
      <c r="AB17" s="95">
        <v>36493900</v>
      </c>
      <c r="AC17" s="10">
        <v>99.29</v>
      </c>
      <c r="AD17" s="2">
        <f t="shared" si="0"/>
        <v>1.5300000000000011</v>
      </c>
      <c r="AE17" s="138">
        <f t="shared" si="1"/>
        <v>1.058524173027986E-2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42566</v>
      </c>
      <c r="X18" s="10">
        <v>98.92</v>
      </c>
      <c r="Y18" s="10">
        <v>99.3</v>
      </c>
      <c r="Z18" s="10">
        <v>98.5</v>
      </c>
      <c r="AA18" s="10">
        <v>98.78</v>
      </c>
      <c r="AB18" s="95">
        <v>30137000</v>
      </c>
      <c r="AC18" s="10">
        <v>98.25</v>
      </c>
      <c r="AD18" s="2">
        <f t="shared" si="0"/>
        <v>0.79999999999999716</v>
      </c>
      <c r="AE18" s="138">
        <f t="shared" si="1"/>
        <v>-1.0177081213114114E-4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3">SumByColor($A$19,M2:M17)</f>
        <v>0</v>
      </c>
      <c r="N19" s="2"/>
      <c r="W19" s="133">
        <v>42565</v>
      </c>
      <c r="X19" s="10">
        <v>97.39</v>
      </c>
      <c r="Y19" s="10">
        <v>98.99</v>
      </c>
      <c r="Z19" s="10">
        <v>97.32</v>
      </c>
      <c r="AA19" s="10">
        <v>98.79</v>
      </c>
      <c r="AB19" s="95">
        <v>38919000</v>
      </c>
      <c r="AC19" s="10">
        <v>98.26</v>
      </c>
      <c r="AD19" s="2">
        <f t="shared" si="0"/>
        <v>1.6700000000000017</v>
      </c>
      <c r="AE19" s="138">
        <f t="shared" si="1"/>
        <v>1.982355993772722E-2</v>
      </c>
    </row>
    <row r="20" spans="1:31" x14ac:dyDescent="0.25">
      <c r="W20" s="133">
        <v>42564</v>
      </c>
      <c r="X20" s="10">
        <v>97.41</v>
      </c>
      <c r="Y20" s="10">
        <v>97.67</v>
      </c>
      <c r="Z20" s="10">
        <v>96.84</v>
      </c>
      <c r="AA20" s="10">
        <v>96.87</v>
      </c>
      <c r="AB20" s="95">
        <v>25892200</v>
      </c>
      <c r="AC20" s="10">
        <v>96.35</v>
      </c>
      <c r="AD20" s="2">
        <f t="shared" si="0"/>
        <v>0.82999999999999829</v>
      </c>
      <c r="AE20" s="138">
        <f t="shared" si="1"/>
        <v>-5.6759545923633636E-3</v>
      </c>
    </row>
    <row r="21" spans="1:31" x14ac:dyDescent="0.25">
      <c r="W21" s="133">
        <v>42563</v>
      </c>
      <c r="X21" s="10">
        <v>97.17</v>
      </c>
      <c r="Y21" s="10">
        <v>97.7</v>
      </c>
      <c r="Z21" s="10">
        <v>97.12</v>
      </c>
      <c r="AA21" s="10">
        <v>97.42</v>
      </c>
      <c r="AB21" s="95">
        <v>24167500</v>
      </c>
      <c r="AC21" s="10">
        <v>96.9</v>
      </c>
      <c r="AD21" s="2">
        <f t="shared" si="0"/>
        <v>0.57999999999999829</v>
      </c>
      <c r="AE21" s="138">
        <f t="shared" si="1"/>
        <v>4.5614762595895808E-3</v>
      </c>
    </row>
    <row r="22" spans="1:31" x14ac:dyDescent="0.25">
      <c r="W22" s="133">
        <v>42562</v>
      </c>
      <c r="X22" s="10">
        <v>96.75</v>
      </c>
      <c r="Y22" s="10">
        <v>97.65</v>
      </c>
      <c r="Z22" s="10">
        <v>96.73</v>
      </c>
      <c r="AA22" s="10">
        <v>96.98</v>
      </c>
      <c r="AB22" s="95">
        <v>23794900</v>
      </c>
      <c r="AC22" s="10">
        <v>96.46</v>
      </c>
      <c r="AD22" s="2">
        <f t="shared" si="0"/>
        <v>0.92000000000000171</v>
      </c>
      <c r="AE22" s="138">
        <f t="shared" si="1"/>
        <v>3.1198003327785884E-3</v>
      </c>
    </row>
    <row r="23" spans="1:31" x14ac:dyDescent="0.25">
      <c r="W23" s="133">
        <v>42559</v>
      </c>
      <c r="X23" s="10">
        <v>96.49</v>
      </c>
      <c r="Y23" s="10">
        <v>96.89</v>
      </c>
      <c r="Z23" s="10">
        <v>96.05</v>
      </c>
      <c r="AA23" s="10">
        <v>96.68</v>
      </c>
      <c r="AB23" s="95">
        <v>28912100</v>
      </c>
      <c r="AC23" s="10">
        <v>96.16</v>
      </c>
      <c r="AD23" s="2">
        <f t="shared" si="0"/>
        <v>0.84000000000000341</v>
      </c>
      <c r="AE23" s="138">
        <f t="shared" si="1"/>
        <v>7.755187591699908E-3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42558</v>
      </c>
      <c r="X24" s="10">
        <v>95.7</v>
      </c>
      <c r="Y24" s="10">
        <v>96.5</v>
      </c>
      <c r="Z24" s="10">
        <v>95.62</v>
      </c>
      <c r="AA24" s="10">
        <v>95.94</v>
      </c>
      <c r="AB24" s="95">
        <v>25139600</v>
      </c>
      <c r="AC24" s="10">
        <v>95.42</v>
      </c>
      <c r="AD24" s="2">
        <f t="shared" si="0"/>
        <v>0.87999999999999545</v>
      </c>
      <c r="AE24" s="138">
        <f t="shared" si="1"/>
        <v>4.2096400757736241E-3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3">
        <f t="shared" ref="H25:H34" si="6">(E25-D25)/D25</f>
        <v>-1.238225799318918E-3</v>
      </c>
      <c r="I25" s="233"/>
      <c r="W25" s="133">
        <v>42557</v>
      </c>
      <c r="X25" s="10">
        <v>94.6</v>
      </c>
      <c r="Y25" s="10">
        <v>95.66</v>
      </c>
      <c r="Z25" s="10">
        <v>94.37</v>
      </c>
      <c r="AA25" s="10">
        <v>95.53</v>
      </c>
      <c r="AB25" s="95">
        <v>30949100</v>
      </c>
      <c r="AC25" s="10">
        <v>95.02</v>
      </c>
      <c r="AD25" s="2">
        <f t="shared" si="0"/>
        <v>1.289999999999992</v>
      </c>
      <c r="AE25" s="138">
        <f t="shared" si="1"/>
        <v>5.7154953429296995E-3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3">
        <f t="shared" si="6"/>
        <v>3.7898553929155768E-2</v>
      </c>
      <c r="I26" s="233"/>
      <c r="W26" s="133">
        <v>42556</v>
      </c>
      <c r="X26" s="10">
        <v>95.39</v>
      </c>
      <c r="Y26" s="10">
        <v>95.4</v>
      </c>
      <c r="Z26" s="10">
        <v>94.46</v>
      </c>
      <c r="AA26" s="10">
        <v>94.99</v>
      </c>
      <c r="AB26" s="95">
        <v>27705200</v>
      </c>
      <c r="AC26" s="10">
        <v>94.48</v>
      </c>
      <c r="AD26" s="2">
        <f t="shared" si="0"/>
        <v>0.94000000000001194</v>
      </c>
      <c r="AE26" s="138">
        <f t="shared" si="1"/>
        <v>-9.3320750760197413E-3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3">
        <f t="shared" si="6"/>
        <v>0.10135762614425338</v>
      </c>
      <c r="I27" s="234" t="s">
        <v>236</v>
      </c>
      <c r="W27" s="133">
        <v>42552</v>
      </c>
      <c r="X27" s="10">
        <v>95.49</v>
      </c>
      <c r="Y27" s="10">
        <v>96.47</v>
      </c>
      <c r="Z27" s="10">
        <v>95.33</v>
      </c>
      <c r="AA27" s="10">
        <v>95.89</v>
      </c>
      <c r="AB27" s="95">
        <v>26026500</v>
      </c>
      <c r="AC27" s="10">
        <v>95.37</v>
      </c>
      <c r="AD27" s="2">
        <f t="shared" si="0"/>
        <v>1.1400000000000006</v>
      </c>
      <c r="AE27" s="138">
        <f t="shared" si="1"/>
        <v>3.050063104753864E-3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3">
        <f t="shared" si="6"/>
        <v>8.1678680405076781E-2</v>
      </c>
      <c r="I28" s="40"/>
      <c r="W28" s="133">
        <v>42551</v>
      </c>
      <c r="X28" s="10">
        <v>94.44</v>
      </c>
      <c r="Y28" s="10">
        <v>95.77</v>
      </c>
      <c r="Z28" s="10">
        <v>94.3</v>
      </c>
      <c r="AA28" s="10">
        <v>95.6</v>
      </c>
      <c r="AB28" s="95">
        <v>35836400</v>
      </c>
      <c r="AC28" s="10">
        <v>95.08</v>
      </c>
      <c r="AD28" s="2">
        <f t="shared" si="0"/>
        <v>1.4699999999999989</v>
      </c>
      <c r="AE28" s="138">
        <f t="shared" si="1"/>
        <v>1.2674406220044787E-2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3">
        <f t="shared" si="6"/>
        <v>5.3952459922609122E-2</v>
      </c>
      <c r="I29" s="40"/>
      <c r="W29" s="133">
        <v>42550</v>
      </c>
      <c r="X29" s="10">
        <v>93.97</v>
      </c>
      <c r="Y29" s="10">
        <v>94.55</v>
      </c>
      <c r="Z29" s="10">
        <v>93.63</v>
      </c>
      <c r="AA29" s="10">
        <v>94.4</v>
      </c>
      <c r="AB29" s="95">
        <v>36531000</v>
      </c>
      <c r="AC29" s="10">
        <v>93.89</v>
      </c>
      <c r="AD29" s="2">
        <f t="shared" si="0"/>
        <v>0.92000000000000171</v>
      </c>
      <c r="AE29" s="138">
        <f t="shared" si="1"/>
        <v>8.5938339241593553E-3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3">
        <f t="shared" si="6"/>
        <v>6.2441958165656883E-2</v>
      </c>
      <c r="I30" s="40"/>
      <c r="W30" s="133">
        <v>42549</v>
      </c>
      <c r="X30" s="10">
        <v>92.9</v>
      </c>
      <c r="Y30" s="10">
        <v>93.66</v>
      </c>
      <c r="Z30" s="10">
        <v>92.14</v>
      </c>
      <c r="AA30" s="10">
        <v>93.59</v>
      </c>
      <c r="AB30" s="95">
        <v>40444900</v>
      </c>
      <c r="AC30" s="10">
        <v>93.09</v>
      </c>
      <c r="AD30" s="2">
        <f t="shared" si="0"/>
        <v>1.519999999999996</v>
      </c>
      <c r="AE30" s="138">
        <f t="shared" si="1"/>
        <v>1.6932488529604495E-2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3">
        <f t="shared" si="6"/>
        <v>1.825000545101723E-2</v>
      </c>
      <c r="I31" s="40"/>
      <c r="W31" s="133">
        <v>42548</v>
      </c>
      <c r="X31" s="10">
        <v>93</v>
      </c>
      <c r="Y31" s="10">
        <v>93.05</v>
      </c>
      <c r="Z31" s="10">
        <v>91.5</v>
      </c>
      <c r="AA31" s="10">
        <v>92.04</v>
      </c>
      <c r="AB31" s="95">
        <v>45489600</v>
      </c>
      <c r="AC31" s="10">
        <v>91.54</v>
      </c>
      <c r="AD31" s="2">
        <f t="shared" si="0"/>
        <v>1.5499999999999972</v>
      </c>
      <c r="AE31" s="138">
        <f t="shared" si="1"/>
        <v>-1.4639397201291704E-2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3">
        <f t="shared" si="6"/>
        <v>3.4232387763557461E-3</v>
      </c>
      <c r="I32" s="40"/>
      <c r="W32" s="133">
        <v>42545</v>
      </c>
      <c r="X32" s="10">
        <v>92.91</v>
      </c>
      <c r="Y32" s="10">
        <v>94.66</v>
      </c>
      <c r="Z32" s="10">
        <v>92.65</v>
      </c>
      <c r="AA32" s="10">
        <v>93.4</v>
      </c>
      <c r="AB32" s="95">
        <v>75311400</v>
      </c>
      <c r="AC32" s="10">
        <v>92.9</v>
      </c>
      <c r="AD32" s="2">
        <f t="shared" si="0"/>
        <v>2.0099999999999909</v>
      </c>
      <c r="AE32" s="138">
        <f t="shared" si="1"/>
        <v>-2.8039338773801936E-2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3">
        <f t="shared" si="6"/>
        <v>2.0276899596642313E-2</v>
      </c>
      <c r="I33" s="40"/>
      <c r="W33" s="133">
        <v>42544</v>
      </c>
      <c r="X33" s="10">
        <v>95.94</v>
      </c>
      <c r="Y33" s="10">
        <v>96.29</v>
      </c>
      <c r="Z33" s="10">
        <v>95.25</v>
      </c>
      <c r="AA33" s="10">
        <v>96.1</v>
      </c>
      <c r="AB33" s="95">
        <v>32240200</v>
      </c>
      <c r="AC33" s="10">
        <v>95.58</v>
      </c>
      <c r="AD33" s="2">
        <f t="shared" si="0"/>
        <v>1.0400000000000063</v>
      </c>
      <c r="AE33" s="138">
        <f t="shared" si="1"/>
        <v>5.6818181818181213E-3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3">
        <f t="shared" si="6"/>
        <v>9.9983940165645643E-2</v>
      </c>
      <c r="I34" s="40"/>
      <c r="W34" s="133">
        <v>42543</v>
      </c>
      <c r="X34" s="10">
        <v>96.25</v>
      </c>
      <c r="Y34" s="10">
        <v>96.89</v>
      </c>
      <c r="Z34" s="10">
        <v>95.35</v>
      </c>
      <c r="AA34" s="10">
        <v>95.55</v>
      </c>
      <c r="AB34" s="95">
        <v>29219100</v>
      </c>
      <c r="AC34" s="10">
        <v>95.04</v>
      </c>
      <c r="AD34" s="2">
        <f t="shared" si="0"/>
        <v>1.5400000000000063</v>
      </c>
      <c r="AE34" s="138">
        <f t="shared" si="1"/>
        <v>-3.6691477094034086E-3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3">
        <f t="shared" ref="H35" si="9">(E35-D35)/D35</f>
        <v>9.0233326450547172E-2</v>
      </c>
      <c r="I35" s="40"/>
      <c r="W35" s="133">
        <v>42542</v>
      </c>
      <c r="X35" s="10">
        <v>94.94</v>
      </c>
      <c r="Y35" s="10">
        <v>96.35</v>
      </c>
      <c r="Z35" s="10">
        <v>94.68</v>
      </c>
      <c r="AA35" s="10">
        <v>95.91</v>
      </c>
      <c r="AB35" s="95">
        <v>35546400</v>
      </c>
      <c r="AC35" s="10">
        <v>95.39</v>
      </c>
      <c r="AD35" s="2">
        <f t="shared" si="0"/>
        <v>1.6699999999999875</v>
      </c>
      <c r="AE35" s="138">
        <f t="shared" si="1"/>
        <v>8.4575536526059203E-3</v>
      </c>
    </row>
    <row r="36" spans="2:31" x14ac:dyDescent="0.25">
      <c r="B36" s="195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3">
        <f t="shared" ref="H36" si="12">(E36-D36)/D36</f>
        <v>0.14518090256269062</v>
      </c>
      <c r="I36" s="238">
        <v>85</v>
      </c>
      <c r="W36" s="133">
        <v>42541</v>
      </c>
      <c r="X36" s="10">
        <v>96</v>
      </c>
      <c r="Y36" s="10">
        <v>96.57</v>
      </c>
      <c r="Z36" s="10">
        <v>95.03</v>
      </c>
      <c r="AA36" s="10">
        <v>95.1</v>
      </c>
      <c r="AB36" s="95">
        <v>34411900</v>
      </c>
      <c r="AC36" s="10">
        <v>94.59</v>
      </c>
      <c r="AD36" s="2">
        <f t="shared" si="0"/>
        <v>1.539999999999992</v>
      </c>
      <c r="AE36" s="138">
        <f t="shared" si="1"/>
        <v>-2.4256485973421782E-3</v>
      </c>
    </row>
    <row r="37" spans="2:31" x14ac:dyDescent="0.25">
      <c r="B37" s="195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3">
        <f t="shared" ref="H37" si="15">(E37-D37)/D37</f>
        <v>0.14563975497281295</v>
      </c>
      <c r="I37" s="40"/>
      <c r="W37" s="133">
        <v>42538</v>
      </c>
      <c r="X37" s="10">
        <v>96.62</v>
      </c>
      <c r="Y37" s="10">
        <v>96.65</v>
      </c>
      <c r="Z37" s="10">
        <v>95.3</v>
      </c>
      <c r="AA37" s="10">
        <v>95.33</v>
      </c>
      <c r="AB37" s="95">
        <v>61008200</v>
      </c>
      <c r="AC37" s="10">
        <v>94.82</v>
      </c>
      <c r="AD37" s="2">
        <f t="shared" si="0"/>
        <v>1.3500000000000085</v>
      </c>
      <c r="AE37" s="138">
        <f t="shared" si="1"/>
        <v>-2.2675736961451309E-2</v>
      </c>
    </row>
    <row r="38" spans="2:31" x14ac:dyDescent="0.25">
      <c r="B38" s="195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3">
        <f t="shared" ref="H38" si="18">(E38-D38)/D38</f>
        <v>0.14667217289558798</v>
      </c>
      <c r="I38" s="40"/>
      <c r="W38" s="133">
        <v>42537</v>
      </c>
      <c r="X38" s="10">
        <v>96.45</v>
      </c>
      <c r="Y38" s="10">
        <v>97.75</v>
      </c>
      <c r="Z38" s="10">
        <v>96.07</v>
      </c>
      <c r="AA38" s="10">
        <v>97.55</v>
      </c>
      <c r="AB38" s="95">
        <v>31326800</v>
      </c>
      <c r="AC38" s="10">
        <v>97.02</v>
      </c>
      <c r="AD38" s="2">
        <f t="shared" si="0"/>
        <v>1.6800000000000068</v>
      </c>
      <c r="AE38" s="138">
        <f t="shared" si="1"/>
        <v>4.1399296211963588E-3</v>
      </c>
    </row>
    <row r="39" spans="2:31" ht="20.25" thickBot="1" x14ac:dyDescent="0.35">
      <c r="B39" s="195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3">
        <f t="shared" ref="H39" si="21">(E39-D39)/D39</f>
        <v>0.13175946956661377</v>
      </c>
      <c r="I39" s="40"/>
      <c r="T39" s="112" t="s">
        <v>113</v>
      </c>
      <c r="U39" s="9"/>
      <c r="W39" s="133">
        <v>42536</v>
      </c>
      <c r="X39" s="10">
        <v>97.82</v>
      </c>
      <c r="Y39" s="10">
        <v>98.41</v>
      </c>
      <c r="Z39" s="10">
        <v>97.03</v>
      </c>
      <c r="AA39" s="10">
        <v>97.14</v>
      </c>
      <c r="AB39" s="95">
        <v>29445200</v>
      </c>
      <c r="AC39" s="10">
        <v>96.62</v>
      </c>
      <c r="AD39" s="2">
        <f t="shared" si="0"/>
        <v>1.3799999999999955</v>
      </c>
      <c r="AE39" s="138">
        <f t="shared" si="1"/>
        <v>-3.1981842566800589E-3</v>
      </c>
    </row>
    <row r="40" spans="2:31" ht="15.75" thickTop="1" x14ac:dyDescent="0.25">
      <c r="B40" s="195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3">
        <f t="shared" ref="H40:H41" si="24">(E40-D40)/D40</f>
        <v>0.11661734003257848</v>
      </c>
      <c r="I40" s="40"/>
      <c r="T40" s="139" t="s">
        <v>98</v>
      </c>
      <c r="U40" s="375">
        <v>105.87</v>
      </c>
      <c r="W40" s="133">
        <v>42535</v>
      </c>
      <c r="X40" s="10">
        <v>97.32</v>
      </c>
      <c r="Y40" s="10">
        <v>98.48</v>
      </c>
      <c r="Z40" s="10">
        <v>96.75</v>
      </c>
      <c r="AA40" s="10">
        <v>97.46</v>
      </c>
      <c r="AB40" s="95">
        <v>31931900</v>
      </c>
      <c r="AC40" s="10">
        <v>96.93</v>
      </c>
      <c r="AD40" s="2">
        <f t="shared" si="0"/>
        <v>1.730000000000004</v>
      </c>
      <c r="AE40" s="138">
        <f t="shared" si="1"/>
        <v>1.1361288989879537E-3</v>
      </c>
    </row>
    <row r="41" spans="2:31" x14ac:dyDescent="0.25">
      <c r="B41" s="195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3">
        <f t="shared" si="24"/>
        <v>0.44132995377963341</v>
      </c>
      <c r="I41" s="40" t="s">
        <v>341</v>
      </c>
      <c r="T41" s="108" t="s">
        <v>99</v>
      </c>
      <c r="U41" s="376">
        <v>106.21</v>
      </c>
      <c r="W41" s="133">
        <v>42534</v>
      </c>
      <c r="X41" s="10">
        <v>98.69</v>
      </c>
      <c r="Y41" s="10">
        <v>99.12</v>
      </c>
      <c r="Z41" s="10">
        <v>97.1</v>
      </c>
      <c r="AA41" s="10">
        <v>97.34</v>
      </c>
      <c r="AB41" s="95">
        <v>38020500</v>
      </c>
      <c r="AC41" s="10">
        <v>96.82</v>
      </c>
      <c r="AD41" s="2">
        <f t="shared" si="0"/>
        <v>2.0200000000000102</v>
      </c>
      <c r="AE41" s="138">
        <f t="shared" si="1"/>
        <v>-1.5055951169888115E-2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525" t="s">
        <v>78</v>
      </c>
      <c r="P42" s="525"/>
      <c r="T42" s="108" t="s">
        <v>100</v>
      </c>
      <c r="U42" s="376" t="s">
        <v>482</v>
      </c>
      <c r="W42" s="133">
        <v>42531</v>
      </c>
      <c r="X42" s="10">
        <v>98.53</v>
      </c>
      <c r="Y42" s="10">
        <v>99.35</v>
      </c>
      <c r="Z42" s="10">
        <v>98.48</v>
      </c>
      <c r="AA42" s="10">
        <v>98.83</v>
      </c>
      <c r="AB42" s="95">
        <v>31712900</v>
      </c>
      <c r="AC42" s="10">
        <v>98.3</v>
      </c>
      <c r="AD42" s="2">
        <f t="shared" si="0"/>
        <v>0.86999999999999034</v>
      </c>
      <c r="AE42" s="138">
        <f t="shared" si="1"/>
        <v>-8.1727373625265498E-3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1.1000000000000001</v>
      </c>
      <c r="P43" s="83">
        <f>O43*$Q$4</f>
        <v>119.20700000000001</v>
      </c>
      <c r="Q43" s="2"/>
      <c r="T43" s="108" t="s">
        <v>101</v>
      </c>
      <c r="U43" s="376" t="s">
        <v>483</v>
      </c>
      <c r="W43" s="133">
        <v>42530</v>
      </c>
      <c r="X43" s="10">
        <v>98.5</v>
      </c>
      <c r="Y43" s="10">
        <v>99.99</v>
      </c>
      <c r="Z43" s="10">
        <v>98.46</v>
      </c>
      <c r="AA43" s="10">
        <v>99.65</v>
      </c>
      <c r="AB43" s="95">
        <v>26601400</v>
      </c>
      <c r="AC43" s="10">
        <v>99.11</v>
      </c>
      <c r="AD43" s="2">
        <f t="shared" si="0"/>
        <v>1.5300000000000011</v>
      </c>
      <c r="AE43" s="138">
        <f t="shared" si="1"/>
        <v>7.1130982623717198E-3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1.0900000000000001</v>
      </c>
      <c r="P44" s="83">
        <f t="shared" ref="P44:P63" si="25">O44*$Q$4</f>
        <v>118.12330000000001</v>
      </c>
      <c r="Q44" s="2"/>
      <c r="T44" s="108" t="s">
        <v>102</v>
      </c>
      <c r="U44" s="376">
        <v>124.06</v>
      </c>
      <c r="W44" s="133">
        <v>42529</v>
      </c>
      <c r="X44" s="10">
        <v>99.02</v>
      </c>
      <c r="Y44" s="10">
        <v>99.56</v>
      </c>
      <c r="Z44" s="10">
        <v>98.68</v>
      </c>
      <c r="AA44" s="10">
        <v>98.94</v>
      </c>
      <c r="AB44" s="95">
        <v>20848100</v>
      </c>
      <c r="AC44" s="10">
        <v>98.41</v>
      </c>
      <c r="AD44" s="2">
        <f t="shared" si="0"/>
        <v>0.87999999999999545</v>
      </c>
      <c r="AE44" s="138">
        <f t="shared" si="1"/>
        <v>-9.1370558375636346E-4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1.08</v>
      </c>
      <c r="P45" s="83">
        <f t="shared" si="25"/>
        <v>117.03960000000001</v>
      </c>
      <c r="Q45" s="2"/>
      <c r="T45" s="108" t="s">
        <v>103</v>
      </c>
      <c r="U45" s="376">
        <v>1.3838999999999999</v>
      </c>
      <c r="W45" s="133">
        <v>42528</v>
      </c>
      <c r="X45" s="10">
        <v>99.25</v>
      </c>
      <c r="Y45" s="10">
        <v>99.87</v>
      </c>
      <c r="Z45" s="10">
        <v>98.96</v>
      </c>
      <c r="AA45" s="10">
        <v>99.03</v>
      </c>
      <c r="AB45" s="95">
        <v>22409500</v>
      </c>
      <c r="AC45" s="10">
        <v>98.5</v>
      </c>
      <c r="AD45" s="2">
        <f t="shared" si="0"/>
        <v>0.9100000000000108</v>
      </c>
      <c r="AE45" s="138">
        <f t="shared" si="1"/>
        <v>4.0774719673801751E-3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25"/>
        <v>115.95590000000001</v>
      </c>
      <c r="Q46" s="2"/>
      <c r="T46" s="108" t="s">
        <v>123</v>
      </c>
      <c r="U46" s="376" t="s">
        <v>344</v>
      </c>
      <c r="W46" s="133">
        <v>42527</v>
      </c>
      <c r="X46" s="10">
        <v>97.99</v>
      </c>
      <c r="Y46" s="10">
        <v>101.89</v>
      </c>
      <c r="Z46" s="10">
        <v>97.55</v>
      </c>
      <c r="AA46" s="10">
        <v>98.63</v>
      </c>
      <c r="AB46" s="95">
        <v>23292500</v>
      </c>
      <c r="AC46" s="10">
        <v>98.1</v>
      </c>
      <c r="AD46" s="2">
        <f t="shared" si="0"/>
        <v>4.3400000000000034</v>
      </c>
      <c r="AE46" s="138">
        <f t="shared" si="1"/>
        <v>7.2902762090563122E-3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1.06</v>
      </c>
      <c r="P47" s="83">
        <f t="shared" si="25"/>
        <v>114.87220000000001</v>
      </c>
      <c r="Q47" s="2"/>
      <c r="T47" s="108"/>
      <c r="U47" s="376"/>
      <c r="W47" s="133">
        <v>42524</v>
      </c>
      <c r="X47" s="10">
        <v>97.79</v>
      </c>
      <c r="Y47" s="10">
        <v>98.27</v>
      </c>
      <c r="Z47" s="10">
        <v>97.45</v>
      </c>
      <c r="AA47" s="10">
        <v>97.92</v>
      </c>
      <c r="AB47" s="95">
        <v>28504900</v>
      </c>
      <c r="AC47" s="10">
        <v>97.39</v>
      </c>
      <c r="AD47" s="2">
        <f t="shared" si="0"/>
        <v>0.81999999999999318</v>
      </c>
      <c r="AE47" s="138">
        <f t="shared" si="1"/>
        <v>2.0578248791027764E-3</v>
      </c>
    </row>
    <row r="48" spans="2:31" x14ac:dyDescent="0.25">
      <c r="O48" s="83">
        <v>1.05</v>
      </c>
      <c r="P48" s="83">
        <f t="shared" si="25"/>
        <v>113.78850000000001</v>
      </c>
      <c r="Q48" s="2"/>
      <c r="T48" s="108" t="s">
        <v>105</v>
      </c>
      <c r="U48" s="376" t="s">
        <v>484</v>
      </c>
      <c r="W48" s="133">
        <v>42523</v>
      </c>
      <c r="X48" s="10">
        <v>97.6</v>
      </c>
      <c r="Y48" s="10">
        <v>97.84</v>
      </c>
      <c r="Z48" s="10">
        <v>96.63</v>
      </c>
      <c r="AA48" s="10">
        <v>97.72</v>
      </c>
      <c r="AB48" s="95">
        <v>40191600</v>
      </c>
      <c r="AC48" s="10">
        <v>97.19</v>
      </c>
      <c r="AD48" s="2">
        <f t="shared" si="0"/>
        <v>1.210000000000008</v>
      </c>
      <c r="AE48" s="138">
        <f t="shared" si="1"/>
        <v>-7.5564178494844647E-3</v>
      </c>
    </row>
    <row r="49" spans="1:31" x14ac:dyDescent="0.25">
      <c r="O49" s="83">
        <v>1.04</v>
      </c>
      <c r="P49" s="83">
        <f t="shared" si="25"/>
        <v>112.70480000000001</v>
      </c>
      <c r="Q49" s="2"/>
      <c r="T49" s="108" t="s">
        <v>106</v>
      </c>
      <c r="U49" s="376" t="s">
        <v>347</v>
      </c>
      <c r="W49" s="133">
        <v>42522</v>
      </c>
      <c r="X49" s="10">
        <v>99.02</v>
      </c>
      <c r="Y49" s="10">
        <v>99.54</v>
      </c>
      <c r="Z49" s="10">
        <v>98.33</v>
      </c>
      <c r="AA49" s="10">
        <v>98.46</v>
      </c>
      <c r="AB49" s="95">
        <v>29173300</v>
      </c>
      <c r="AC49" s="10">
        <v>97.93</v>
      </c>
      <c r="AD49" s="2">
        <f t="shared" si="0"/>
        <v>1.210000000000008</v>
      </c>
      <c r="AE49" s="138">
        <f t="shared" si="1"/>
        <v>-1.3995167136528264E-2</v>
      </c>
    </row>
    <row r="50" spans="1:31" x14ac:dyDescent="0.25">
      <c r="O50" s="83">
        <v>1.03</v>
      </c>
      <c r="P50" s="83">
        <f t="shared" si="25"/>
        <v>111.62110000000001</v>
      </c>
      <c r="Q50" s="2"/>
      <c r="T50" s="108" t="s">
        <v>107</v>
      </c>
      <c r="U50" s="377">
        <v>40553402</v>
      </c>
      <c r="W50" s="133">
        <v>42521</v>
      </c>
      <c r="X50" s="10">
        <v>99.6</v>
      </c>
      <c r="Y50" s="10">
        <v>100.4</v>
      </c>
      <c r="Z50" s="10">
        <v>98.82</v>
      </c>
      <c r="AA50" s="10">
        <v>99.86</v>
      </c>
      <c r="AB50" s="95">
        <v>42307200</v>
      </c>
      <c r="AC50" s="10">
        <v>99.32</v>
      </c>
      <c r="AD50" s="2">
        <f t="shared" si="0"/>
        <v>1.5800000000000125</v>
      </c>
      <c r="AE50" s="138">
        <f t="shared" si="1"/>
        <v>-4.9093277226731624E-3</v>
      </c>
    </row>
    <row r="51" spans="1:31" x14ac:dyDescent="0.25">
      <c r="O51" s="83">
        <v>1.02</v>
      </c>
      <c r="P51" s="83">
        <f t="shared" si="25"/>
        <v>110.53740000000001</v>
      </c>
      <c r="Q51" s="2"/>
      <c r="T51" s="108" t="s">
        <v>110</v>
      </c>
      <c r="U51" s="377">
        <v>36750800</v>
      </c>
      <c r="W51" s="133">
        <v>42517</v>
      </c>
      <c r="X51" s="10">
        <v>99.44</v>
      </c>
      <c r="Y51" s="10">
        <v>100.47</v>
      </c>
      <c r="Z51" s="10">
        <v>99.25</v>
      </c>
      <c r="AA51" s="10">
        <v>100.35</v>
      </c>
      <c r="AB51" s="95">
        <v>36341200</v>
      </c>
      <c r="AC51" s="10">
        <v>99.81</v>
      </c>
      <c r="AD51" s="2">
        <f t="shared" si="0"/>
        <v>1.2199999999999989</v>
      </c>
      <c r="AE51" s="138">
        <f t="shared" si="1"/>
        <v>-6.0078101531990669E-4</v>
      </c>
    </row>
    <row r="52" spans="1:31" x14ac:dyDescent="0.25">
      <c r="O52" s="83">
        <v>1.01</v>
      </c>
      <c r="P52" s="83">
        <f t="shared" si="25"/>
        <v>109.45370000000001</v>
      </c>
      <c r="Q52" s="2"/>
      <c r="T52" s="108" t="s">
        <v>108</v>
      </c>
      <c r="U52" s="376" t="s">
        <v>485</v>
      </c>
      <c r="W52" s="133">
        <v>42516</v>
      </c>
      <c r="X52" s="10">
        <v>99.68</v>
      </c>
      <c r="Y52" s="10">
        <v>100.73</v>
      </c>
      <c r="Z52" s="10">
        <v>98.64</v>
      </c>
      <c r="AA52" s="10">
        <v>100.41</v>
      </c>
      <c r="AB52" s="95">
        <v>56331200</v>
      </c>
      <c r="AC52" s="10">
        <v>99.87</v>
      </c>
      <c r="AD52" s="2">
        <f t="shared" si="0"/>
        <v>2.0900000000000034</v>
      </c>
      <c r="AE52" s="138">
        <f t="shared" si="1"/>
        <v>7.9733548647558106E-3</v>
      </c>
    </row>
    <row r="53" spans="1:31" x14ac:dyDescent="0.25">
      <c r="O53" s="83">
        <v>1</v>
      </c>
      <c r="P53" s="83">
        <f t="shared" si="25"/>
        <v>108.37</v>
      </c>
      <c r="Q53" s="2"/>
      <c r="T53" s="108" t="s">
        <v>111</v>
      </c>
      <c r="U53" s="376">
        <v>12.53</v>
      </c>
      <c r="W53" s="133">
        <v>42515</v>
      </c>
      <c r="X53" s="10">
        <v>98.67</v>
      </c>
      <c r="Y53" s="10">
        <v>99.74</v>
      </c>
      <c r="Z53" s="10">
        <v>98.11</v>
      </c>
      <c r="AA53" s="10">
        <v>99.62</v>
      </c>
      <c r="AB53" s="95">
        <v>38168800</v>
      </c>
      <c r="AC53" s="10">
        <v>99.08</v>
      </c>
      <c r="AD53" s="2">
        <f t="shared" si="0"/>
        <v>1.6299999999999955</v>
      </c>
      <c r="AE53" s="138">
        <f t="shared" si="1"/>
        <v>1.756187737496151E-2</v>
      </c>
    </row>
    <row r="54" spans="1:31" x14ac:dyDescent="0.25">
      <c r="O54" s="83">
        <v>0.99</v>
      </c>
      <c r="P54" s="83">
        <f t="shared" si="25"/>
        <v>107.2863</v>
      </c>
      <c r="Q54" s="2"/>
      <c r="T54" s="108" t="s">
        <v>112</v>
      </c>
      <c r="U54" s="376">
        <v>8.58</v>
      </c>
      <c r="W54" s="133">
        <v>42514</v>
      </c>
      <c r="X54" s="10">
        <v>97.22</v>
      </c>
      <c r="Y54" s="10">
        <v>98.09</v>
      </c>
      <c r="Z54" s="10">
        <v>96.84</v>
      </c>
      <c r="AA54" s="10">
        <v>97.9</v>
      </c>
      <c r="AB54" s="95">
        <v>35140200</v>
      </c>
      <c r="AC54" s="10">
        <v>97.37</v>
      </c>
      <c r="AD54" s="2">
        <f t="shared" si="0"/>
        <v>1.25</v>
      </c>
      <c r="AE54" s="138">
        <f t="shared" si="1"/>
        <v>1.5222604525075623E-2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106.2026</v>
      </c>
      <c r="Q55" s="2"/>
      <c r="T55" s="108" t="s">
        <v>109</v>
      </c>
      <c r="U55" s="376" t="s">
        <v>579</v>
      </c>
      <c r="W55" s="133">
        <v>42513</v>
      </c>
      <c r="X55" s="10">
        <v>95.87</v>
      </c>
      <c r="Y55" s="10">
        <v>97.19</v>
      </c>
      <c r="Z55" s="10">
        <v>95.67</v>
      </c>
      <c r="AA55" s="10">
        <v>96.43</v>
      </c>
      <c r="AB55" s="95">
        <v>38018600</v>
      </c>
      <c r="AC55" s="10">
        <v>95.91</v>
      </c>
      <c r="AD55" s="2">
        <f t="shared" si="0"/>
        <v>1.519999999999996</v>
      </c>
      <c r="AE55" s="138">
        <f t="shared" si="1"/>
        <v>1.2670256572695715E-2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25"/>
        <v>105.1189</v>
      </c>
      <c r="W56" s="133">
        <v>42510</v>
      </c>
      <c r="X56" s="10">
        <v>94.64</v>
      </c>
      <c r="Y56" s="10">
        <v>95.43</v>
      </c>
      <c r="Z56" s="10">
        <v>94.52</v>
      </c>
      <c r="AA56" s="10">
        <v>95.22</v>
      </c>
      <c r="AB56" s="95">
        <v>32026000</v>
      </c>
      <c r="AC56" s="10">
        <v>94.71</v>
      </c>
      <c r="AD56" s="2">
        <f t="shared" si="0"/>
        <v>0.9100000000000108</v>
      </c>
      <c r="AE56" s="138">
        <f t="shared" si="1"/>
        <v>1.0886967659301972E-2</v>
      </c>
    </row>
    <row r="57" spans="1:31" x14ac:dyDescent="0.25">
      <c r="A57" s="269" t="s">
        <v>224</v>
      </c>
      <c r="B57" s="270">
        <v>42502</v>
      </c>
      <c r="C57" s="265">
        <v>25</v>
      </c>
      <c r="D57" s="266">
        <v>90.65</v>
      </c>
      <c r="E57" s="266">
        <v>0</v>
      </c>
      <c r="F57" s="266">
        <f>C57*D57 + E57</f>
        <v>2266.25</v>
      </c>
      <c r="G57" s="270">
        <v>42502</v>
      </c>
      <c r="H57" s="271">
        <v>25</v>
      </c>
      <c r="I57" s="266">
        <v>90.64</v>
      </c>
      <c r="J57" s="266">
        <v>0.05</v>
      </c>
      <c r="K57" s="266">
        <f>H57*I57-J57</f>
        <v>2265.9499999999998</v>
      </c>
      <c r="L57" s="270">
        <v>42588</v>
      </c>
      <c r="M57" s="265"/>
      <c r="O57" s="83">
        <v>0.96</v>
      </c>
      <c r="P57" s="83">
        <f t="shared" si="25"/>
        <v>104.0352</v>
      </c>
      <c r="W57" s="133">
        <v>42509</v>
      </c>
      <c r="X57" s="10">
        <v>94.64</v>
      </c>
      <c r="Y57" s="10">
        <v>94.64</v>
      </c>
      <c r="Z57" s="10">
        <v>93.57</v>
      </c>
      <c r="AA57" s="10">
        <v>94.2</v>
      </c>
      <c r="AB57" s="95">
        <v>30442100</v>
      </c>
      <c r="AC57" s="10">
        <v>93.69</v>
      </c>
      <c r="AD57" s="2">
        <f t="shared" si="0"/>
        <v>1.0700000000000074</v>
      </c>
      <c r="AE57" s="138">
        <f t="shared" si="1"/>
        <v>-3.827751196172291E-3</v>
      </c>
    </row>
    <row r="58" spans="1:31" x14ac:dyDescent="0.25">
      <c r="A58" s="272" t="s">
        <v>71</v>
      </c>
      <c r="B58" s="494">
        <v>42502</v>
      </c>
      <c r="C58" s="265">
        <v>25</v>
      </c>
      <c r="D58" s="266">
        <v>90.44</v>
      </c>
      <c r="E58" s="266">
        <v>0</v>
      </c>
      <c r="F58" s="266">
        <f>C58*D58 + E58</f>
        <v>2261</v>
      </c>
      <c r="G58" s="270">
        <v>42552</v>
      </c>
      <c r="H58" s="271">
        <v>25</v>
      </c>
      <c r="I58" s="266">
        <v>96.28</v>
      </c>
      <c r="J58" s="266">
        <v>0.05</v>
      </c>
      <c r="K58" s="266">
        <f t="shared" ref="K58:K60" si="26">H58*I58-J58</f>
        <v>2406.9499999999998</v>
      </c>
      <c r="L58" s="265"/>
      <c r="M58" s="265"/>
      <c r="O58" s="83">
        <v>0.95</v>
      </c>
      <c r="P58" s="83">
        <f t="shared" si="25"/>
        <v>102.9515</v>
      </c>
      <c r="W58" s="133">
        <v>42508</v>
      </c>
      <c r="X58" s="10">
        <v>94.16</v>
      </c>
      <c r="Y58" s="10">
        <v>95.21</v>
      </c>
      <c r="Z58" s="10">
        <v>93.89</v>
      </c>
      <c r="AA58" s="10">
        <v>94.56</v>
      </c>
      <c r="AB58" s="95">
        <v>42062400</v>
      </c>
      <c r="AC58" s="10">
        <v>94.05</v>
      </c>
      <c r="AD58" s="2">
        <f t="shared" si="0"/>
        <v>1.3199999999999932</v>
      </c>
      <c r="AE58" s="138">
        <f t="shared" si="1"/>
        <v>1.1399075169373107E-2</v>
      </c>
    </row>
    <row r="59" spans="1:31" x14ac:dyDescent="0.25">
      <c r="A59" s="265"/>
      <c r="B59" s="494">
        <v>42545</v>
      </c>
      <c r="C59" s="265">
        <v>25</v>
      </c>
      <c r="D59" s="266">
        <v>93</v>
      </c>
      <c r="E59" s="266">
        <v>0</v>
      </c>
      <c r="F59" s="266">
        <f>C59*D59 + E59</f>
        <v>2325</v>
      </c>
      <c r="G59" s="270">
        <v>42577</v>
      </c>
      <c r="H59" s="271">
        <v>15</v>
      </c>
      <c r="I59" s="266">
        <v>100.58</v>
      </c>
      <c r="J59" s="266">
        <v>0.03</v>
      </c>
      <c r="K59" s="266">
        <f t="shared" si="26"/>
        <v>1508.67</v>
      </c>
      <c r="L59" s="265"/>
      <c r="M59" s="265"/>
      <c r="O59" s="83">
        <v>0.94</v>
      </c>
      <c r="P59" s="83">
        <f t="shared" si="25"/>
        <v>101.8678</v>
      </c>
      <c r="W59" s="133">
        <v>42507</v>
      </c>
      <c r="X59" s="10">
        <v>94.55</v>
      </c>
      <c r="Y59" s="10">
        <v>94.7</v>
      </c>
      <c r="Z59" s="10">
        <v>93.01</v>
      </c>
      <c r="AA59" s="10">
        <v>93.49</v>
      </c>
      <c r="AB59" s="95">
        <v>46916900</v>
      </c>
      <c r="AC59" s="10">
        <v>92.99</v>
      </c>
      <c r="AD59" s="2">
        <f t="shared" si="0"/>
        <v>1.6899999999999977</v>
      </c>
      <c r="AE59" s="138">
        <f t="shared" si="1"/>
        <v>-4.0698297097570002E-3</v>
      </c>
    </row>
    <row r="60" spans="1:31" x14ac:dyDescent="0.25">
      <c r="A60" s="265"/>
      <c r="B60" s="270"/>
      <c r="C60" s="265"/>
      <c r="D60" s="266"/>
      <c r="E60" s="266"/>
      <c r="F60" s="266"/>
      <c r="G60" s="270">
        <v>42577</v>
      </c>
      <c r="H60" s="271">
        <v>10</v>
      </c>
      <c r="I60" s="266">
        <v>103.38</v>
      </c>
      <c r="J60" s="266">
        <v>0.02</v>
      </c>
      <c r="K60" s="266">
        <f t="shared" si="26"/>
        <v>1033.78</v>
      </c>
      <c r="L60" s="265"/>
      <c r="M60" s="265"/>
      <c r="O60" s="83">
        <v>0.93</v>
      </c>
      <c r="P60" s="83">
        <f t="shared" si="25"/>
        <v>100.78410000000001</v>
      </c>
      <c r="W60" s="133">
        <v>42506</v>
      </c>
      <c r="X60" s="10">
        <v>92.39</v>
      </c>
      <c r="Y60" s="10">
        <v>94.39</v>
      </c>
      <c r="Z60" s="10">
        <v>91.65</v>
      </c>
      <c r="AA60" s="10">
        <v>93.88</v>
      </c>
      <c r="AB60" s="95">
        <v>61259800</v>
      </c>
      <c r="AC60" s="10">
        <v>93.37</v>
      </c>
      <c r="AD60" s="2">
        <f t="shared" si="0"/>
        <v>2.7399999999999949</v>
      </c>
      <c r="AE60" s="138">
        <f t="shared" si="1"/>
        <v>3.7098744862823496E-2</v>
      </c>
    </row>
    <row r="61" spans="1:31" x14ac:dyDescent="0.25">
      <c r="A61" s="265"/>
      <c r="B61" s="495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25"/>
        <v>99.700400000000002</v>
      </c>
      <c r="W61" s="133">
        <v>42503</v>
      </c>
      <c r="X61" s="10">
        <v>90</v>
      </c>
      <c r="Y61" s="10">
        <v>91.67</v>
      </c>
      <c r="Z61" s="10">
        <v>90</v>
      </c>
      <c r="AA61" s="10">
        <v>90.52</v>
      </c>
      <c r="AB61" s="95">
        <v>44392800</v>
      </c>
      <c r="AC61" s="10">
        <v>90.03</v>
      </c>
      <c r="AD61" s="2">
        <f t="shared" si="0"/>
        <v>1.6700000000000017</v>
      </c>
      <c r="AE61" s="138">
        <f t="shared" si="1"/>
        <v>2.0033388981637312E-3</v>
      </c>
    </row>
    <row r="62" spans="1:31" x14ac:dyDescent="0.25">
      <c r="A62" s="265"/>
      <c r="B62" s="495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25"/>
        <v>98.616700000000009</v>
      </c>
      <c r="W62" s="133">
        <v>42502</v>
      </c>
      <c r="X62" s="10">
        <v>92.72</v>
      </c>
      <c r="Y62" s="10">
        <v>92.78</v>
      </c>
      <c r="Z62" s="10">
        <v>89.47</v>
      </c>
      <c r="AA62" s="10">
        <v>90.34</v>
      </c>
      <c r="AB62" s="95">
        <v>76314700</v>
      </c>
      <c r="AC62" s="10">
        <v>89.85</v>
      </c>
      <c r="AD62" s="2">
        <f t="shared" si="0"/>
        <v>3.3100000000000023</v>
      </c>
      <c r="AE62" s="138">
        <f t="shared" si="1"/>
        <v>-2.3475709162047664E-2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25"/>
        <v>97.533000000000001</v>
      </c>
      <c r="W63" s="133">
        <v>42501</v>
      </c>
      <c r="X63" s="10">
        <v>93.48</v>
      </c>
      <c r="Y63" s="10">
        <v>93.57</v>
      </c>
      <c r="Z63" s="10">
        <v>92.46</v>
      </c>
      <c r="AA63" s="10">
        <v>92.51</v>
      </c>
      <c r="AB63" s="95">
        <v>28719100</v>
      </c>
      <c r="AC63" s="10">
        <v>92.01</v>
      </c>
      <c r="AD63" s="2">
        <f t="shared" si="0"/>
        <v>1.1099999999999994</v>
      </c>
      <c r="AE63" s="138">
        <f t="shared" si="1"/>
        <v>-9.793370641411947E-3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42500</v>
      </c>
      <c r="X64" s="10">
        <v>93.33</v>
      </c>
      <c r="Y64" s="10">
        <v>93.57</v>
      </c>
      <c r="Z64" s="10">
        <v>92.11</v>
      </c>
      <c r="AA64" s="10">
        <v>93.42</v>
      </c>
      <c r="AB64" s="95">
        <v>33686800</v>
      </c>
      <c r="AC64" s="10">
        <v>92.92</v>
      </c>
      <c r="AD64" s="2">
        <f t="shared" si="0"/>
        <v>1.4599999999999937</v>
      </c>
      <c r="AE64" s="138">
        <f t="shared" si="1"/>
        <v>6.8263083757720278E-3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42499</v>
      </c>
      <c r="X65" s="10">
        <v>93</v>
      </c>
      <c r="Y65" s="10">
        <v>93.77</v>
      </c>
      <c r="Z65" s="10">
        <v>92.59</v>
      </c>
      <c r="AA65" s="10">
        <v>92.79</v>
      </c>
      <c r="AB65" s="95">
        <v>32936400</v>
      </c>
      <c r="AC65" s="10">
        <v>92.29</v>
      </c>
      <c r="AD65" s="2">
        <f t="shared" si="0"/>
        <v>1.1799999999999926</v>
      </c>
      <c r="AE65" s="138">
        <f t="shared" si="1"/>
        <v>7.590544350466466E-4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42496</v>
      </c>
      <c r="X66" s="10">
        <v>93.37</v>
      </c>
      <c r="Y66" s="10">
        <v>93.45</v>
      </c>
      <c r="Z66" s="10">
        <v>91.85</v>
      </c>
      <c r="AA66" s="10">
        <v>92.72</v>
      </c>
      <c r="AB66" s="95">
        <v>43699900</v>
      </c>
      <c r="AC66" s="10">
        <v>92.22</v>
      </c>
      <c r="AD66" s="2">
        <f t="shared" si="0"/>
        <v>1.6000000000000085</v>
      </c>
      <c r="AE66" s="138">
        <f t="shared" si="1"/>
        <v>-5.6070735389259774E-3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42495</v>
      </c>
      <c r="X67" s="10">
        <v>94</v>
      </c>
      <c r="Y67" s="10">
        <v>94.07</v>
      </c>
      <c r="Z67" s="10">
        <v>92.68</v>
      </c>
      <c r="AA67" s="10">
        <v>93.24</v>
      </c>
      <c r="AB67" s="95">
        <v>35890500</v>
      </c>
      <c r="AC67" s="10">
        <v>92.74</v>
      </c>
      <c r="AD67" s="2">
        <f>Y67-Z67</f>
        <v>1.3899999999999864</v>
      </c>
      <c r="AE67" s="138" t="e">
        <f>AC67/AC68-1</f>
        <v>#DIV/0!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42495</v>
      </c>
      <c r="X68" s="10" t="s">
        <v>227</v>
      </c>
      <c r="Y68" s="10"/>
      <c r="Z68" s="10"/>
      <c r="AA68" s="10"/>
      <c r="AB68" s="95"/>
      <c r="AC68" s="10"/>
      <c r="AD68" s="2">
        <f>Y68-Z68</f>
        <v>0</v>
      </c>
      <c r="AE68" s="138" t="e">
        <f>AC68/AC70-1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s="288">
        <v>42494</v>
      </c>
      <c r="X69">
        <v>95.2</v>
      </c>
      <c r="Y69">
        <v>95.9</v>
      </c>
      <c r="Z69">
        <v>93.82</v>
      </c>
      <c r="AA69">
        <v>94.19</v>
      </c>
      <c r="AB69" s="237">
        <v>41025500</v>
      </c>
      <c r="AC69">
        <v>93.12</v>
      </c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  <c r="W70" s="133" t="s">
        <v>122</v>
      </c>
      <c r="X70" s="10"/>
      <c r="Y70" s="10"/>
      <c r="Z70" s="10"/>
      <c r="AA70" s="10"/>
      <c r="AB70" s="95"/>
      <c r="AC70" s="10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96"/>
      <c r="B74" s="497"/>
      <c r="C74" s="498"/>
      <c r="D74" s="498"/>
      <c r="E74" s="498"/>
      <c r="F74" s="499"/>
      <c r="G74" s="498"/>
      <c r="H74" s="498"/>
      <c r="I74" s="498"/>
      <c r="J74" s="498"/>
      <c r="K74" s="499"/>
      <c r="L74" s="498"/>
      <c r="M74" s="499"/>
    </row>
  </sheetData>
  <mergeCells count="1">
    <mergeCell ref="O42:P42"/>
  </mergeCells>
  <conditionalFormatting sqref="N19">
    <cfRule type="expression" dxfId="599" priority="35">
      <formula>N19&gt;0</formula>
    </cfRule>
    <cfRule type="expression" dxfId="59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597" priority="21">
      <formula>F25&gt;0</formula>
    </cfRule>
    <cfRule type="expression" dxfId="596" priority="22">
      <formula>F25&lt;0</formula>
    </cfRule>
  </conditionalFormatting>
  <conditionalFormatting sqref="H25:H47">
    <cfRule type="expression" dxfId="595" priority="19">
      <formula>H25&gt;0</formula>
    </cfRule>
    <cfRule type="expression" dxfId="594" priority="20">
      <formula>H25&lt;0</formula>
    </cfRule>
  </conditionalFormatting>
  <conditionalFormatting sqref="I25:I27">
    <cfRule type="expression" dxfId="593" priority="15">
      <formula>I25&gt;0</formula>
    </cfRule>
    <cfRule type="expression" dxfId="592" priority="16">
      <formula>I25&lt;0</formula>
    </cfRule>
  </conditionalFormatting>
  <conditionalFormatting sqref="Q7">
    <cfRule type="expression" dxfId="591" priority="5">
      <formula>Q7&gt;0</formula>
    </cfRule>
    <cfRule type="expression" dxfId="590" priority="6">
      <formula>Q7&lt;0</formula>
    </cfRule>
  </conditionalFormatting>
  <conditionalFormatting sqref="Q8">
    <cfRule type="expression" dxfId="589" priority="3">
      <formula>Q8&gt;0</formula>
    </cfRule>
    <cfRule type="expression" dxfId="58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326</v>
      </c>
      <c r="W2" s="133">
        <v>42587</v>
      </c>
      <c r="X2" s="10">
        <v>64.540000000000006</v>
      </c>
      <c r="Y2" s="10">
        <v>65.709999999999994</v>
      </c>
      <c r="Z2" s="10">
        <v>64.349999999999994</v>
      </c>
      <c r="AA2" s="10">
        <v>65.52</v>
      </c>
      <c r="AB2" s="95">
        <v>4846900</v>
      </c>
      <c r="AC2" s="10">
        <v>65.52</v>
      </c>
      <c r="AD2" s="2">
        <f>Y2-Z2</f>
        <v>1.3599999999999994</v>
      </c>
      <c r="AE2" s="138">
        <f>AC2/AC3-1</f>
        <v>2.4710666249609048E-2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65.83</v>
      </c>
      <c r="T3" s="1">
        <v>42572</v>
      </c>
      <c r="U3" t="s">
        <v>316</v>
      </c>
      <c r="W3" s="133">
        <v>42586</v>
      </c>
      <c r="X3" s="10">
        <v>63.88</v>
      </c>
      <c r="Y3" s="10">
        <v>64.02</v>
      </c>
      <c r="Z3" s="10">
        <v>63.51</v>
      </c>
      <c r="AA3" s="10">
        <v>63.94</v>
      </c>
      <c r="AB3" s="95">
        <v>3680000</v>
      </c>
      <c r="AC3" s="10">
        <v>63.94</v>
      </c>
      <c r="AD3" s="2">
        <f t="shared" ref="AD3:AD66" si="0">Y3-Z3</f>
        <v>0.50999999999999801</v>
      </c>
      <c r="AE3" s="138">
        <f t="shared" ref="AE3:AE66" si="1">AC3/AC4-1</f>
        <v>1.7233275889079192E-3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65.83</v>
      </c>
      <c r="T4" s="163"/>
      <c r="U4" s="1"/>
      <c r="W4" s="133">
        <v>42585</v>
      </c>
      <c r="X4" s="10">
        <v>63.5</v>
      </c>
      <c r="Y4" s="10">
        <v>64.02</v>
      </c>
      <c r="Z4" s="10">
        <v>63.47</v>
      </c>
      <c r="AA4" s="10">
        <v>63.83</v>
      </c>
      <c r="AB4" s="95">
        <v>3034500</v>
      </c>
      <c r="AC4" s="10">
        <v>63.83</v>
      </c>
      <c r="AD4" s="2">
        <f t="shared" si="0"/>
        <v>0.54999999999999716</v>
      </c>
      <c r="AE4" s="138">
        <f t="shared" si="1"/>
        <v>5.6719710099260023E-3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42584</v>
      </c>
      <c r="X5" s="10">
        <v>63.96</v>
      </c>
      <c r="Y5" s="10">
        <v>64.22</v>
      </c>
      <c r="Z5" s="10">
        <v>63.2</v>
      </c>
      <c r="AA5" s="10">
        <v>63.47</v>
      </c>
      <c r="AB5" s="95">
        <v>2531000</v>
      </c>
      <c r="AC5" s="10">
        <v>63.47</v>
      </c>
      <c r="AD5" s="2">
        <f t="shared" si="0"/>
        <v>1.019999999999996</v>
      </c>
      <c r="AE5" s="138">
        <f t="shared" si="1"/>
        <v>-1.0291595197255532E-2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42583</v>
      </c>
      <c r="X6" s="10">
        <v>64.489999999999995</v>
      </c>
      <c r="Y6" s="10">
        <v>64.739999999999995</v>
      </c>
      <c r="Z6" s="10">
        <v>63.96</v>
      </c>
      <c r="AA6" s="10">
        <v>64.13</v>
      </c>
      <c r="AB6" s="95">
        <v>2913900</v>
      </c>
      <c r="AC6" s="10">
        <v>64.13</v>
      </c>
      <c r="AD6" s="2">
        <f t="shared" si="0"/>
        <v>0.77999999999999403</v>
      </c>
      <c r="AE6" s="138">
        <f t="shared" si="1"/>
        <v>-5.1194539249146409E-3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219.94000000000005</v>
      </c>
      <c r="R7">
        <v>0</v>
      </c>
      <c r="W7" s="133">
        <v>42580</v>
      </c>
      <c r="X7" s="10">
        <v>64.7</v>
      </c>
      <c r="Y7" s="10">
        <v>64.739999999999995</v>
      </c>
      <c r="Z7" s="10">
        <v>64.17</v>
      </c>
      <c r="AA7" s="10">
        <v>64.459999999999994</v>
      </c>
      <c r="AB7" s="95">
        <v>3732700</v>
      </c>
      <c r="AC7" s="10">
        <v>64.459999999999994</v>
      </c>
      <c r="AD7" s="2">
        <f t="shared" si="0"/>
        <v>0.56999999999999318</v>
      </c>
      <c r="AE7" s="138">
        <f t="shared" si="1"/>
        <v>-5.0933786078100063E-3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42579</v>
      </c>
      <c r="X8" s="10">
        <v>64.36</v>
      </c>
      <c r="Y8" s="10">
        <v>64.97</v>
      </c>
      <c r="Z8" s="10">
        <v>64.06</v>
      </c>
      <c r="AA8" s="10">
        <v>64.790000000000006</v>
      </c>
      <c r="AB8" s="95">
        <v>3044000</v>
      </c>
      <c r="AC8" s="10">
        <v>64.790000000000006</v>
      </c>
      <c r="AD8" s="2">
        <f t="shared" si="0"/>
        <v>0.90999999999999659</v>
      </c>
      <c r="AE8" s="138">
        <f t="shared" si="1"/>
        <v>3.096454559529338E-3</v>
      </c>
    </row>
    <row r="9" spans="1:31" x14ac:dyDescent="0.25">
      <c r="H9" s="72"/>
      <c r="O9" s="11" t="s">
        <v>231</v>
      </c>
      <c r="Q9" s="138">
        <f>IF(Q2=0, 0, Q8/Q6)</f>
        <v>0</v>
      </c>
      <c r="W9" s="133">
        <v>42578</v>
      </c>
      <c r="X9" s="10">
        <v>64.27</v>
      </c>
      <c r="Y9" s="10">
        <v>64.94</v>
      </c>
      <c r="Z9" s="10">
        <v>64.209999999999994</v>
      </c>
      <c r="AA9" s="10">
        <v>64.59</v>
      </c>
      <c r="AB9" s="95">
        <v>3168500</v>
      </c>
      <c r="AC9" s="10">
        <v>64.59</v>
      </c>
      <c r="AD9" s="2">
        <f t="shared" si="0"/>
        <v>0.73000000000000398</v>
      </c>
      <c r="AE9" s="138">
        <f t="shared" si="1"/>
        <v>3.4177411837812421E-3</v>
      </c>
    </row>
    <row r="10" spans="1:31" x14ac:dyDescent="0.25">
      <c r="H10" s="72"/>
      <c r="O10" s="11" t="s">
        <v>230</v>
      </c>
      <c r="P10" s="34"/>
      <c r="Q10" s="2">
        <f>M48</f>
        <v>219.94000000000005</v>
      </c>
      <c r="W10" s="133">
        <v>42577</v>
      </c>
      <c r="X10" s="10">
        <v>64.430000000000007</v>
      </c>
      <c r="Y10" s="10">
        <v>64.55</v>
      </c>
      <c r="Z10" s="10">
        <v>63.98</v>
      </c>
      <c r="AA10" s="10">
        <v>64.37</v>
      </c>
      <c r="AB10" s="95">
        <v>2745900</v>
      </c>
      <c r="AC10" s="10">
        <v>64.37</v>
      </c>
      <c r="AD10" s="2">
        <f t="shared" si="0"/>
        <v>0.57000000000000028</v>
      </c>
      <c r="AE10" s="138">
        <f t="shared" si="1"/>
        <v>6.2179387533034536E-4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1.77E-2</v>
      </c>
      <c r="W11" s="133">
        <v>42576</v>
      </c>
      <c r="X11" s="10">
        <v>64.2</v>
      </c>
      <c r="Y11" s="10">
        <v>64.42</v>
      </c>
      <c r="Z11" s="10">
        <v>64.040000000000006</v>
      </c>
      <c r="AA11" s="10">
        <v>64.33</v>
      </c>
      <c r="AB11" s="95">
        <v>3060300</v>
      </c>
      <c r="AC11" s="10">
        <v>64.33</v>
      </c>
      <c r="AD11" s="2">
        <f t="shared" si="0"/>
        <v>0.37999999999999545</v>
      </c>
      <c r="AE11" s="138">
        <f t="shared" si="1"/>
        <v>7.7784691972615505E-4</v>
      </c>
    </row>
    <row r="12" spans="1:31" x14ac:dyDescent="0.25">
      <c r="H12" s="72"/>
      <c r="W12" s="133">
        <v>42573</v>
      </c>
      <c r="X12" s="10">
        <v>63.4</v>
      </c>
      <c r="Y12" s="10">
        <v>64.34</v>
      </c>
      <c r="Z12" s="10">
        <v>63.37</v>
      </c>
      <c r="AA12" s="10">
        <v>64.28</v>
      </c>
      <c r="AB12" s="95">
        <v>4063400</v>
      </c>
      <c r="AC12" s="10">
        <v>64.28</v>
      </c>
      <c r="AD12" s="2">
        <f t="shared" si="0"/>
        <v>0.97000000000000597</v>
      </c>
      <c r="AE12" s="138">
        <f t="shared" si="1"/>
        <v>1.3400599085606313E-2</v>
      </c>
    </row>
    <row r="13" spans="1:31" x14ac:dyDescent="0.25">
      <c r="H13" s="72"/>
      <c r="W13" s="133">
        <v>42572</v>
      </c>
      <c r="X13" s="10">
        <v>63.8</v>
      </c>
      <c r="Y13" s="10">
        <v>64.38</v>
      </c>
      <c r="Z13" s="10">
        <v>62.88</v>
      </c>
      <c r="AA13" s="10">
        <v>63.43</v>
      </c>
      <c r="AB13" s="95">
        <v>9498600</v>
      </c>
      <c r="AC13" s="10">
        <v>63.43</v>
      </c>
      <c r="AD13" s="2">
        <f t="shared" si="0"/>
        <v>1.4999999999999929</v>
      </c>
      <c r="AE13" s="138">
        <f t="shared" si="1"/>
        <v>-1.6284119106699801E-2</v>
      </c>
    </row>
    <row r="14" spans="1:31" x14ac:dyDescent="0.25">
      <c r="H14" s="72"/>
      <c r="W14" s="133">
        <v>42571</v>
      </c>
      <c r="X14" s="10">
        <v>64.290000000000006</v>
      </c>
      <c r="Y14" s="10">
        <v>64.8</v>
      </c>
      <c r="Z14" s="10">
        <v>63.5</v>
      </c>
      <c r="AA14" s="10">
        <v>64.48</v>
      </c>
      <c r="AB14" s="95">
        <v>8315800</v>
      </c>
      <c r="AC14" s="10">
        <v>64.48</v>
      </c>
      <c r="AD14" s="2">
        <f t="shared" si="0"/>
        <v>1.2999999999999972</v>
      </c>
      <c r="AE14" s="138">
        <f t="shared" si="1"/>
        <v>4.9875311720699589E-3</v>
      </c>
    </row>
    <row r="15" spans="1:31" x14ac:dyDescent="0.25">
      <c r="H15" s="72"/>
      <c r="W15" s="133">
        <v>42570</v>
      </c>
      <c r="X15" s="10">
        <v>63.69</v>
      </c>
      <c r="Y15" s="10">
        <v>64.17</v>
      </c>
      <c r="Z15" s="10">
        <v>63.5</v>
      </c>
      <c r="AA15" s="10">
        <v>64.16</v>
      </c>
      <c r="AB15" s="95">
        <v>3840500</v>
      </c>
      <c r="AC15" s="10">
        <v>64.16</v>
      </c>
      <c r="AD15" s="2">
        <f t="shared" si="0"/>
        <v>0.67000000000000171</v>
      </c>
      <c r="AE15" s="138">
        <f t="shared" si="1"/>
        <v>2.6566651039223732E-3</v>
      </c>
    </row>
    <row r="16" spans="1:31" x14ac:dyDescent="0.25">
      <c r="H16" s="72"/>
      <c r="W16" s="133">
        <v>42569</v>
      </c>
      <c r="X16" s="10">
        <v>63.96</v>
      </c>
      <c r="Y16" s="10">
        <v>64.12</v>
      </c>
      <c r="Z16" s="10">
        <v>63.54</v>
      </c>
      <c r="AA16" s="10">
        <v>63.99</v>
      </c>
      <c r="AB16" s="95">
        <v>3260000</v>
      </c>
      <c r="AC16" s="10">
        <v>63.99</v>
      </c>
      <c r="AD16" s="2">
        <f t="shared" si="0"/>
        <v>0.5800000000000054</v>
      </c>
      <c r="AE16" s="138">
        <f t="shared" si="1"/>
        <v>3.2925682031985648E-3</v>
      </c>
    </row>
    <row r="17" spans="1:31" x14ac:dyDescent="0.25">
      <c r="W17" s="133">
        <v>42566</v>
      </c>
      <c r="X17" s="10">
        <v>63.95</v>
      </c>
      <c r="Y17" s="10">
        <v>64.11</v>
      </c>
      <c r="Z17" s="10">
        <v>63.31</v>
      </c>
      <c r="AA17" s="10">
        <v>63.78</v>
      </c>
      <c r="AB17" s="95">
        <v>3675600</v>
      </c>
      <c r="AC17" s="10">
        <v>63.78</v>
      </c>
      <c r="AD17" s="2">
        <f t="shared" si="0"/>
        <v>0.79999999999999716</v>
      </c>
      <c r="AE17" s="138">
        <f t="shared" si="1"/>
        <v>2.6725357648169634E-3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42565</v>
      </c>
      <c r="X18" s="10">
        <v>63.66</v>
      </c>
      <c r="Y18" s="10">
        <v>64</v>
      </c>
      <c r="Z18" s="10">
        <v>63.41</v>
      </c>
      <c r="AA18" s="10">
        <v>63.61</v>
      </c>
      <c r="AB18" s="95">
        <v>4417200</v>
      </c>
      <c r="AC18" s="10">
        <v>63.61</v>
      </c>
      <c r="AD18" s="2">
        <f t="shared" si="0"/>
        <v>0.59000000000000341</v>
      </c>
      <c r="AE18" s="138">
        <f t="shared" si="1"/>
        <v>8.0824088748019385E-3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42564</v>
      </c>
      <c r="X19" s="10">
        <v>62.98</v>
      </c>
      <c r="Y19" s="10">
        <v>63.35</v>
      </c>
      <c r="Z19" s="10">
        <v>62.64</v>
      </c>
      <c r="AA19" s="10">
        <v>63.1</v>
      </c>
      <c r="AB19" s="95">
        <v>3887600</v>
      </c>
      <c r="AC19" s="10">
        <v>63.1</v>
      </c>
      <c r="AD19" s="2">
        <f t="shared" si="0"/>
        <v>0.71000000000000085</v>
      </c>
      <c r="AE19" s="138">
        <f t="shared" si="1"/>
        <v>1.5873015873015817E-3</v>
      </c>
    </row>
    <row r="20" spans="1:31" x14ac:dyDescent="0.25">
      <c r="W20" s="133">
        <v>42563</v>
      </c>
      <c r="X20" s="10">
        <v>62.63</v>
      </c>
      <c r="Y20" s="10">
        <v>63.33</v>
      </c>
      <c r="Z20" s="10">
        <v>62.63</v>
      </c>
      <c r="AA20" s="10">
        <v>63</v>
      </c>
      <c r="AB20" s="95">
        <v>4531900</v>
      </c>
      <c r="AC20" s="10">
        <v>63</v>
      </c>
      <c r="AD20" s="2">
        <f t="shared" si="0"/>
        <v>0.69999999999999574</v>
      </c>
      <c r="AE20" s="138">
        <f t="shared" si="1"/>
        <v>1.3513513513513598E-2</v>
      </c>
    </row>
    <row r="21" spans="1:31" x14ac:dyDescent="0.25">
      <c r="W21" s="133">
        <v>42562</v>
      </c>
      <c r="X21" s="10">
        <v>61.95</v>
      </c>
      <c r="Y21" s="10">
        <v>62.46</v>
      </c>
      <c r="Z21" s="10">
        <v>61.86</v>
      </c>
      <c r="AA21" s="10">
        <v>62.16</v>
      </c>
      <c r="AB21" s="95">
        <v>3414400</v>
      </c>
      <c r="AC21" s="10">
        <v>62.16</v>
      </c>
      <c r="AD21" s="2">
        <f t="shared" si="0"/>
        <v>0.60000000000000142</v>
      </c>
      <c r="AE21" s="138">
        <f t="shared" si="1"/>
        <v>1.0896080663522545E-2</v>
      </c>
    </row>
    <row r="22" spans="1:31" x14ac:dyDescent="0.25">
      <c r="W22" s="133">
        <v>42559</v>
      </c>
      <c r="X22" s="10">
        <v>60.68</v>
      </c>
      <c r="Y22" s="10">
        <v>61.6</v>
      </c>
      <c r="Z22" s="10">
        <v>60.55</v>
      </c>
      <c r="AA22" s="10">
        <v>61.49</v>
      </c>
      <c r="AB22" s="95">
        <v>5768400</v>
      </c>
      <c r="AC22" s="10">
        <v>61.49</v>
      </c>
      <c r="AD22" s="2">
        <f t="shared" si="0"/>
        <v>1.0500000000000043</v>
      </c>
      <c r="AE22" s="138">
        <f t="shared" si="1"/>
        <v>2.8088948336398634E-2</v>
      </c>
    </row>
    <row r="23" spans="1:31" x14ac:dyDescent="0.25">
      <c r="W23" s="133">
        <v>42558</v>
      </c>
      <c r="X23" s="10">
        <v>59.48</v>
      </c>
      <c r="Y23" s="10">
        <v>60.33</v>
      </c>
      <c r="Z23" s="10">
        <v>59.38</v>
      </c>
      <c r="AA23" s="10">
        <v>59.81</v>
      </c>
      <c r="AB23" s="95">
        <v>5077400</v>
      </c>
      <c r="AC23" s="10">
        <v>59.81</v>
      </c>
      <c r="AD23" s="2">
        <f t="shared" si="0"/>
        <v>0.94999999999999574</v>
      </c>
      <c r="AE23" s="138">
        <f t="shared" si="1"/>
        <v>5.5480833893746251E-3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58.75</v>
      </c>
      <c r="Y24" s="10">
        <v>59.73</v>
      </c>
      <c r="Z24" s="10">
        <v>58.25</v>
      </c>
      <c r="AA24" s="10">
        <v>59.48</v>
      </c>
      <c r="AB24" s="95">
        <v>5484400</v>
      </c>
      <c r="AC24" s="10">
        <v>59.48</v>
      </c>
      <c r="AD24" s="2">
        <f t="shared" si="0"/>
        <v>1.4799999999999969</v>
      </c>
      <c r="AE24" s="138">
        <f t="shared" si="1"/>
        <v>5.5790363482670635E-3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42556</v>
      </c>
      <c r="X25" s="10">
        <v>60.22</v>
      </c>
      <c r="Y25" s="10">
        <v>60.39</v>
      </c>
      <c r="Z25" s="10">
        <v>58.96</v>
      </c>
      <c r="AA25" s="10">
        <v>59.15</v>
      </c>
      <c r="AB25" s="95">
        <v>4911800</v>
      </c>
      <c r="AC25" s="10">
        <v>59.15</v>
      </c>
      <c r="AD25" s="2">
        <f t="shared" si="0"/>
        <v>1.4299999999999997</v>
      </c>
      <c r="AE25" s="138">
        <f t="shared" si="1"/>
        <v>-2.5374855824682796E-2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42552</v>
      </c>
      <c r="X26" s="10">
        <v>60.76</v>
      </c>
      <c r="Y26" s="10">
        <v>61.52</v>
      </c>
      <c r="Z26" s="10">
        <v>60.57</v>
      </c>
      <c r="AA26" s="10">
        <v>60.69</v>
      </c>
      <c r="AB26" s="95">
        <v>4166500</v>
      </c>
      <c r="AC26" s="10">
        <v>60.69</v>
      </c>
      <c r="AD26" s="2">
        <f t="shared" si="0"/>
        <v>0.95000000000000284</v>
      </c>
      <c r="AE26" s="138">
        <f t="shared" si="1"/>
        <v>-1.1520737327188613E-3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42551</v>
      </c>
      <c r="X27" s="10">
        <v>59.87</v>
      </c>
      <c r="Y27" s="10">
        <v>60.76</v>
      </c>
      <c r="Z27" s="10">
        <v>58.82</v>
      </c>
      <c r="AA27" s="10">
        <v>60.76</v>
      </c>
      <c r="AB27" s="95">
        <v>8535400</v>
      </c>
      <c r="AC27" s="10">
        <v>60.76</v>
      </c>
      <c r="AD27" s="2">
        <f t="shared" si="0"/>
        <v>1.9399999999999977</v>
      </c>
      <c r="AE27" s="138">
        <f t="shared" si="1"/>
        <v>1.8950192855945014E-2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42550</v>
      </c>
      <c r="X28" s="10">
        <v>57.95</v>
      </c>
      <c r="Y28" s="10">
        <v>59.7</v>
      </c>
      <c r="Z28" s="10">
        <v>57.86</v>
      </c>
      <c r="AA28" s="10">
        <v>59.63</v>
      </c>
      <c r="AB28" s="95">
        <v>6281100</v>
      </c>
      <c r="AC28" s="10">
        <v>59.63</v>
      </c>
      <c r="AD28" s="2">
        <f t="shared" si="0"/>
        <v>1.8400000000000034</v>
      </c>
      <c r="AE28" s="138" t="e">
        <f t="shared" si="1"/>
        <v>#DIV/0!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42550</v>
      </c>
      <c r="X29" s="10" t="s">
        <v>272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5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3">
        <f t="shared" ref="H30" si="20">(E30-D30)/D30</f>
        <v>8.3107650643195738E-2</v>
      </c>
      <c r="I30" s="238">
        <v>57</v>
      </c>
      <c r="W30" s="133">
        <v>42549</v>
      </c>
      <c r="X30" s="10">
        <v>58.25</v>
      </c>
      <c r="Y30" s="10">
        <v>58.61</v>
      </c>
      <c r="Z30" s="10">
        <v>57.15</v>
      </c>
      <c r="AA30" s="10">
        <v>57.9</v>
      </c>
      <c r="AB30" s="95">
        <v>8294300</v>
      </c>
      <c r="AC30" s="10">
        <v>57.61</v>
      </c>
      <c r="AD30" s="2">
        <f t="shared" si="0"/>
        <v>1.4600000000000009</v>
      </c>
      <c r="AE30" s="138">
        <f t="shared" si="1"/>
        <v>4.0083652840710027E-3</v>
      </c>
    </row>
    <row r="31" spans="1:31" x14ac:dyDescent="0.25">
      <c r="B31" s="195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3">
        <f t="shared" ref="H31" si="23">(E31-D31)/D31</f>
        <v>8.5985104942450888E-2</v>
      </c>
      <c r="I31" s="40"/>
      <c r="W31" s="133">
        <v>42548</v>
      </c>
      <c r="X31" s="10">
        <v>59.34</v>
      </c>
      <c r="Y31" s="10">
        <v>59.34</v>
      </c>
      <c r="Z31" s="10">
        <v>57.33</v>
      </c>
      <c r="AA31" s="10">
        <v>57.67</v>
      </c>
      <c r="AB31" s="95">
        <v>7567600</v>
      </c>
      <c r="AC31" s="10">
        <v>57.38</v>
      </c>
      <c r="AD31" s="2">
        <f t="shared" si="0"/>
        <v>2.0100000000000051</v>
      </c>
      <c r="AE31" s="138">
        <f t="shared" si="1"/>
        <v>-3.9825970548862055E-2</v>
      </c>
    </row>
    <row r="32" spans="1:31" x14ac:dyDescent="0.25">
      <c r="B32" s="195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3">
        <f t="shared" ref="H32" si="26">(E32-D32)/D32</f>
        <v>9.140148950575501E-2</v>
      </c>
      <c r="I32" s="40" t="s">
        <v>325</v>
      </c>
      <c r="W32" s="133">
        <v>42545</v>
      </c>
      <c r="X32" s="10">
        <v>60.48</v>
      </c>
      <c r="Y32" s="10">
        <v>61.7</v>
      </c>
      <c r="Z32" s="10">
        <v>60</v>
      </c>
      <c r="AA32" s="10">
        <v>60.06</v>
      </c>
      <c r="AB32" s="95">
        <v>10798700</v>
      </c>
      <c r="AC32" s="10">
        <v>59.76</v>
      </c>
      <c r="AD32" s="2">
        <f t="shared" si="0"/>
        <v>1.7000000000000028</v>
      </c>
      <c r="AE32" s="138">
        <f t="shared" si="1"/>
        <v>-5.0373430796122665E-2</v>
      </c>
    </row>
    <row r="33" spans="2:31" x14ac:dyDescent="0.25">
      <c r="B33" s="195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3">
        <f t="shared" ref="H33" si="29">(E33-D33)/D33</f>
        <v>7.3628977657413705E-2</v>
      </c>
      <c r="I33" s="40"/>
      <c r="W33" s="133">
        <v>42544</v>
      </c>
      <c r="X33" s="10">
        <v>62.84</v>
      </c>
      <c r="Y33" s="10">
        <v>63.27</v>
      </c>
      <c r="Z33" s="10">
        <v>62.47</v>
      </c>
      <c r="AA33" s="10">
        <v>63.25</v>
      </c>
      <c r="AB33" s="95">
        <v>3624600</v>
      </c>
      <c r="AC33" s="10">
        <v>62.93</v>
      </c>
      <c r="AD33" s="2">
        <f t="shared" si="0"/>
        <v>0.80000000000000426</v>
      </c>
      <c r="AE33" s="138">
        <f t="shared" si="1"/>
        <v>2.0927968851395251E-2</v>
      </c>
    </row>
    <row r="34" spans="2:31" x14ac:dyDescent="0.25">
      <c r="B34" s="195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3">
        <f t="shared" ref="H34" si="32">(E34-D34)/D34</f>
        <v>8.8016249153689968E-2</v>
      </c>
      <c r="I34" s="40"/>
      <c r="W34" s="133">
        <v>42543</v>
      </c>
      <c r="X34" s="10">
        <v>62.29</v>
      </c>
      <c r="Y34" s="10">
        <v>62.64</v>
      </c>
      <c r="Z34" s="10">
        <v>61.88</v>
      </c>
      <c r="AA34" s="10">
        <v>61.95</v>
      </c>
      <c r="AB34" s="95">
        <v>3462800</v>
      </c>
      <c r="AC34" s="10">
        <v>61.64</v>
      </c>
      <c r="AD34" s="2">
        <f t="shared" si="0"/>
        <v>0.75999999999999801</v>
      </c>
      <c r="AE34" s="138">
        <f t="shared" si="1"/>
        <v>-5.485640529202862E-3</v>
      </c>
    </row>
    <row r="35" spans="2:31" x14ac:dyDescent="0.25">
      <c r="B35" s="195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3">
        <f t="shared" ref="H35" si="35">(E35-D35)/D35</f>
        <v>8.8862559241706163E-2</v>
      </c>
      <c r="I35" s="40"/>
      <c r="W35" s="133">
        <v>42542</v>
      </c>
      <c r="X35" s="10">
        <v>62.3</v>
      </c>
      <c r="Y35" s="10">
        <v>62.48</v>
      </c>
      <c r="Z35" s="10">
        <v>61.75</v>
      </c>
      <c r="AA35" s="10">
        <v>62.29</v>
      </c>
      <c r="AB35" s="95">
        <v>3360600</v>
      </c>
      <c r="AC35" s="10">
        <v>61.98</v>
      </c>
      <c r="AD35" s="2">
        <f t="shared" si="0"/>
        <v>0.72999999999999687</v>
      </c>
      <c r="AE35" s="138">
        <f t="shared" si="1"/>
        <v>-1.6131634134541883E-4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42541</v>
      </c>
      <c r="X36" s="10">
        <v>62.65</v>
      </c>
      <c r="Y36" s="10">
        <v>63.41</v>
      </c>
      <c r="Z36" s="10">
        <v>62.23</v>
      </c>
      <c r="AA36" s="10">
        <v>62.3</v>
      </c>
      <c r="AB36" s="95">
        <v>4289100</v>
      </c>
      <c r="AC36" s="10">
        <v>61.99</v>
      </c>
      <c r="AD36" s="2">
        <f t="shared" si="0"/>
        <v>1.1799999999999997</v>
      </c>
      <c r="AE36" s="138">
        <f t="shared" si="1"/>
        <v>7.1486596263201641E-3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42538</v>
      </c>
      <c r="X37" s="10">
        <v>61.93</v>
      </c>
      <c r="Y37" s="10">
        <v>62.43</v>
      </c>
      <c r="Z37" s="10">
        <v>61.62</v>
      </c>
      <c r="AA37" s="10">
        <v>61.86</v>
      </c>
      <c r="AB37" s="95">
        <v>6521500</v>
      </c>
      <c r="AC37" s="10">
        <v>61.55</v>
      </c>
      <c r="AD37" s="2">
        <f t="shared" si="0"/>
        <v>0.81000000000000227</v>
      </c>
      <c r="AE37" s="138">
        <f t="shared" si="1"/>
        <v>-1.135994806880869E-3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42537</v>
      </c>
      <c r="X38" s="10">
        <v>60.94</v>
      </c>
      <c r="Y38" s="10">
        <v>62.11</v>
      </c>
      <c r="Z38" s="10">
        <v>60.66</v>
      </c>
      <c r="AA38" s="10">
        <v>61.93</v>
      </c>
      <c r="AB38" s="95">
        <v>5543600</v>
      </c>
      <c r="AC38" s="10">
        <v>61.62</v>
      </c>
      <c r="AD38" s="2">
        <f t="shared" si="0"/>
        <v>1.4500000000000028</v>
      </c>
      <c r="AE38" s="138">
        <f t="shared" si="1"/>
        <v>8.345606283750584E-3</v>
      </c>
    </row>
    <row r="39" spans="2:31" x14ac:dyDescent="0.25">
      <c r="W39" s="133">
        <v>42536</v>
      </c>
      <c r="X39" s="10">
        <v>61.47</v>
      </c>
      <c r="Y39" s="10">
        <v>62.16</v>
      </c>
      <c r="Z39" s="10">
        <v>60.86</v>
      </c>
      <c r="AA39" s="10">
        <v>61.42</v>
      </c>
      <c r="AB39" s="95">
        <v>5979900</v>
      </c>
      <c r="AC39" s="10">
        <v>61.11</v>
      </c>
      <c r="AD39" s="2">
        <f t="shared" si="0"/>
        <v>1.2999999999999972</v>
      </c>
      <c r="AE39" s="138">
        <f t="shared" si="1"/>
        <v>5.7603686635945284E-3</v>
      </c>
    </row>
    <row r="40" spans="2:31" ht="20.25" thickBot="1" x14ac:dyDescent="0.35">
      <c r="O40" s="525" t="s">
        <v>78</v>
      </c>
      <c r="P40" s="525"/>
      <c r="W40" s="133">
        <v>42535</v>
      </c>
      <c r="X40" s="10">
        <v>63.59</v>
      </c>
      <c r="Y40" s="10">
        <v>63.66</v>
      </c>
      <c r="Z40" s="10">
        <v>60.38</v>
      </c>
      <c r="AA40" s="10">
        <v>61.07</v>
      </c>
      <c r="AB40" s="95">
        <v>12323200</v>
      </c>
      <c r="AC40" s="10">
        <v>60.76</v>
      </c>
      <c r="AD40" s="2">
        <f t="shared" si="0"/>
        <v>3.279999999999994</v>
      </c>
      <c r="AE40" s="138">
        <f t="shared" si="1"/>
        <v>-4.0883977900552537E-2</v>
      </c>
    </row>
    <row r="41" spans="2:31" ht="15.75" thickTop="1" x14ac:dyDescent="0.25">
      <c r="O41" s="83">
        <v>1.1000000000000001</v>
      </c>
      <c r="P41" s="83">
        <f>O41*$Q$4</f>
        <v>72.413000000000011</v>
      </c>
      <c r="Q41" s="2"/>
      <c r="W41" s="133">
        <v>42534</v>
      </c>
      <c r="X41" s="10">
        <v>64.8</v>
      </c>
      <c r="Y41" s="10">
        <v>64.89</v>
      </c>
      <c r="Z41" s="10">
        <v>63.63</v>
      </c>
      <c r="AA41" s="10">
        <v>63.67</v>
      </c>
      <c r="AB41" s="95">
        <v>5883400</v>
      </c>
      <c r="AC41" s="10">
        <v>63.35</v>
      </c>
      <c r="AD41" s="2">
        <f t="shared" si="0"/>
        <v>1.259999999999998</v>
      </c>
      <c r="AE41" s="138">
        <f t="shared" si="1"/>
        <v>-1.995668316831678E-2</v>
      </c>
    </row>
    <row r="42" spans="2:31" ht="20.25" thickBot="1" x14ac:dyDescent="0.35">
      <c r="O42" s="83">
        <v>1.0900000000000001</v>
      </c>
      <c r="P42" s="83">
        <f t="shared" ref="P42:P61" si="36">O42*$Q$4</f>
        <v>71.7547</v>
      </c>
      <c r="Q42" s="2"/>
      <c r="T42" s="91" t="s">
        <v>113</v>
      </c>
      <c r="W42" s="133">
        <v>42531</v>
      </c>
      <c r="X42" s="10">
        <v>65.260000000000005</v>
      </c>
      <c r="Y42" s="10">
        <v>65.48</v>
      </c>
      <c r="Z42" s="10">
        <v>64.709999999999994</v>
      </c>
      <c r="AA42" s="10">
        <v>64.97</v>
      </c>
      <c r="AB42" s="95">
        <v>3939100</v>
      </c>
      <c r="AC42" s="10">
        <v>64.64</v>
      </c>
      <c r="AD42" s="2">
        <f t="shared" si="0"/>
        <v>0.77000000000001023</v>
      </c>
      <c r="AE42" s="138">
        <f t="shared" si="1"/>
        <v>-1.1318446007953398E-2</v>
      </c>
    </row>
    <row r="43" spans="2:31" ht="15.75" thickTop="1" x14ac:dyDescent="0.25">
      <c r="O43" s="83">
        <v>1.08</v>
      </c>
      <c r="P43" s="83">
        <f t="shared" si="36"/>
        <v>71.096400000000003</v>
      </c>
      <c r="Q43" s="2"/>
      <c r="T43" s="128" t="s">
        <v>98</v>
      </c>
      <c r="U43" s="129">
        <v>63.94</v>
      </c>
      <c r="W43" s="133">
        <v>42530</v>
      </c>
      <c r="X43" s="10">
        <v>65.72</v>
      </c>
      <c r="Y43" s="10">
        <v>65.78</v>
      </c>
      <c r="Z43" s="10">
        <v>64.900000000000006</v>
      </c>
      <c r="AA43" s="10">
        <v>65.709999999999994</v>
      </c>
      <c r="AB43" s="95">
        <v>3883800</v>
      </c>
      <c r="AC43" s="10">
        <v>65.38</v>
      </c>
      <c r="AD43" s="2">
        <f t="shared" si="0"/>
        <v>0.87999999999999545</v>
      </c>
      <c r="AE43" s="138">
        <f t="shared" si="1"/>
        <v>-8.3421811011680225E-3</v>
      </c>
    </row>
    <row r="44" spans="2:31" x14ac:dyDescent="0.25">
      <c r="O44" s="83">
        <v>1.07</v>
      </c>
      <c r="P44" s="83">
        <f t="shared" si="36"/>
        <v>70.438100000000006</v>
      </c>
      <c r="Q44" s="2"/>
      <c r="T44" s="93" t="s">
        <v>99</v>
      </c>
      <c r="U44" s="130">
        <v>64.540000000000006</v>
      </c>
      <c r="W44" s="133">
        <v>42529</v>
      </c>
      <c r="X44" s="10">
        <v>65.94</v>
      </c>
      <c r="Y44" s="10">
        <v>66.58</v>
      </c>
      <c r="Z44" s="10">
        <v>65.94</v>
      </c>
      <c r="AA44" s="10">
        <v>66.260000000000005</v>
      </c>
      <c r="AB44" s="95">
        <v>2601100</v>
      </c>
      <c r="AC44" s="10">
        <v>65.930000000000007</v>
      </c>
      <c r="AD44" s="2">
        <f t="shared" si="0"/>
        <v>0.64000000000000057</v>
      </c>
      <c r="AE44" s="138">
        <f t="shared" si="1"/>
        <v>5.6436851738865812E-3</v>
      </c>
    </row>
    <row r="45" spans="2:31" x14ac:dyDescent="0.25">
      <c r="O45" s="83">
        <v>1.06</v>
      </c>
      <c r="P45" s="83">
        <f t="shared" si="36"/>
        <v>69.779800000000009</v>
      </c>
      <c r="Q45" s="2"/>
      <c r="T45" s="93" t="s">
        <v>100</v>
      </c>
      <c r="U45" s="130" t="s">
        <v>486</v>
      </c>
      <c r="W45" s="133">
        <v>42528</v>
      </c>
      <c r="X45" s="10">
        <v>66.150000000000006</v>
      </c>
      <c r="Y45" s="10">
        <v>66.599999999999994</v>
      </c>
      <c r="Z45" s="10">
        <v>65.88</v>
      </c>
      <c r="AA45" s="10">
        <v>65.89</v>
      </c>
      <c r="AB45" s="95">
        <v>3779500</v>
      </c>
      <c r="AC45" s="10">
        <v>65.56</v>
      </c>
      <c r="AD45" s="2">
        <f t="shared" si="0"/>
        <v>0.71999999999999886</v>
      </c>
      <c r="AE45" s="138">
        <f t="shared" si="1"/>
        <v>-7.6207895137936355E-4</v>
      </c>
    </row>
    <row r="46" spans="2:31" x14ac:dyDescent="0.25">
      <c r="O46" s="83">
        <v>1.05</v>
      </c>
      <c r="P46" s="83">
        <f t="shared" si="36"/>
        <v>69.121499999999997</v>
      </c>
      <c r="Q46" s="2"/>
      <c r="T46" s="93" t="s">
        <v>101</v>
      </c>
      <c r="U46" s="130" t="s">
        <v>487</v>
      </c>
      <c r="W46" s="133">
        <v>42527</v>
      </c>
      <c r="X46" s="10">
        <v>65.55</v>
      </c>
      <c r="Y46" s="10">
        <v>66.2</v>
      </c>
      <c r="Z46" s="10">
        <v>65.5</v>
      </c>
      <c r="AA46" s="10">
        <v>65.94</v>
      </c>
      <c r="AB46" s="95">
        <v>3915200</v>
      </c>
      <c r="AC46" s="10">
        <v>65.61</v>
      </c>
      <c r="AD46" s="2">
        <f t="shared" si="0"/>
        <v>0.70000000000000284</v>
      </c>
      <c r="AE46" s="138">
        <f t="shared" si="1"/>
        <v>6.906077348066253E-3</v>
      </c>
    </row>
    <row r="47" spans="2:31" x14ac:dyDescent="0.25">
      <c r="O47" s="83">
        <v>1.04</v>
      </c>
      <c r="P47" s="83">
        <f t="shared" si="36"/>
        <v>68.463200000000001</v>
      </c>
      <c r="Q47" s="2"/>
      <c r="T47" s="93" t="s">
        <v>102</v>
      </c>
      <c r="U47" s="130">
        <v>67.239999999999995</v>
      </c>
      <c r="W47" s="133">
        <v>42524</v>
      </c>
      <c r="X47" s="10">
        <v>65.53</v>
      </c>
      <c r="Y47" s="10">
        <v>65.819999999999993</v>
      </c>
      <c r="Z47" s="10">
        <v>64.77</v>
      </c>
      <c r="AA47" s="10">
        <v>65.489999999999995</v>
      </c>
      <c r="AB47" s="95">
        <v>4352000</v>
      </c>
      <c r="AC47" s="10">
        <v>65.16</v>
      </c>
      <c r="AD47" s="2">
        <f t="shared" si="0"/>
        <v>1.0499999999999972</v>
      </c>
      <c r="AE47" s="138">
        <f t="shared" si="1"/>
        <v>-1.3922518159806274E-2</v>
      </c>
    </row>
    <row r="48" spans="2:31" x14ac:dyDescent="0.25">
      <c r="L48" t="s">
        <v>65</v>
      </c>
      <c r="M48" s="2">
        <f>M66+K66-F66</f>
        <v>219.94000000000005</v>
      </c>
      <c r="O48" s="83">
        <v>1.03</v>
      </c>
      <c r="P48" s="83">
        <f t="shared" si="36"/>
        <v>67.804900000000004</v>
      </c>
      <c r="Q48" s="2"/>
      <c r="T48" s="93" t="s">
        <v>103</v>
      </c>
      <c r="U48" s="130">
        <v>1.2746200000000001</v>
      </c>
      <c r="W48" s="133">
        <v>42523</v>
      </c>
      <c r="X48" s="10">
        <v>65.86</v>
      </c>
      <c r="Y48" s="10">
        <v>66.41</v>
      </c>
      <c r="Z48" s="10">
        <v>65.599999999999994</v>
      </c>
      <c r="AA48" s="10">
        <v>66.41</v>
      </c>
      <c r="AB48" s="95">
        <v>3052200</v>
      </c>
      <c r="AC48" s="10">
        <v>66.08</v>
      </c>
      <c r="AD48" s="2">
        <f t="shared" si="0"/>
        <v>0.81000000000000227</v>
      </c>
      <c r="AE48" s="138">
        <f t="shared" si="1"/>
        <v>7.6242756938091905E-3</v>
      </c>
    </row>
    <row r="49" spans="1:31" x14ac:dyDescent="0.25">
      <c r="A49" s="395" t="s">
        <v>1</v>
      </c>
      <c r="B49" s="395" t="s">
        <v>2</v>
      </c>
      <c r="C49" s="395" t="s">
        <v>4</v>
      </c>
      <c r="D49" s="397" t="s">
        <v>5</v>
      </c>
      <c r="E49" s="397" t="s">
        <v>94</v>
      </c>
      <c r="F49" s="397" t="s">
        <v>60</v>
      </c>
      <c r="G49" s="395" t="s">
        <v>3</v>
      </c>
      <c r="H49" s="395" t="s">
        <v>6</v>
      </c>
      <c r="I49" s="397" t="s">
        <v>7</v>
      </c>
      <c r="J49" s="397" t="s">
        <v>95</v>
      </c>
      <c r="K49" s="397" t="s">
        <v>61</v>
      </c>
      <c r="L49" s="395" t="s">
        <v>37</v>
      </c>
      <c r="M49" s="395" t="s">
        <v>38</v>
      </c>
      <c r="O49" s="83">
        <v>1.02</v>
      </c>
      <c r="P49" s="83">
        <f t="shared" si="36"/>
        <v>67.146600000000007</v>
      </c>
      <c r="Q49" s="2"/>
      <c r="T49" s="93" t="s">
        <v>123</v>
      </c>
      <c r="U49" s="130" t="s">
        <v>335</v>
      </c>
      <c r="W49" s="133">
        <v>42522</v>
      </c>
      <c r="X49" s="10">
        <v>65.760000000000005</v>
      </c>
      <c r="Y49" s="10">
        <v>65.959999999999994</v>
      </c>
      <c r="Z49" s="10">
        <v>65.180000000000007</v>
      </c>
      <c r="AA49" s="10">
        <v>65.91</v>
      </c>
      <c r="AB49" s="95">
        <v>3816000</v>
      </c>
      <c r="AC49" s="10">
        <v>65.58</v>
      </c>
      <c r="AD49" s="2">
        <f t="shared" si="0"/>
        <v>0.77999999999998693</v>
      </c>
      <c r="AE49" s="138">
        <f t="shared" si="1"/>
        <v>2.2925263640529714E-3</v>
      </c>
    </row>
    <row r="50" spans="1:31" x14ac:dyDescent="0.25">
      <c r="A50" s="398" t="s">
        <v>270</v>
      </c>
      <c r="B50" s="388">
        <v>42548</v>
      </c>
      <c r="C50" s="389">
        <v>40</v>
      </c>
      <c r="D50" s="390">
        <v>59.08</v>
      </c>
      <c r="E50" s="390">
        <v>0</v>
      </c>
      <c r="F50" s="390">
        <f>D50*C50+E50</f>
        <v>2363.1999999999998</v>
      </c>
      <c r="G50" s="388">
        <v>42580</v>
      </c>
      <c r="H50" s="393">
        <v>40</v>
      </c>
      <c r="I50" s="390">
        <v>64.58</v>
      </c>
      <c r="J50" s="390">
        <v>0.06</v>
      </c>
      <c r="K50" s="390">
        <f>I50*H50-J50</f>
        <v>2583.14</v>
      </c>
      <c r="L50" s="388">
        <v>42592</v>
      </c>
      <c r="M50" s="389"/>
      <c r="O50" s="83">
        <v>1.01</v>
      </c>
      <c r="P50" s="83">
        <f t="shared" si="36"/>
        <v>66.488299999999995</v>
      </c>
      <c r="Q50" s="2"/>
      <c r="T50" s="93"/>
      <c r="U50" s="130"/>
      <c r="W50" s="133">
        <v>42521</v>
      </c>
      <c r="X50" s="10">
        <v>65.7</v>
      </c>
      <c r="Y50" s="10">
        <v>65.92</v>
      </c>
      <c r="Z50" s="10">
        <v>65.400000000000006</v>
      </c>
      <c r="AA50" s="10">
        <v>65.760000000000005</v>
      </c>
      <c r="AB50" s="95">
        <v>5256000</v>
      </c>
      <c r="AC50" s="10">
        <v>65.430000000000007</v>
      </c>
      <c r="AD50" s="2">
        <f t="shared" si="0"/>
        <v>0.51999999999999602</v>
      </c>
      <c r="AE50" s="138">
        <f t="shared" si="1"/>
        <v>3.6815462494248496E-3</v>
      </c>
    </row>
    <row r="51" spans="1:31" x14ac:dyDescent="0.25">
      <c r="A51" s="399" t="s">
        <v>71</v>
      </c>
      <c r="B51" s="388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36"/>
        <v>65.83</v>
      </c>
      <c r="Q51" s="2"/>
      <c r="T51" s="93" t="s">
        <v>105</v>
      </c>
      <c r="U51" s="130" t="s">
        <v>488</v>
      </c>
      <c r="W51" s="133">
        <v>42517</v>
      </c>
      <c r="X51" s="10">
        <v>65.39</v>
      </c>
      <c r="Y51" s="10">
        <v>65.7</v>
      </c>
      <c r="Z51" s="10">
        <v>65.33</v>
      </c>
      <c r="AA51" s="10">
        <v>65.52</v>
      </c>
      <c r="AB51" s="95">
        <v>3957100</v>
      </c>
      <c r="AC51" s="10">
        <v>65.19</v>
      </c>
      <c r="AD51" s="2">
        <f t="shared" si="0"/>
        <v>0.37000000000000455</v>
      </c>
      <c r="AE51" s="138">
        <f t="shared" si="1"/>
        <v>4.4684129429890529E-3</v>
      </c>
    </row>
    <row r="52" spans="1:31" x14ac:dyDescent="0.25">
      <c r="A52" s="389"/>
      <c r="B52" s="388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36"/>
        <v>65.171700000000001</v>
      </c>
      <c r="Q52" s="2"/>
      <c r="T52" s="93" t="s">
        <v>106</v>
      </c>
      <c r="U52" s="130" t="s">
        <v>275</v>
      </c>
      <c r="W52" s="133">
        <v>42516</v>
      </c>
      <c r="X52" s="10">
        <v>65.290000000000006</v>
      </c>
      <c r="Y52" s="10">
        <v>65.37</v>
      </c>
      <c r="Z52" s="10">
        <v>64.95</v>
      </c>
      <c r="AA52" s="10">
        <v>65.23</v>
      </c>
      <c r="AB52" s="95">
        <v>3593500</v>
      </c>
      <c r="AC52" s="10">
        <v>64.900000000000006</v>
      </c>
      <c r="AD52" s="2">
        <f t="shared" si="0"/>
        <v>0.42000000000000171</v>
      </c>
      <c r="AE52" s="138">
        <f t="shared" si="1"/>
        <v>-1.2311480455524659E-3</v>
      </c>
    </row>
    <row r="53" spans="1:31" x14ac:dyDescent="0.25">
      <c r="A53" s="389"/>
      <c r="B53" s="388"/>
      <c r="C53" s="389"/>
      <c r="D53" s="390"/>
      <c r="E53" s="390"/>
      <c r="F53" s="390"/>
      <c r="G53" s="389"/>
      <c r="H53" s="393"/>
      <c r="I53" s="390"/>
      <c r="J53" s="390"/>
      <c r="K53" s="390"/>
      <c r="L53" s="389"/>
      <c r="M53" s="389"/>
      <c r="O53" s="83">
        <v>0.98</v>
      </c>
      <c r="P53" s="83">
        <f t="shared" si="36"/>
        <v>64.51339999999999</v>
      </c>
      <c r="Q53" s="2"/>
      <c r="T53" s="93" t="s">
        <v>107</v>
      </c>
      <c r="U53" s="131">
        <v>4863805</v>
      </c>
      <c r="W53" s="133">
        <v>42515</v>
      </c>
      <c r="X53" s="10">
        <v>65.040000000000006</v>
      </c>
      <c r="Y53" s="10">
        <v>65.760000000000005</v>
      </c>
      <c r="Z53" s="10">
        <v>65.010000000000005</v>
      </c>
      <c r="AA53" s="10">
        <v>65.31</v>
      </c>
      <c r="AB53" s="95">
        <v>5755900</v>
      </c>
      <c r="AC53" s="10">
        <v>64.98</v>
      </c>
      <c r="AD53" s="2">
        <f t="shared" si="0"/>
        <v>0.75</v>
      </c>
      <c r="AE53" s="138">
        <f t="shared" si="1"/>
        <v>6.6615027110767944E-3</v>
      </c>
    </row>
    <row r="54" spans="1:31" x14ac:dyDescent="0.25">
      <c r="A54" s="389"/>
      <c r="B54" s="388"/>
      <c r="C54" s="389"/>
      <c r="D54" s="390"/>
      <c r="E54" s="390"/>
      <c r="F54" s="390"/>
      <c r="G54" s="389"/>
      <c r="H54" s="393"/>
      <c r="I54" s="390"/>
      <c r="J54" s="390"/>
      <c r="K54" s="390"/>
      <c r="L54" s="389"/>
      <c r="M54" s="389"/>
      <c r="O54" s="83">
        <v>0.97</v>
      </c>
      <c r="P54" s="83">
        <f t="shared" si="36"/>
        <v>63.855099999999993</v>
      </c>
      <c r="T54" s="93" t="s">
        <v>110</v>
      </c>
      <c r="U54" s="131">
        <v>4805630</v>
      </c>
      <c r="W54" s="133">
        <v>42514</v>
      </c>
      <c r="X54" s="10">
        <v>63.79</v>
      </c>
      <c r="Y54" s="10">
        <v>65.099999999999994</v>
      </c>
      <c r="Z54" s="10">
        <v>63.79</v>
      </c>
      <c r="AA54" s="10">
        <v>64.87</v>
      </c>
      <c r="AB54" s="95">
        <v>3946100</v>
      </c>
      <c r="AC54" s="10">
        <v>64.55</v>
      </c>
      <c r="AD54" s="2">
        <f t="shared" si="0"/>
        <v>1.3099999999999952</v>
      </c>
      <c r="AE54" s="138">
        <f t="shared" si="1"/>
        <v>2.0230757072862149E-2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93"/>
      <c r="I55" s="390"/>
      <c r="J55" s="390"/>
      <c r="K55" s="390"/>
      <c r="L55" s="389"/>
      <c r="M55" s="389"/>
      <c r="O55" s="83">
        <v>0.96</v>
      </c>
      <c r="P55" s="83">
        <f t="shared" si="36"/>
        <v>63.196799999999996</v>
      </c>
      <c r="T55" s="93" t="s">
        <v>108</v>
      </c>
      <c r="U55" s="130" t="s">
        <v>489</v>
      </c>
      <c r="W55" s="133">
        <v>42513</v>
      </c>
      <c r="X55" s="10">
        <v>63.86</v>
      </c>
      <c r="Y55" s="10">
        <v>64.099999999999994</v>
      </c>
      <c r="Z55" s="10">
        <v>63.56</v>
      </c>
      <c r="AA55" s="10">
        <v>63.59</v>
      </c>
      <c r="AB55" s="95">
        <v>3074100</v>
      </c>
      <c r="AC55" s="10">
        <v>63.27</v>
      </c>
      <c r="AD55" s="2">
        <f t="shared" si="0"/>
        <v>0.53999999999999204</v>
      </c>
      <c r="AE55" s="138">
        <f t="shared" si="1"/>
        <v>-5.18867924528299E-3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93"/>
      <c r="I56" s="390"/>
      <c r="J56" s="390"/>
      <c r="K56" s="390"/>
      <c r="L56" s="389"/>
      <c r="M56" s="389"/>
      <c r="O56" s="83">
        <v>0.95</v>
      </c>
      <c r="P56" s="83">
        <f t="shared" si="36"/>
        <v>62.538499999999992</v>
      </c>
      <c r="T56" s="93" t="s">
        <v>111</v>
      </c>
      <c r="U56" s="130">
        <v>11.59</v>
      </c>
      <c r="W56" s="133">
        <v>42510</v>
      </c>
      <c r="X56" s="10">
        <v>63.16</v>
      </c>
      <c r="Y56" s="10">
        <v>64.14</v>
      </c>
      <c r="Z56" s="10">
        <v>62.95</v>
      </c>
      <c r="AA56" s="10">
        <v>63.92</v>
      </c>
      <c r="AB56" s="95">
        <v>5278200</v>
      </c>
      <c r="AC56" s="10">
        <v>63.6</v>
      </c>
      <c r="AD56" s="2">
        <f t="shared" si="0"/>
        <v>1.1899999999999977</v>
      </c>
      <c r="AE56" s="138">
        <f t="shared" si="1"/>
        <v>1.8740989908697658E-2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93"/>
      <c r="I57" s="390"/>
      <c r="J57" s="390"/>
      <c r="K57" s="390"/>
      <c r="L57" s="389"/>
      <c r="M57" s="389"/>
      <c r="O57" s="83">
        <v>0.94</v>
      </c>
      <c r="P57" s="83">
        <f t="shared" si="36"/>
        <v>61.880199999999995</v>
      </c>
      <c r="T57" s="93" t="s">
        <v>112</v>
      </c>
      <c r="U57" s="130">
        <v>5.65</v>
      </c>
      <c r="W57" s="133">
        <v>42509</v>
      </c>
      <c r="X57" s="10">
        <v>63.06</v>
      </c>
      <c r="Y57" s="10">
        <v>63.53</v>
      </c>
      <c r="Z57" s="10">
        <v>62.32</v>
      </c>
      <c r="AA57" s="10">
        <v>62.74</v>
      </c>
      <c r="AB57" s="95">
        <v>4587000</v>
      </c>
      <c r="AC57" s="10">
        <v>62.43</v>
      </c>
      <c r="AD57" s="2">
        <f t="shared" si="0"/>
        <v>1.2100000000000009</v>
      </c>
      <c r="AE57" s="138">
        <f t="shared" si="1"/>
        <v>-1.2183544303797533E-2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93"/>
      <c r="I58" s="390"/>
      <c r="J58" s="390"/>
      <c r="K58" s="390"/>
      <c r="L58" s="389"/>
      <c r="M58" s="389"/>
      <c r="O58" s="83">
        <v>0.93</v>
      </c>
      <c r="P58" s="83">
        <f t="shared" si="36"/>
        <v>61.221900000000005</v>
      </c>
      <c r="T58" s="93" t="s">
        <v>109</v>
      </c>
      <c r="U58" s="130" t="s">
        <v>580</v>
      </c>
      <c r="W58" s="133">
        <v>42508</v>
      </c>
      <c r="X58" s="10">
        <v>62.53</v>
      </c>
      <c r="Y58" s="10">
        <v>63.61</v>
      </c>
      <c r="Z58" s="10">
        <v>62.53</v>
      </c>
      <c r="AA58" s="10">
        <v>63.52</v>
      </c>
      <c r="AB58" s="95">
        <v>5316800</v>
      </c>
      <c r="AC58" s="10">
        <v>63.2</v>
      </c>
      <c r="AD58" s="2">
        <f t="shared" si="0"/>
        <v>1.0799999999999983</v>
      </c>
      <c r="AE58" s="138">
        <f t="shared" si="1"/>
        <v>1.2009607686148893E-2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93"/>
      <c r="I59" s="390"/>
      <c r="J59" s="390"/>
      <c r="K59" s="390"/>
      <c r="L59" s="389"/>
      <c r="M59" s="389"/>
      <c r="O59" s="83">
        <v>0.92</v>
      </c>
      <c r="P59" s="83">
        <f t="shared" si="36"/>
        <v>60.563600000000001</v>
      </c>
      <c r="W59" s="133">
        <v>42507</v>
      </c>
      <c r="X59" s="10">
        <v>63.86</v>
      </c>
      <c r="Y59" s="10">
        <v>64.099999999999994</v>
      </c>
      <c r="Z59" s="10">
        <v>62.59</v>
      </c>
      <c r="AA59" s="10">
        <v>62.76</v>
      </c>
      <c r="AB59" s="95">
        <v>7977600</v>
      </c>
      <c r="AC59" s="10">
        <v>62.45</v>
      </c>
      <c r="AD59" s="2">
        <f t="shared" si="0"/>
        <v>1.5099999999999909</v>
      </c>
      <c r="AE59" s="138">
        <f t="shared" si="1"/>
        <v>-2.0392156862745092E-2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36"/>
        <v>59.905300000000004</v>
      </c>
      <c r="W60" s="133">
        <v>42506</v>
      </c>
      <c r="X60" s="10">
        <v>64.02</v>
      </c>
      <c r="Y60" s="10">
        <v>64.3</v>
      </c>
      <c r="Z60" s="10">
        <v>63.67</v>
      </c>
      <c r="AA60" s="10">
        <v>64.069999999999993</v>
      </c>
      <c r="AB60" s="95">
        <v>4879500</v>
      </c>
      <c r="AC60" s="10">
        <v>63.75</v>
      </c>
      <c r="AD60" s="2">
        <f t="shared" si="0"/>
        <v>0.62999999999999545</v>
      </c>
      <c r="AE60" s="138">
        <f t="shared" si="1"/>
        <v>-7.8369905956110486E-4</v>
      </c>
    </row>
    <row r="61" spans="1:31" x14ac:dyDescent="0.25">
      <c r="A61" s="389"/>
      <c r="B61" s="389"/>
      <c r="C61" s="389"/>
      <c r="D61" s="390"/>
      <c r="E61" s="390"/>
      <c r="F61" s="390"/>
      <c r="G61" s="389"/>
      <c r="H61" s="393"/>
      <c r="I61" s="390"/>
      <c r="J61" s="390"/>
      <c r="K61" s="390"/>
      <c r="L61" s="389"/>
      <c r="M61" s="389"/>
      <c r="O61" s="83">
        <v>0.9</v>
      </c>
      <c r="P61" s="83">
        <f t="shared" si="36"/>
        <v>59.247</v>
      </c>
      <c r="W61" s="133">
        <v>42503</v>
      </c>
      <c r="X61" s="10">
        <v>64.349999999999994</v>
      </c>
      <c r="Y61" s="10">
        <v>64.98</v>
      </c>
      <c r="Z61" s="10">
        <v>64.05</v>
      </c>
      <c r="AA61" s="10">
        <v>64.12</v>
      </c>
      <c r="AB61" s="95">
        <v>4524000</v>
      </c>
      <c r="AC61" s="10">
        <v>63.8</v>
      </c>
      <c r="AD61" s="2">
        <f t="shared" si="0"/>
        <v>0.93000000000000682</v>
      </c>
      <c r="AE61" s="138">
        <f t="shared" si="1"/>
        <v>-3.4364261168384758E-3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93"/>
      <c r="I62" s="390"/>
      <c r="J62" s="390"/>
      <c r="K62" s="390"/>
      <c r="L62" s="389"/>
      <c r="M62" s="389"/>
      <c r="W62" s="133">
        <v>42502</v>
      </c>
      <c r="X62" s="10">
        <v>65.069999999999993</v>
      </c>
      <c r="Y62" s="10">
        <v>65.36</v>
      </c>
      <c r="Z62" s="10">
        <v>64.069999999999993</v>
      </c>
      <c r="AA62" s="10">
        <v>64.34</v>
      </c>
      <c r="AB62" s="95">
        <v>3607800</v>
      </c>
      <c r="AC62" s="10">
        <v>64.02</v>
      </c>
      <c r="AD62" s="2">
        <f t="shared" si="0"/>
        <v>1.2900000000000063</v>
      </c>
      <c r="AE62" s="138">
        <f t="shared" si="1"/>
        <v>-3.8898397386027961E-3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93"/>
      <c r="I63" s="390"/>
      <c r="J63" s="390"/>
      <c r="K63" s="390"/>
      <c r="L63" s="389"/>
      <c r="M63" s="389"/>
      <c r="W63" s="133">
        <v>42501</v>
      </c>
      <c r="X63" s="10">
        <v>64.62</v>
      </c>
      <c r="Y63" s="10">
        <v>65.319999999999993</v>
      </c>
      <c r="Z63" s="10">
        <v>64.41</v>
      </c>
      <c r="AA63" s="10">
        <v>64.59</v>
      </c>
      <c r="AB63" s="95">
        <v>4959500</v>
      </c>
      <c r="AC63" s="10">
        <v>64.27</v>
      </c>
      <c r="AD63" s="2">
        <f t="shared" si="0"/>
        <v>0.90999999999999659</v>
      </c>
      <c r="AE63" s="138">
        <f t="shared" si="1"/>
        <v>-3.8747675139492177E-3</v>
      </c>
    </row>
    <row r="64" spans="1:31" x14ac:dyDescent="0.25">
      <c r="A64" s="389"/>
      <c r="B64" s="389"/>
      <c r="C64" s="389"/>
      <c r="D64" s="390"/>
      <c r="E64" s="390"/>
      <c r="F64" s="390"/>
      <c r="G64" s="389"/>
      <c r="H64" s="393"/>
      <c r="I64" s="390"/>
      <c r="J64" s="390"/>
      <c r="K64" s="390"/>
      <c r="L64" s="389"/>
      <c r="M64" s="389"/>
      <c r="W64" s="133">
        <v>42500</v>
      </c>
      <c r="X64" s="10">
        <v>64.34</v>
      </c>
      <c r="Y64" s="10">
        <v>65.13</v>
      </c>
      <c r="Z64" s="10">
        <v>63.99</v>
      </c>
      <c r="AA64" s="10">
        <v>64.84</v>
      </c>
      <c r="AB64" s="95">
        <v>4042300</v>
      </c>
      <c r="AC64" s="10">
        <v>64.52</v>
      </c>
      <c r="AD64" s="2">
        <f t="shared" si="0"/>
        <v>1.1399999999999935</v>
      </c>
      <c r="AE64" s="138">
        <f t="shared" si="1"/>
        <v>1.3509267986176576E-2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90"/>
      <c r="J65" s="390"/>
      <c r="K65" s="390"/>
      <c r="L65" s="389"/>
      <c r="M65" s="389"/>
      <c r="W65" s="133">
        <v>42499</v>
      </c>
      <c r="X65" s="10">
        <v>64.23</v>
      </c>
      <c r="Y65" s="10">
        <v>64.58</v>
      </c>
      <c r="Z65" s="10">
        <v>63.77</v>
      </c>
      <c r="AA65" s="10">
        <v>63.98</v>
      </c>
      <c r="AB65" s="95">
        <v>4261100</v>
      </c>
      <c r="AC65" s="10">
        <v>63.66</v>
      </c>
      <c r="AD65" s="2">
        <f t="shared" si="0"/>
        <v>0.80999999999999517</v>
      </c>
      <c r="AE65" s="138">
        <f t="shared" si="1"/>
        <v>-8.2567378096276567E-3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0</v>
      </c>
      <c r="W66" s="133">
        <v>42496</v>
      </c>
      <c r="X66" s="10">
        <v>63.76</v>
      </c>
      <c r="Y66" s="10">
        <v>64.709999999999994</v>
      </c>
      <c r="Z66" s="10">
        <v>63.45</v>
      </c>
      <c r="AA66" s="10">
        <v>64.510000000000005</v>
      </c>
      <c r="AB66" s="95">
        <v>3667700</v>
      </c>
      <c r="AC66" s="10">
        <v>64.19</v>
      </c>
      <c r="AD66" s="2">
        <f t="shared" si="0"/>
        <v>1.2599999999999909</v>
      </c>
      <c r="AE66" s="138">
        <f t="shared" si="1"/>
        <v>9.2767295597484534E-3</v>
      </c>
    </row>
    <row r="67" spans="1:31" ht="15.75" thickBot="1" x14ac:dyDescent="0.3">
      <c r="A67" s="503" t="s">
        <v>206</v>
      </c>
      <c r="B67" s="504"/>
      <c r="C67" s="505">
        <f>SumByColor($A$19,C50:C65)</f>
        <v>0</v>
      </c>
      <c r="D67" s="505"/>
      <c r="E67" s="505"/>
      <c r="F67" s="506">
        <f>SumByColor($A$19,F50:F65)</f>
        <v>0</v>
      </c>
      <c r="G67" s="505"/>
      <c r="H67" s="505">
        <f>SumByColor($A$19,H50:H65)</f>
        <v>0</v>
      </c>
      <c r="I67" s="505"/>
      <c r="J67" s="505"/>
      <c r="K67" s="506">
        <f>SumByColor($A$19,K50:K65)</f>
        <v>0</v>
      </c>
      <c r="L67" s="505"/>
      <c r="M67" s="506">
        <f t="shared" ref="M67" si="37">SumByColor($A$19,M50:M65)</f>
        <v>0</v>
      </c>
      <c r="W67" s="133">
        <v>42495</v>
      </c>
      <c r="X67" s="10">
        <v>64.459999999999994</v>
      </c>
      <c r="Y67" s="10">
        <v>64.72</v>
      </c>
      <c r="Z67" s="10">
        <v>63.79</v>
      </c>
      <c r="AA67" s="10">
        <v>63.92</v>
      </c>
      <c r="AB67" s="95">
        <v>4037200</v>
      </c>
      <c r="AC67" s="10">
        <v>63.6</v>
      </c>
      <c r="AD67" s="2">
        <f>Y67-Z67</f>
        <v>0.92999999999999972</v>
      </c>
      <c r="AE67" s="138" t="e">
        <f>AC67/#REF!-1</f>
        <v>#REF!</v>
      </c>
    </row>
    <row r="68" spans="1:31" x14ac:dyDescent="0.25">
      <c r="W68" s="133">
        <v>42494</v>
      </c>
      <c r="X68" s="10">
        <v>64.13</v>
      </c>
      <c r="Y68" s="10">
        <v>64.75</v>
      </c>
      <c r="Z68" s="10">
        <v>63.83</v>
      </c>
      <c r="AA68" s="10">
        <v>64.260000000000005</v>
      </c>
      <c r="AB68" s="95">
        <v>4998000</v>
      </c>
      <c r="AC68" s="10">
        <v>63.94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587" priority="9">
      <formula>F36&gt;0</formula>
    </cfRule>
    <cfRule type="expression" dxfId="586" priority="10">
      <formula>F36&lt;0</formula>
    </cfRule>
  </conditionalFormatting>
  <conditionalFormatting sqref="F25:F35">
    <cfRule type="expression" dxfId="585" priority="7">
      <formula>F25&gt;0</formula>
    </cfRule>
    <cfRule type="expression" dxfId="584" priority="8">
      <formula>F25&lt;0</formula>
    </cfRule>
  </conditionalFormatting>
  <conditionalFormatting sqref="H25:H35">
    <cfRule type="expression" dxfId="583" priority="5">
      <formula>H25&gt;0</formula>
    </cfRule>
    <cfRule type="expression" dxfId="582" priority="6">
      <formula>H25&lt;0</formula>
    </cfRule>
  </conditionalFormatting>
  <conditionalFormatting sqref="Q7">
    <cfRule type="expression" dxfId="581" priority="3">
      <formula>Q7&gt;0</formula>
    </cfRule>
    <cfRule type="expression" dxfId="580" priority="4">
      <formula>Q7&lt;0</formula>
    </cfRule>
  </conditionalFormatting>
  <conditionalFormatting sqref="Q8">
    <cfRule type="expression" dxfId="579" priority="1">
      <formula>Q8&gt;0</formula>
    </cfRule>
    <cfRule type="expression" dxfId="57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267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 t="s">
        <v>306</v>
      </c>
      <c r="M2" s="4"/>
      <c r="O2" s="11" t="s">
        <v>57</v>
      </c>
      <c r="Q2">
        <f>C18-H18</f>
        <v>300</v>
      </c>
      <c r="T2" s="1">
        <v>42568</v>
      </c>
      <c r="U2" t="s">
        <v>318</v>
      </c>
      <c r="W2" s="133">
        <v>42587</v>
      </c>
      <c r="X2" s="10">
        <v>21.28</v>
      </c>
      <c r="Y2" s="10">
        <v>22.16</v>
      </c>
      <c r="Z2" s="10">
        <v>21.05</v>
      </c>
      <c r="AA2" s="10">
        <v>22.09</v>
      </c>
      <c r="AB2" s="95">
        <v>8886000</v>
      </c>
      <c r="AC2" s="10">
        <v>22.09</v>
      </c>
      <c r="AD2" s="2">
        <f>Y2-Z2</f>
        <v>1.1099999999999994</v>
      </c>
      <c r="AE2" s="138">
        <f>AC2/AC3-1</f>
        <v>3.0797946803546417E-2</v>
      </c>
    </row>
    <row r="3" spans="1:31" x14ac:dyDescent="0.25">
      <c r="A3" s="23" t="s">
        <v>71</v>
      </c>
      <c r="B3" s="1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"/>
      <c r="H3" s="185"/>
      <c r="I3" s="3"/>
      <c r="J3" s="3"/>
      <c r="K3" s="3"/>
      <c r="L3" s="4" t="s">
        <v>548</v>
      </c>
      <c r="O3" s="11" t="s">
        <v>58</v>
      </c>
      <c r="Q3" s="232">
        <f>IF(Q2=0, Q4, (F18-K18-M18)/Q2)</f>
        <v>22.735399999999998</v>
      </c>
      <c r="T3" s="1" t="s">
        <v>319</v>
      </c>
      <c r="W3" s="133">
        <v>42586</v>
      </c>
      <c r="X3" s="10">
        <v>22.72</v>
      </c>
      <c r="Y3" s="10">
        <v>22.95</v>
      </c>
      <c r="Z3" s="10">
        <v>20.77</v>
      </c>
      <c r="AA3" s="10">
        <v>21.43</v>
      </c>
      <c r="AB3" s="95">
        <v>25806400</v>
      </c>
      <c r="AC3" s="10">
        <v>21.43</v>
      </c>
      <c r="AD3" s="2">
        <f t="shared" ref="AD3:AD66" si="0">Y3-Z3</f>
        <v>2.1799999999999997</v>
      </c>
      <c r="AE3" s="138">
        <f t="shared" ref="AE3:AE66" si="1">AC3/AC4-1</f>
        <v>-0.12601957585644374</v>
      </c>
    </row>
    <row r="4" spans="1:31" x14ac:dyDescent="0.25">
      <c r="B4" s="74">
        <v>42586</v>
      </c>
      <c r="C4" s="4">
        <v>100</v>
      </c>
      <c r="D4" s="3">
        <v>22.65</v>
      </c>
      <c r="E4" s="3">
        <v>0</v>
      </c>
      <c r="F4" s="3">
        <f>D4*C4+E4</f>
        <v>2265</v>
      </c>
      <c r="G4" s="4"/>
      <c r="H4" s="185"/>
      <c r="I4" s="3"/>
      <c r="J4" s="3"/>
      <c r="K4" s="3"/>
      <c r="L4" s="4"/>
      <c r="O4" s="11" t="s">
        <v>66</v>
      </c>
      <c r="Q4" s="55">
        <v>23.19</v>
      </c>
      <c r="T4" s="163"/>
      <c r="U4" s="1"/>
      <c r="W4" s="133">
        <v>42585</v>
      </c>
      <c r="X4" s="10">
        <v>24.49</v>
      </c>
      <c r="Y4" s="10">
        <v>25.15</v>
      </c>
      <c r="Z4" s="10">
        <v>24.29</v>
      </c>
      <c r="AA4" s="10">
        <v>24.52</v>
      </c>
      <c r="AB4" s="95">
        <v>3774800</v>
      </c>
      <c r="AC4" s="10">
        <v>24.52</v>
      </c>
      <c r="AD4" s="2">
        <f t="shared" si="0"/>
        <v>0.85999999999999943</v>
      </c>
      <c r="AE4" s="138">
        <f t="shared" si="1"/>
        <v>1.2249897917517849E-3</v>
      </c>
    </row>
    <row r="5" spans="1:31" x14ac:dyDescent="0.25">
      <c r="B5" s="74">
        <v>42586</v>
      </c>
      <c r="C5" s="4">
        <v>100</v>
      </c>
      <c r="D5" s="3">
        <v>20.92</v>
      </c>
      <c r="E5" s="3">
        <v>-0.5</v>
      </c>
      <c r="F5" s="3">
        <f>D5*C5+E5</f>
        <v>2091.5</v>
      </c>
      <c r="G5" s="4"/>
      <c r="H5" s="185"/>
      <c r="I5" s="3"/>
      <c r="J5" s="3"/>
      <c r="K5" s="3"/>
      <c r="L5" s="4"/>
      <c r="O5" s="11" t="s">
        <v>67</v>
      </c>
      <c r="Q5" s="3">
        <f>Q4*Q2</f>
        <v>6957</v>
      </c>
      <c r="W5" s="133">
        <v>42584</v>
      </c>
      <c r="X5" s="10">
        <v>24.35</v>
      </c>
      <c r="Y5" s="10">
        <v>25.12</v>
      </c>
      <c r="Z5" s="10">
        <v>24.05</v>
      </c>
      <c r="AA5" s="10">
        <v>24.49</v>
      </c>
      <c r="AB5" s="95">
        <v>3770900</v>
      </c>
      <c r="AC5" s="10">
        <v>24.49</v>
      </c>
      <c r="AD5" s="2">
        <f t="shared" si="0"/>
        <v>1.0700000000000003</v>
      </c>
      <c r="AE5" s="138">
        <f t="shared" si="1"/>
        <v>2.8665028665026959E-3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6820.62</v>
      </c>
      <c r="W6" s="133">
        <v>42583</v>
      </c>
      <c r="X6" s="10">
        <v>24.46</v>
      </c>
      <c r="Y6" s="10">
        <v>24.78</v>
      </c>
      <c r="Z6" s="10">
        <v>23.98</v>
      </c>
      <c r="AA6" s="10">
        <v>24.42</v>
      </c>
      <c r="AB6" s="95">
        <v>3582300</v>
      </c>
      <c r="AC6" s="10">
        <v>24.42</v>
      </c>
      <c r="AD6" s="2">
        <f t="shared" si="0"/>
        <v>0.80000000000000071</v>
      </c>
      <c r="AE6" s="138">
        <f t="shared" si="1"/>
        <v>-1.0534846029173317E-2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136.38000000000011</v>
      </c>
      <c r="R7">
        <v>70</v>
      </c>
      <c r="W7" s="133">
        <v>42580</v>
      </c>
      <c r="X7" s="10">
        <v>24.55</v>
      </c>
      <c r="Y7" s="10">
        <v>24.75</v>
      </c>
      <c r="Z7" s="10">
        <v>23.75</v>
      </c>
      <c r="AA7" s="10">
        <v>24.68</v>
      </c>
      <c r="AB7" s="95">
        <v>4336000</v>
      </c>
      <c r="AC7" s="10">
        <v>24.68</v>
      </c>
      <c r="AD7" s="2">
        <f t="shared" si="0"/>
        <v>1</v>
      </c>
      <c r="AE7" s="138">
        <f t="shared" si="1"/>
        <v>8.110300081103361E-4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136.38000000000011</v>
      </c>
      <c r="W8" s="133">
        <v>42579</v>
      </c>
      <c r="X8" s="10">
        <v>25.12</v>
      </c>
      <c r="Y8" s="10">
        <v>25.18</v>
      </c>
      <c r="Z8" s="10">
        <v>24.35</v>
      </c>
      <c r="AA8" s="10">
        <v>24.66</v>
      </c>
      <c r="AB8" s="95">
        <v>3733700</v>
      </c>
      <c r="AC8" s="10">
        <v>24.66</v>
      </c>
      <c r="AD8" s="2">
        <f t="shared" si="0"/>
        <v>0.82999999999999829</v>
      </c>
      <c r="AE8" s="138">
        <f t="shared" si="1"/>
        <v>-2.9515938606847647E-2</v>
      </c>
    </row>
    <row r="9" spans="1:31" x14ac:dyDescent="0.25">
      <c r="H9" s="72"/>
      <c r="O9" s="11" t="s">
        <v>231</v>
      </c>
      <c r="Q9" s="138">
        <f>IF(Q2=0, 0, Q8/Q6)</f>
        <v>1.9995249698707758E-2</v>
      </c>
      <c r="W9" s="133">
        <v>42578</v>
      </c>
      <c r="X9" s="10">
        <v>25.86</v>
      </c>
      <c r="Y9" s="10">
        <v>26.33</v>
      </c>
      <c r="Z9" s="10">
        <v>25.19</v>
      </c>
      <c r="AA9" s="10">
        <v>25.41</v>
      </c>
      <c r="AB9" s="95">
        <v>3840100</v>
      </c>
      <c r="AC9" s="10">
        <v>25.41</v>
      </c>
      <c r="AD9" s="2">
        <f t="shared" si="0"/>
        <v>1.139999999999997</v>
      </c>
      <c r="AE9" s="138">
        <f t="shared" si="1"/>
        <v>-1.5116279069767424E-2</v>
      </c>
    </row>
    <row r="10" spans="1:31" x14ac:dyDescent="0.25">
      <c r="H10" s="72"/>
      <c r="O10" s="11" t="s">
        <v>230</v>
      </c>
      <c r="P10" s="34"/>
      <c r="Q10" s="2">
        <v>0</v>
      </c>
      <c r="W10" s="133">
        <v>42577</v>
      </c>
      <c r="X10" s="10">
        <v>25.3</v>
      </c>
      <c r="Y10" s="10">
        <v>25.93</v>
      </c>
      <c r="Z10" s="10">
        <v>25.06</v>
      </c>
      <c r="AA10" s="10">
        <v>25.8</v>
      </c>
      <c r="AB10" s="95">
        <v>2880600</v>
      </c>
      <c r="AC10" s="10">
        <v>25.8</v>
      </c>
      <c r="AD10" s="2">
        <f t="shared" si="0"/>
        <v>0.87000000000000099</v>
      </c>
      <c r="AE10" s="138">
        <f t="shared" si="1"/>
        <v>1.8555073035925851E-2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5.6000000000000001E-2</v>
      </c>
      <c r="W11" s="133">
        <v>42576</v>
      </c>
      <c r="X11" s="10">
        <v>25.16</v>
      </c>
      <c r="Y11" s="10">
        <v>25.42</v>
      </c>
      <c r="Z11" s="10">
        <v>24.54</v>
      </c>
      <c r="AA11" s="10">
        <v>25.33</v>
      </c>
      <c r="AB11" s="95">
        <v>5721900</v>
      </c>
      <c r="AC11" s="10">
        <v>25.33</v>
      </c>
      <c r="AD11" s="2">
        <f t="shared" si="0"/>
        <v>0.88000000000000256</v>
      </c>
      <c r="AE11" s="138">
        <f t="shared" si="1"/>
        <v>5.9571088165208952E-3</v>
      </c>
    </row>
    <row r="12" spans="1:31" x14ac:dyDescent="0.25">
      <c r="H12" s="72"/>
      <c r="W12" s="133">
        <v>42573</v>
      </c>
      <c r="X12" s="10">
        <v>26.19</v>
      </c>
      <c r="Y12" s="10">
        <v>26.41</v>
      </c>
      <c r="Z12" s="10">
        <v>25.15</v>
      </c>
      <c r="AA12" s="10">
        <v>25.18</v>
      </c>
      <c r="AB12" s="95">
        <v>4528900</v>
      </c>
      <c r="AC12" s="10">
        <v>25.18</v>
      </c>
      <c r="AD12" s="2">
        <f t="shared" si="0"/>
        <v>1.2600000000000016</v>
      </c>
      <c r="AE12" s="138">
        <f t="shared" si="1"/>
        <v>-4.2221376949410416E-2</v>
      </c>
    </row>
    <row r="13" spans="1:31" x14ac:dyDescent="0.25">
      <c r="H13" s="72"/>
      <c r="W13" s="133">
        <v>42572</v>
      </c>
      <c r="X13" s="10">
        <v>26.74</v>
      </c>
      <c r="Y13" s="10">
        <v>27.07</v>
      </c>
      <c r="Z13" s="10">
        <v>26.2</v>
      </c>
      <c r="AA13" s="10">
        <v>26.29</v>
      </c>
      <c r="AB13" s="95">
        <v>3071900</v>
      </c>
      <c r="AC13" s="10">
        <v>26.29</v>
      </c>
      <c r="AD13" s="2">
        <f t="shared" si="0"/>
        <v>0.87000000000000099</v>
      </c>
      <c r="AE13" s="138">
        <f t="shared" si="1"/>
        <v>-1.2025554302893648E-2</v>
      </c>
    </row>
    <row r="14" spans="1:31" x14ac:dyDescent="0.25">
      <c r="H14" s="72"/>
      <c r="W14" s="133">
        <v>42571</v>
      </c>
      <c r="X14" s="10">
        <v>26.59</v>
      </c>
      <c r="Y14" s="10">
        <v>27.1</v>
      </c>
      <c r="Z14" s="10">
        <v>26.19</v>
      </c>
      <c r="AA14" s="10">
        <v>26.61</v>
      </c>
      <c r="AB14" s="95">
        <v>4148300</v>
      </c>
      <c r="AC14" s="10">
        <v>26.61</v>
      </c>
      <c r="AD14" s="2">
        <f t="shared" si="0"/>
        <v>0.91000000000000014</v>
      </c>
      <c r="AE14" s="138">
        <f t="shared" si="1"/>
        <v>2.2598870056496079E-3</v>
      </c>
    </row>
    <row r="15" spans="1:31" x14ac:dyDescent="0.25">
      <c r="H15" s="72"/>
      <c r="W15" s="133">
        <v>42570</v>
      </c>
      <c r="X15" s="10">
        <v>27.2</v>
      </c>
      <c r="Y15" s="10">
        <v>27.28</v>
      </c>
      <c r="Z15" s="10">
        <v>26.35</v>
      </c>
      <c r="AA15" s="10">
        <v>26.55</v>
      </c>
      <c r="AB15" s="95">
        <v>5392000</v>
      </c>
      <c r="AC15" s="10">
        <v>26.55</v>
      </c>
      <c r="AD15" s="2">
        <f t="shared" si="0"/>
        <v>0.92999999999999972</v>
      </c>
      <c r="AE15" s="138">
        <f t="shared" si="1"/>
        <v>-4.1170097508125725E-2</v>
      </c>
    </row>
    <row r="16" spans="1:31" x14ac:dyDescent="0.25">
      <c r="H16" s="72"/>
      <c r="W16" s="133">
        <v>42569</v>
      </c>
      <c r="X16" s="10">
        <v>27.34</v>
      </c>
      <c r="Y16" s="10">
        <v>27.82</v>
      </c>
      <c r="Z16" s="10">
        <v>26.41</v>
      </c>
      <c r="AA16" s="10">
        <v>27.69</v>
      </c>
      <c r="AB16" s="95">
        <v>3904700</v>
      </c>
      <c r="AC16" s="10">
        <v>27.69</v>
      </c>
      <c r="AD16" s="2">
        <f t="shared" si="0"/>
        <v>1.4100000000000001</v>
      </c>
      <c r="AE16" s="138">
        <f t="shared" si="1"/>
        <v>9.1107871720117473E-3</v>
      </c>
    </row>
    <row r="17" spans="1:31" x14ac:dyDescent="0.25">
      <c r="W17" s="133">
        <v>42566</v>
      </c>
      <c r="X17" s="10">
        <v>27.99</v>
      </c>
      <c r="Y17" s="10">
        <v>28.02</v>
      </c>
      <c r="Z17" s="10">
        <v>27.03</v>
      </c>
      <c r="AA17" s="10">
        <v>27.44</v>
      </c>
      <c r="AB17" s="95">
        <v>4032100</v>
      </c>
      <c r="AC17" s="10">
        <v>27.44</v>
      </c>
      <c r="AD17" s="2">
        <f t="shared" si="0"/>
        <v>0.98999999999999844</v>
      </c>
      <c r="AE17" s="138">
        <f t="shared" si="1"/>
        <v>-1.5428776462145688E-2</v>
      </c>
    </row>
    <row r="18" spans="1:31" x14ac:dyDescent="0.25">
      <c r="A18" s="32" t="s">
        <v>81</v>
      </c>
      <c r="B18" s="14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30</v>
      </c>
      <c r="I18" s="18"/>
      <c r="J18" s="18"/>
      <c r="K18" s="18">
        <f>SUM(K2:K5)</f>
        <v>774.28</v>
      </c>
      <c r="L18" s="14"/>
      <c r="M18" s="18">
        <f>SUM(M2:M10)</f>
        <v>0</v>
      </c>
      <c r="W18" s="133">
        <v>42565</v>
      </c>
      <c r="X18" s="10">
        <v>27.46</v>
      </c>
      <c r="Y18" s="10">
        <v>28.32</v>
      </c>
      <c r="Z18" s="10">
        <v>27.33</v>
      </c>
      <c r="AA18" s="10">
        <v>27.87</v>
      </c>
      <c r="AB18" s="95">
        <v>7391400</v>
      </c>
      <c r="AC18" s="10">
        <v>27.87</v>
      </c>
      <c r="AD18" s="2">
        <f t="shared" si="0"/>
        <v>0.99000000000000199</v>
      </c>
      <c r="AE18" s="138">
        <f t="shared" si="1"/>
        <v>3.5289747399702698E-2</v>
      </c>
    </row>
    <row r="19" spans="1:31" ht="15.75" thickBot="1" x14ac:dyDescent="0.3">
      <c r="A19" s="363" t="s">
        <v>206</v>
      </c>
      <c r="B19" s="364"/>
      <c r="C19" s="365">
        <f>SumByColor($A$19,C2:C17)</f>
        <v>30</v>
      </c>
      <c r="D19" s="365"/>
      <c r="E19" s="365"/>
      <c r="F19" s="366">
        <f>SumByColor($A$19,F2:F17)</f>
        <v>713</v>
      </c>
      <c r="G19" s="365"/>
      <c r="H19" s="365">
        <f>SumByColor($A$19,H2:H17)</f>
        <v>30</v>
      </c>
      <c r="I19" s="365"/>
      <c r="J19" s="365"/>
      <c r="K19" s="366">
        <f>SumByColor($A$19,K2:K17)</f>
        <v>774</v>
      </c>
      <c r="L19" s="365"/>
      <c r="M19" s="366">
        <f t="shared" ref="M19" si="2">SumByColor($A$19,M2:M17)</f>
        <v>0</v>
      </c>
      <c r="W19" s="133">
        <v>42564</v>
      </c>
      <c r="X19" s="10">
        <v>26.07</v>
      </c>
      <c r="Y19" s="10">
        <v>27.01</v>
      </c>
      <c r="Z19" s="10">
        <v>25.63</v>
      </c>
      <c r="AA19" s="10">
        <v>26.92</v>
      </c>
      <c r="AB19" s="95">
        <v>4906700</v>
      </c>
      <c r="AC19" s="10">
        <v>26.92</v>
      </c>
      <c r="AD19" s="2">
        <f t="shared" si="0"/>
        <v>1.3800000000000026</v>
      </c>
      <c r="AE19" s="138">
        <f t="shared" si="1"/>
        <v>3.4191317710334346E-2</v>
      </c>
    </row>
    <row r="20" spans="1:31" x14ac:dyDescent="0.25">
      <c r="W20" s="133">
        <v>42563</v>
      </c>
      <c r="X20" s="10">
        <v>25</v>
      </c>
      <c r="Y20" s="10">
        <v>26.49</v>
      </c>
      <c r="Z20" s="10">
        <v>24.88</v>
      </c>
      <c r="AA20" s="10">
        <v>26.03</v>
      </c>
      <c r="AB20" s="95">
        <v>4371900</v>
      </c>
      <c r="AC20" s="10">
        <v>26.03</v>
      </c>
      <c r="AD20" s="2">
        <f t="shared" si="0"/>
        <v>1.6099999999999994</v>
      </c>
      <c r="AE20" s="138">
        <f t="shared" si="1"/>
        <v>5.5127685447912356E-2</v>
      </c>
    </row>
    <row r="21" spans="1:31" x14ac:dyDescent="0.25">
      <c r="W21" s="133">
        <v>42562</v>
      </c>
      <c r="X21" s="10">
        <v>25.02</v>
      </c>
      <c r="Y21" s="10">
        <v>25.36</v>
      </c>
      <c r="Z21" s="10">
        <v>24.62</v>
      </c>
      <c r="AA21" s="10">
        <v>24.67</v>
      </c>
      <c r="AB21" s="95">
        <v>3699000</v>
      </c>
      <c r="AC21" s="10">
        <v>24.67</v>
      </c>
      <c r="AD21" s="2">
        <f t="shared" si="0"/>
        <v>0.73999999999999844</v>
      </c>
      <c r="AE21" s="138">
        <f t="shared" si="1"/>
        <v>-7.6427996781978091E-3</v>
      </c>
    </row>
    <row r="22" spans="1:31" x14ac:dyDescent="0.25">
      <c r="W22" s="133">
        <v>42559</v>
      </c>
      <c r="X22" s="10">
        <v>24.15</v>
      </c>
      <c r="Y22" s="10">
        <v>24.97</v>
      </c>
      <c r="Z22" s="10">
        <v>23.85</v>
      </c>
      <c r="AA22" s="10">
        <v>24.86</v>
      </c>
      <c r="AB22" s="95">
        <v>3839000</v>
      </c>
      <c r="AC22" s="10">
        <v>24.86</v>
      </c>
      <c r="AD22" s="2">
        <f t="shared" si="0"/>
        <v>1.1199999999999974</v>
      </c>
      <c r="AE22" s="138">
        <f t="shared" si="1"/>
        <v>5.787234042553191E-2</v>
      </c>
    </row>
    <row r="23" spans="1:31" x14ac:dyDescent="0.25">
      <c r="W23" s="133">
        <v>42558</v>
      </c>
      <c r="X23" s="10">
        <v>23.91</v>
      </c>
      <c r="Y23" s="10">
        <v>24.32</v>
      </c>
      <c r="Z23" s="10">
        <v>23.38</v>
      </c>
      <c r="AA23" s="10">
        <v>23.5</v>
      </c>
      <c r="AB23" s="95">
        <v>3029800</v>
      </c>
      <c r="AC23" s="10">
        <v>23.5</v>
      </c>
      <c r="AD23" s="2">
        <f t="shared" si="0"/>
        <v>0.94000000000000128</v>
      </c>
      <c r="AE23" s="138">
        <f t="shared" si="1"/>
        <v>-1.0526315789473717E-2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23.32</v>
      </c>
      <c r="Y24" s="10">
        <v>23.78</v>
      </c>
      <c r="Z24" s="10">
        <v>22.75</v>
      </c>
      <c r="AA24" s="10">
        <v>23.75</v>
      </c>
      <c r="AB24" s="95">
        <v>4798300</v>
      </c>
      <c r="AC24" s="10">
        <v>23.75</v>
      </c>
      <c r="AD24" s="2">
        <f t="shared" si="0"/>
        <v>1.0300000000000011</v>
      </c>
      <c r="AE24" s="138">
        <f t="shared" si="1"/>
        <v>8.920985556499561E-3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42556</v>
      </c>
      <c r="X25" s="10">
        <v>24.09</v>
      </c>
      <c r="Y25" s="10">
        <v>24.24</v>
      </c>
      <c r="Z25" s="10">
        <v>23.25</v>
      </c>
      <c r="AA25" s="10">
        <v>23.54</v>
      </c>
      <c r="AB25" s="95">
        <v>3709800</v>
      </c>
      <c r="AC25" s="10">
        <v>23.54</v>
      </c>
      <c r="AD25" s="2">
        <f t="shared" si="0"/>
        <v>0.98999999999999844</v>
      </c>
      <c r="AE25" s="138">
        <f t="shared" si="1"/>
        <v>-2.8075970272502082E-2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42552</v>
      </c>
      <c r="X26" s="10">
        <v>23.92</v>
      </c>
      <c r="Y26" s="10">
        <v>24.42</v>
      </c>
      <c r="Z26" s="10">
        <v>23.76</v>
      </c>
      <c r="AA26" s="10">
        <v>24.22</v>
      </c>
      <c r="AB26" s="95">
        <v>4839400</v>
      </c>
      <c r="AC26" s="10">
        <v>24.22</v>
      </c>
      <c r="AD26" s="2">
        <f t="shared" si="0"/>
        <v>0.66000000000000014</v>
      </c>
      <c r="AE26" s="138">
        <f t="shared" si="1"/>
        <v>4.9792531120331773E-3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42551</v>
      </c>
      <c r="X27" s="10">
        <v>24.36</v>
      </c>
      <c r="Y27" s="10">
        <v>24.84</v>
      </c>
      <c r="Z27" s="10">
        <v>23.63</v>
      </c>
      <c r="AA27" s="10">
        <v>24.1</v>
      </c>
      <c r="AB27" s="95">
        <v>4517800</v>
      </c>
      <c r="AC27" s="10">
        <v>24.1</v>
      </c>
      <c r="AD27" s="2">
        <f t="shared" si="0"/>
        <v>1.2100000000000009</v>
      </c>
      <c r="AE27" s="138">
        <f t="shared" si="1"/>
        <v>-9.8603122432209256E-3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42550</v>
      </c>
      <c r="X28" s="10">
        <v>24.47</v>
      </c>
      <c r="Y28" s="10">
        <v>24.63</v>
      </c>
      <c r="Z28" s="10">
        <v>23.96</v>
      </c>
      <c r="AA28" s="10">
        <v>24.34</v>
      </c>
      <c r="AB28" s="95">
        <v>5769300</v>
      </c>
      <c r="AC28" s="10">
        <v>24.34</v>
      </c>
      <c r="AD28" s="2">
        <f t="shared" si="0"/>
        <v>0.66999999999999815</v>
      </c>
      <c r="AE28" s="138">
        <f t="shared" si="1"/>
        <v>1.1637572734829682E-2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42549</v>
      </c>
      <c r="X29" s="10">
        <v>23.86</v>
      </c>
      <c r="Y29" s="10">
        <v>24.48</v>
      </c>
      <c r="Z29" s="10">
        <v>23.6</v>
      </c>
      <c r="AA29" s="10">
        <v>24.06</v>
      </c>
      <c r="AB29" s="95">
        <v>6589500</v>
      </c>
      <c r="AC29" s="10">
        <v>24.06</v>
      </c>
      <c r="AD29" s="2">
        <f t="shared" si="0"/>
        <v>0.87999999999999901</v>
      </c>
      <c r="AE29" s="138">
        <f t="shared" si="1"/>
        <v>2.4701873935264018E-2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42548</v>
      </c>
      <c r="X30" s="10">
        <v>24.94</v>
      </c>
      <c r="Y30" s="10">
        <v>24.97</v>
      </c>
      <c r="Z30" s="10">
        <v>23.15</v>
      </c>
      <c r="AA30" s="10">
        <v>23.48</v>
      </c>
      <c r="AB30" s="95">
        <v>7575800</v>
      </c>
      <c r="AC30" s="10">
        <v>23.48</v>
      </c>
      <c r="AD30" s="2">
        <f t="shared" si="0"/>
        <v>1.8200000000000003</v>
      </c>
      <c r="AE30" s="138">
        <f t="shared" si="1"/>
        <v>-7.6681085332284682E-2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42545</v>
      </c>
      <c r="X31" s="10">
        <v>26.54</v>
      </c>
      <c r="Y31" s="10">
        <v>26.62</v>
      </c>
      <c r="Z31" s="10">
        <v>24.76</v>
      </c>
      <c r="AA31" s="10">
        <v>25.43</v>
      </c>
      <c r="AB31" s="95">
        <v>11112200</v>
      </c>
      <c r="AC31" s="10">
        <v>25.43</v>
      </c>
      <c r="AD31" s="2">
        <f t="shared" si="0"/>
        <v>1.8599999999999994</v>
      </c>
      <c r="AE31" s="138">
        <f t="shared" si="1"/>
        <v>-7.9956584659913177E-2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3">
        <f t="shared" ref="H32:H33" si="26">(E32-D32)/D32</f>
        <v>3.0891089108910936E-2</v>
      </c>
      <c r="I32" s="40"/>
      <c r="W32" s="133">
        <v>42544</v>
      </c>
      <c r="X32" s="10">
        <v>27.19</v>
      </c>
      <c r="Y32" s="10">
        <v>27.66</v>
      </c>
      <c r="Z32" s="10">
        <v>26.83</v>
      </c>
      <c r="AA32" s="10">
        <v>27.64</v>
      </c>
      <c r="AB32" s="95">
        <v>4862500</v>
      </c>
      <c r="AC32" s="10">
        <v>27.64</v>
      </c>
      <c r="AD32" s="2">
        <f t="shared" si="0"/>
        <v>0.83000000000000185</v>
      </c>
      <c r="AE32" s="138">
        <f t="shared" si="1"/>
        <v>2.2945965951147285E-2</v>
      </c>
    </row>
    <row r="33" spans="2:31" x14ac:dyDescent="0.25">
      <c r="B33" s="195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3">
        <f t="shared" si="26"/>
        <v>9.6633663366336678E-2</v>
      </c>
      <c r="I33" s="238">
        <v>23</v>
      </c>
      <c r="W33" s="133">
        <v>42543</v>
      </c>
      <c r="X33" s="10">
        <v>27.5</v>
      </c>
      <c r="Y33" s="10">
        <v>27.77</v>
      </c>
      <c r="Z33" s="10">
        <v>26.97</v>
      </c>
      <c r="AA33" s="10">
        <v>27.02</v>
      </c>
      <c r="AB33" s="95">
        <v>3785900</v>
      </c>
      <c r="AC33" s="10">
        <v>27.02</v>
      </c>
      <c r="AD33" s="2">
        <f t="shared" si="0"/>
        <v>0.80000000000000071</v>
      </c>
      <c r="AE33" s="138">
        <f t="shared" si="1"/>
        <v>-1.0618820944708895E-2</v>
      </c>
    </row>
    <row r="34" spans="2:31" x14ac:dyDescent="0.25">
      <c r="B34" s="195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3">
        <f t="shared" ref="H34" si="29">(E34-D34)/D34</f>
        <v>5.148514851485151E-2</v>
      </c>
      <c r="I34" s="40"/>
      <c r="W34" s="133">
        <v>42542</v>
      </c>
      <c r="X34" s="10">
        <v>27.87</v>
      </c>
      <c r="Y34" s="10">
        <v>28.05</v>
      </c>
      <c r="Z34" s="10">
        <v>27.15</v>
      </c>
      <c r="AA34" s="10">
        <v>27.31</v>
      </c>
      <c r="AB34" s="95">
        <v>4617900</v>
      </c>
      <c r="AC34" s="10">
        <v>27.31</v>
      </c>
      <c r="AD34" s="2">
        <f t="shared" si="0"/>
        <v>0.90000000000000213</v>
      </c>
      <c r="AE34" s="138">
        <f t="shared" si="1"/>
        <v>-2.3247496423462133E-2</v>
      </c>
    </row>
    <row r="35" spans="2:31" x14ac:dyDescent="0.25">
      <c r="B35" s="195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3">
        <f t="shared" ref="H35" si="32">(E35-D35)/D35</f>
        <v>5.386138613861384E-2</v>
      </c>
      <c r="I35" s="40"/>
      <c r="W35" s="133">
        <v>42541</v>
      </c>
      <c r="X35" s="10">
        <v>28.54</v>
      </c>
      <c r="Y35" s="10">
        <v>29.25</v>
      </c>
      <c r="Z35" s="10">
        <v>27.91</v>
      </c>
      <c r="AA35" s="10">
        <v>27.96</v>
      </c>
      <c r="AB35" s="95">
        <v>3462700</v>
      </c>
      <c r="AC35" s="10">
        <v>27.96</v>
      </c>
      <c r="AD35" s="2">
        <f t="shared" si="0"/>
        <v>1.3399999999999999</v>
      </c>
      <c r="AE35" s="138">
        <f t="shared" si="1"/>
        <v>-1.3756613756613745E-2</v>
      </c>
    </row>
    <row r="36" spans="2:31" x14ac:dyDescent="0.25">
      <c r="B36" s="195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3">
        <f t="shared" ref="H36" si="35">(E36-D36)/D36</f>
        <v>4.1188118811881155E-2</v>
      </c>
      <c r="I36" s="40"/>
      <c r="W36" s="133">
        <v>42538</v>
      </c>
      <c r="X36" s="10">
        <v>27.65</v>
      </c>
      <c r="Y36" s="10">
        <v>28.73</v>
      </c>
      <c r="Z36" s="10">
        <v>27.63</v>
      </c>
      <c r="AA36" s="10">
        <v>28.35</v>
      </c>
      <c r="AB36" s="95">
        <v>6613200</v>
      </c>
      <c r="AC36" s="10">
        <v>28.35</v>
      </c>
      <c r="AD36" s="2">
        <f t="shared" si="0"/>
        <v>1.1000000000000014</v>
      </c>
      <c r="AE36" s="138">
        <f t="shared" si="1"/>
        <v>2.7546212395795688E-2</v>
      </c>
    </row>
    <row r="37" spans="2:31" x14ac:dyDescent="0.25">
      <c r="B37" s="195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3">
        <f t="shared" ref="H37" si="38">(E37-D37)/D37</f>
        <v>-2.7722772277227834E-3</v>
      </c>
      <c r="I37" s="40"/>
      <c r="W37" s="133">
        <v>42537</v>
      </c>
      <c r="X37" s="10">
        <v>27.4</v>
      </c>
      <c r="Y37" s="10">
        <v>27.8</v>
      </c>
      <c r="Z37" s="10">
        <v>26.55</v>
      </c>
      <c r="AA37" s="10">
        <v>27.59</v>
      </c>
      <c r="AB37" s="95">
        <v>4312900</v>
      </c>
      <c r="AC37" s="10">
        <v>27.59</v>
      </c>
      <c r="AD37" s="2">
        <f t="shared" si="0"/>
        <v>1.25</v>
      </c>
      <c r="AE37" s="138">
        <f t="shared" si="1"/>
        <v>-3.2514450867051625E-3</v>
      </c>
    </row>
    <row r="38" spans="2:31" x14ac:dyDescent="0.25">
      <c r="B38" s="195">
        <v>42576</v>
      </c>
      <c r="C38" s="10">
        <v>100</v>
      </c>
      <c r="D38" s="40">
        <v>25.25</v>
      </c>
      <c r="E38" s="40">
        <v>25.33</v>
      </c>
      <c r="F38" s="40">
        <f t="shared" ref="F38:F43" si="39">C38*(E38-D38)</f>
        <v>7.9999999999998295</v>
      </c>
      <c r="G38" s="40">
        <f t="shared" ref="G38:G43" si="40">D38*C38</f>
        <v>2525</v>
      </c>
      <c r="H38" s="233">
        <f t="shared" ref="H38:H43" si="41">(E38-D38)/D38</f>
        <v>3.1683168316831009E-3</v>
      </c>
      <c r="I38" s="40"/>
      <c r="W38" s="133">
        <v>42536</v>
      </c>
      <c r="X38" s="10">
        <v>27.82</v>
      </c>
      <c r="Y38" s="10">
        <v>28.33</v>
      </c>
      <c r="Z38" s="10">
        <v>27.25</v>
      </c>
      <c r="AA38" s="10">
        <v>27.68</v>
      </c>
      <c r="AB38" s="95">
        <v>4606300</v>
      </c>
      <c r="AC38" s="10">
        <v>27.68</v>
      </c>
      <c r="AD38" s="2">
        <f t="shared" si="0"/>
        <v>1.0799999999999983</v>
      </c>
      <c r="AE38" s="138">
        <f t="shared" si="1"/>
        <v>-1.8031013342950653E-3</v>
      </c>
    </row>
    <row r="39" spans="2:31" x14ac:dyDescent="0.25">
      <c r="B39" s="195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3">
        <f t="shared" si="41"/>
        <v>3.1574991103665281E-2</v>
      </c>
      <c r="I39" s="40"/>
      <c r="W39" s="133">
        <v>42535</v>
      </c>
      <c r="X39" s="10">
        <v>28.58</v>
      </c>
      <c r="Y39" s="10">
        <v>29.17</v>
      </c>
      <c r="Z39" s="10">
        <v>27.43</v>
      </c>
      <c r="AA39" s="10">
        <v>27.73</v>
      </c>
      <c r="AB39" s="95">
        <v>4068000</v>
      </c>
      <c r="AC39" s="10">
        <v>27.73</v>
      </c>
      <c r="AD39" s="2">
        <f t="shared" si="0"/>
        <v>1.740000000000002</v>
      </c>
      <c r="AE39" s="138">
        <f t="shared" si="1"/>
        <v>-3.1097134870719745E-2</v>
      </c>
    </row>
    <row r="40" spans="2:31" ht="20.25" thickBot="1" x14ac:dyDescent="0.35">
      <c r="B40" s="195">
        <v>42580</v>
      </c>
      <c r="C40" s="239">
        <v>100</v>
      </c>
      <c r="D40" s="240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3">
        <f t="shared" si="41"/>
        <v>1.5745986396765738E-3</v>
      </c>
      <c r="I40" s="40"/>
      <c r="O40" s="525" t="s">
        <v>78</v>
      </c>
      <c r="P40" s="525"/>
      <c r="W40" s="133">
        <v>42534</v>
      </c>
      <c r="X40" s="10">
        <v>29.43</v>
      </c>
      <c r="Y40" s="10">
        <v>30.07</v>
      </c>
      <c r="Z40" s="10">
        <v>28.58</v>
      </c>
      <c r="AA40" s="10">
        <v>28.62</v>
      </c>
      <c r="AB40" s="95">
        <v>3452300</v>
      </c>
      <c r="AC40" s="10">
        <v>28.62</v>
      </c>
      <c r="AD40" s="2">
        <f t="shared" si="0"/>
        <v>1.490000000000002</v>
      </c>
      <c r="AE40" s="138">
        <f t="shared" si="1"/>
        <v>-2.0868970236058826E-2</v>
      </c>
    </row>
    <row r="41" spans="2:31" ht="15.75" thickTop="1" x14ac:dyDescent="0.25">
      <c r="B41" s="195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3">
        <f t="shared" si="41"/>
        <v>-6.1360648020389787E-3</v>
      </c>
      <c r="I41" s="40"/>
      <c r="O41" s="83">
        <v>1.1000000000000001</v>
      </c>
      <c r="P41" s="83">
        <f>O41*$Q$4</f>
        <v>25.509000000000004</v>
      </c>
      <c r="Q41" s="2"/>
      <c r="W41" s="133">
        <v>42531</v>
      </c>
      <c r="X41" s="10">
        <v>29.4</v>
      </c>
      <c r="Y41" s="10">
        <v>30.03</v>
      </c>
      <c r="Z41" s="10">
        <v>28.83</v>
      </c>
      <c r="AA41" s="10">
        <v>29.23</v>
      </c>
      <c r="AB41" s="95">
        <v>4878800</v>
      </c>
      <c r="AC41" s="10">
        <v>29.23</v>
      </c>
      <c r="AD41" s="2">
        <f t="shared" si="0"/>
        <v>1.2000000000000028</v>
      </c>
      <c r="AE41" s="138">
        <f t="shared" si="1"/>
        <v>-1.8798254447801255E-2</v>
      </c>
    </row>
    <row r="42" spans="2:31" ht="20.25" thickBot="1" x14ac:dyDescent="0.35">
      <c r="B42" s="195">
        <v>42586</v>
      </c>
      <c r="C42" s="10">
        <v>200</v>
      </c>
      <c r="D42" s="40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3">
        <f t="shared" si="41"/>
        <v>-9.360447657033133E-2</v>
      </c>
      <c r="I42" s="40"/>
      <c r="O42" s="83">
        <v>1.0900000000000001</v>
      </c>
      <c r="P42" s="83">
        <f t="shared" ref="P42:P61" si="42">O42*$Q$4</f>
        <v>25.277100000000004</v>
      </c>
      <c r="Q42" s="2"/>
      <c r="T42" s="91" t="s">
        <v>113</v>
      </c>
      <c r="W42" s="133">
        <v>42530</v>
      </c>
      <c r="X42" s="10">
        <v>30.59</v>
      </c>
      <c r="Y42" s="10">
        <v>30.59</v>
      </c>
      <c r="Z42" s="10">
        <v>29.47</v>
      </c>
      <c r="AA42" s="10">
        <v>29.79</v>
      </c>
      <c r="AB42" s="95">
        <v>4885900</v>
      </c>
      <c r="AC42" s="10">
        <v>29.79</v>
      </c>
      <c r="AD42" s="2">
        <f t="shared" si="0"/>
        <v>1.120000000000001</v>
      </c>
      <c r="AE42" s="138">
        <f t="shared" si="1"/>
        <v>-4.1505791505791478E-2</v>
      </c>
    </row>
    <row r="43" spans="2:31" ht="15.75" thickTop="1" x14ac:dyDescent="0.25">
      <c r="B43" s="195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3">
        <f t="shared" si="41"/>
        <v>-5.7417067656605945E-2</v>
      </c>
      <c r="I43" s="40"/>
      <c r="O43" s="83">
        <v>1.08</v>
      </c>
      <c r="P43" s="83">
        <f t="shared" si="42"/>
        <v>25.045200000000005</v>
      </c>
      <c r="Q43" s="2"/>
      <c r="T43" s="128" t="s">
        <v>98</v>
      </c>
      <c r="U43" s="129">
        <v>21.43</v>
      </c>
      <c r="W43" s="133">
        <v>42529</v>
      </c>
      <c r="X43" s="10">
        <v>31.97</v>
      </c>
      <c r="Y43" s="10">
        <v>32.08</v>
      </c>
      <c r="Z43" s="10">
        <v>30.58</v>
      </c>
      <c r="AA43" s="10">
        <v>31.08</v>
      </c>
      <c r="AB43" s="95">
        <v>3669000</v>
      </c>
      <c r="AC43" s="10">
        <v>31.08</v>
      </c>
      <c r="AD43" s="2">
        <f t="shared" si="0"/>
        <v>1.5</v>
      </c>
      <c r="AE43" s="138">
        <f t="shared" si="1"/>
        <v>-2.7534418022528206E-2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42"/>
        <v>24.813300000000002</v>
      </c>
      <c r="Q44" s="2"/>
      <c r="T44" s="93" t="s">
        <v>99</v>
      </c>
      <c r="U44" s="130">
        <v>21.28</v>
      </c>
      <c r="W44" s="133">
        <v>42528</v>
      </c>
      <c r="X44" s="10">
        <v>31.39</v>
      </c>
      <c r="Y44" s="10">
        <v>32.42</v>
      </c>
      <c r="Z44" s="10">
        <v>31.3</v>
      </c>
      <c r="AA44" s="10">
        <v>31.96</v>
      </c>
      <c r="AB44" s="95">
        <v>6240700</v>
      </c>
      <c r="AC44" s="10">
        <v>31.96</v>
      </c>
      <c r="AD44" s="2">
        <f t="shared" si="0"/>
        <v>1.120000000000001</v>
      </c>
      <c r="AE44" s="138">
        <f t="shared" si="1"/>
        <v>2.6003210272873334E-2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42"/>
        <v>24.581400000000002</v>
      </c>
      <c r="Q45" s="2"/>
      <c r="T45" s="93" t="s">
        <v>100</v>
      </c>
      <c r="U45" s="130" t="s">
        <v>490</v>
      </c>
      <c r="W45" s="133">
        <v>42527</v>
      </c>
      <c r="X45" s="10">
        <v>29.45</v>
      </c>
      <c r="Y45" s="10">
        <v>31.16</v>
      </c>
      <c r="Z45" s="10">
        <v>29.2</v>
      </c>
      <c r="AA45" s="10">
        <v>31.15</v>
      </c>
      <c r="AB45" s="95">
        <v>7725100</v>
      </c>
      <c r="AC45" s="10">
        <v>31.15</v>
      </c>
      <c r="AD45" s="2">
        <f t="shared" si="0"/>
        <v>1.9600000000000009</v>
      </c>
      <c r="AE45" s="138">
        <f t="shared" si="1"/>
        <v>8.878014680181745E-2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42"/>
        <v>24.349500000000003</v>
      </c>
      <c r="Q46" s="2"/>
      <c r="T46" s="93" t="s">
        <v>101</v>
      </c>
      <c r="U46" s="130" t="s">
        <v>491</v>
      </c>
      <c r="W46" s="133">
        <v>42524</v>
      </c>
      <c r="X46" s="10">
        <v>27.93</v>
      </c>
      <c r="Y46" s="10">
        <v>28.7</v>
      </c>
      <c r="Z46" s="10">
        <v>27.61</v>
      </c>
      <c r="AA46" s="10">
        <v>28.61</v>
      </c>
      <c r="AB46" s="95">
        <v>4223300</v>
      </c>
      <c r="AC46" s="10">
        <v>28.61</v>
      </c>
      <c r="AD46" s="2">
        <f t="shared" si="0"/>
        <v>1.0899999999999999</v>
      </c>
      <c r="AE46" s="138">
        <f t="shared" si="1"/>
        <v>2.2516082916368862E-2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24.117600000000003</v>
      </c>
      <c r="Q47" s="2"/>
      <c r="T47" s="93" t="s">
        <v>102</v>
      </c>
      <c r="U47" s="130">
        <v>26.2</v>
      </c>
      <c r="W47" s="133">
        <v>42523</v>
      </c>
      <c r="X47" s="10">
        <v>27.64</v>
      </c>
      <c r="Y47" s="10">
        <v>28.27</v>
      </c>
      <c r="Z47" s="10">
        <v>27.5</v>
      </c>
      <c r="AA47" s="10">
        <v>27.98</v>
      </c>
      <c r="AB47" s="95">
        <v>6262400</v>
      </c>
      <c r="AC47" s="10">
        <v>27.98</v>
      </c>
      <c r="AD47" s="2">
        <f t="shared" si="0"/>
        <v>0.76999999999999957</v>
      </c>
      <c r="AE47" s="138">
        <f t="shared" si="1"/>
        <v>1.2301013024601959E-2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23.885700000000003</v>
      </c>
      <c r="Q48" s="2"/>
      <c r="T48" s="93" t="s">
        <v>103</v>
      </c>
      <c r="U48" s="130">
        <v>0.85068200000000005</v>
      </c>
      <c r="W48" s="133">
        <v>42522</v>
      </c>
      <c r="X48" s="10">
        <v>27.66</v>
      </c>
      <c r="Y48" s="10">
        <v>27.73</v>
      </c>
      <c r="Z48" s="10">
        <v>27</v>
      </c>
      <c r="AA48" s="10">
        <v>27.64</v>
      </c>
      <c r="AB48" s="95">
        <v>3921000</v>
      </c>
      <c r="AC48" s="10">
        <v>27.64</v>
      </c>
      <c r="AD48" s="2">
        <f t="shared" si="0"/>
        <v>0.73000000000000043</v>
      </c>
      <c r="AE48" s="138">
        <f t="shared" si="1"/>
        <v>-7.2306579898773204E-4</v>
      </c>
    </row>
    <row r="49" spans="15:31" x14ac:dyDescent="0.25">
      <c r="O49" s="83">
        <v>1.02</v>
      </c>
      <c r="P49" s="83">
        <f t="shared" si="42"/>
        <v>23.6538</v>
      </c>
      <c r="Q49" s="2"/>
      <c r="T49" s="93" t="s">
        <v>123</v>
      </c>
      <c r="U49" s="130" t="s">
        <v>492</v>
      </c>
      <c r="W49" s="133">
        <v>42521</v>
      </c>
      <c r="X49" s="10">
        <v>27.7</v>
      </c>
      <c r="Y49" s="10">
        <v>27.74</v>
      </c>
      <c r="Z49" s="10">
        <v>27</v>
      </c>
      <c r="AA49" s="10">
        <v>27.66</v>
      </c>
      <c r="AB49" s="95">
        <v>6090900</v>
      </c>
      <c r="AC49" s="10">
        <v>27.66</v>
      </c>
      <c r="AD49" s="2">
        <f t="shared" si="0"/>
        <v>0.73999999999999844</v>
      </c>
      <c r="AE49" s="138">
        <f t="shared" si="1"/>
        <v>-1.4440433212996595E-3</v>
      </c>
    </row>
    <row r="50" spans="15:31" x14ac:dyDescent="0.25">
      <c r="O50" s="83">
        <v>1.01</v>
      </c>
      <c r="P50" s="83">
        <f t="shared" si="42"/>
        <v>23.421900000000001</v>
      </c>
      <c r="Q50" s="2"/>
      <c r="T50" s="93"/>
      <c r="U50" s="130"/>
      <c r="W50" s="133">
        <v>42517</v>
      </c>
      <c r="X50" s="10">
        <v>28.9</v>
      </c>
      <c r="Y50" s="10">
        <v>29.36</v>
      </c>
      <c r="Z50" s="10">
        <v>27.52</v>
      </c>
      <c r="AA50" s="10">
        <v>27.7</v>
      </c>
      <c r="AB50" s="95">
        <v>6984100</v>
      </c>
      <c r="AC50" s="10">
        <v>27.7</v>
      </c>
      <c r="AD50" s="2">
        <f t="shared" si="0"/>
        <v>1.8399999999999999</v>
      </c>
      <c r="AE50" s="138">
        <f t="shared" si="1"/>
        <v>-4.3508287292817749E-2</v>
      </c>
    </row>
    <row r="51" spans="15:31" x14ac:dyDescent="0.25">
      <c r="O51" s="83">
        <v>1</v>
      </c>
      <c r="P51" s="83">
        <f t="shared" si="42"/>
        <v>23.19</v>
      </c>
      <c r="Q51" s="2"/>
      <c r="T51" s="93" t="s">
        <v>105</v>
      </c>
      <c r="U51" s="130" t="s">
        <v>493</v>
      </c>
      <c r="W51" s="133">
        <v>42516</v>
      </c>
      <c r="X51" s="10">
        <v>29.96</v>
      </c>
      <c r="Y51" s="10">
        <v>30.15</v>
      </c>
      <c r="Z51" s="10">
        <v>28.86</v>
      </c>
      <c r="AA51" s="10">
        <v>28.96</v>
      </c>
      <c r="AB51" s="95">
        <v>6052400</v>
      </c>
      <c r="AC51" s="10">
        <v>28.96</v>
      </c>
      <c r="AD51" s="2">
        <f t="shared" si="0"/>
        <v>1.2899999999999991</v>
      </c>
      <c r="AE51" s="138">
        <f t="shared" si="1"/>
        <v>-1.8970189701897011E-2</v>
      </c>
    </row>
    <row r="52" spans="15:31" x14ac:dyDescent="0.25">
      <c r="O52" s="83">
        <v>0.99</v>
      </c>
      <c r="P52" s="83">
        <f t="shared" si="42"/>
        <v>22.958100000000002</v>
      </c>
      <c r="Q52" s="2"/>
      <c r="T52" s="93" t="s">
        <v>106</v>
      </c>
      <c r="U52" s="130" t="s">
        <v>494</v>
      </c>
      <c r="W52" s="133">
        <v>42515</v>
      </c>
      <c r="X52" s="10">
        <v>28</v>
      </c>
      <c r="Y52" s="10">
        <v>29.7</v>
      </c>
      <c r="Z52" s="10">
        <v>27.9</v>
      </c>
      <c r="AA52" s="10">
        <v>29.52</v>
      </c>
      <c r="AB52" s="95">
        <v>7885300</v>
      </c>
      <c r="AC52" s="10">
        <v>29.52</v>
      </c>
      <c r="AD52" s="2">
        <f t="shared" si="0"/>
        <v>1.8000000000000007</v>
      </c>
      <c r="AE52" s="138">
        <f t="shared" si="1"/>
        <v>6.91778341180731E-2</v>
      </c>
    </row>
    <row r="53" spans="15:31" x14ac:dyDescent="0.25">
      <c r="O53" s="83">
        <v>0.98</v>
      </c>
      <c r="P53" s="83">
        <f t="shared" si="42"/>
        <v>22.726200000000002</v>
      </c>
      <c r="Q53" s="2"/>
      <c r="T53" s="93" t="s">
        <v>107</v>
      </c>
      <c r="U53" s="131">
        <v>8896551</v>
      </c>
      <c r="W53" s="133">
        <v>42514</v>
      </c>
      <c r="X53" s="10">
        <v>29.51</v>
      </c>
      <c r="Y53" s="10">
        <v>29.6</v>
      </c>
      <c r="Z53" s="10">
        <v>27.38</v>
      </c>
      <c r="AA53" s="10">
        <v>27.61</v>
      </c>
      <c r="AB53" s="95">
        <v>12225600</v>
      </c>
      <c r="AC53" s="10">
        <v>27.61</v>
      </c>
      <c r="AD53" s="2">
        <f t="shared" si="0"/>
        <v>2.2200000000000024</v>
      </c>
      <c r="AE53" s="138">
        <f t="shared" si="1"/>
        <v>-7.5041876046901268E-2</v>
      </c>
    </row>
    <row r="54" spans="15:31" x14ac:dyDescent="0.25">
      <c r="O54" s="83">
        <v>0.97</v>
      </c>
      <c r="P54" s="83">
        <f t="shared" si="42"/>
        <v>22.494299999999999</v>
      </c>
      <c r="T54" s="93" t="s">
        <v>110</v>
      </c>
      <c r="U54" s="131">
        <v>5313230</v>
      </c>
      <c r="W54" s="133">
        <v>42513</v>
      </c>
      <c r="X54" s="10">
        <v>30.06</v>
      </c>
      <c r="Y54" s="10">
        <v>30.76</v>
      </c>
      <c r="Z54" s="10">
        <v>29.5</v>
      </c>
      <c r="AA54" s="10">
        <v>29.85</v>
      </c>
      <c r="AB54" s="95">
        <v>8479100</v>
      </c>
      <c r="AC54" s="10">
        <v>29.85</v>
      </c>
      <c r="AD54" s="2">
        <f t="shared" si="0"/>
        <v>1.2600000000000016</v>
      </c>
      <c r="AE54" s="138">
        <f t="shared" si="1"/>
        <v>4.4071353620146914E-2</v>
      </c>
    </row>
    <row r="55" spans="15:31" x14ac:dyDescent="0.25">
      <c r="O55" s="83">
        <v>0.96</v>
      </c>
      <c r="P55" s="83">
        <f t="shared" si="42"/>
        <v>22.2624</v>
      </c>
      <c r="T55" s="93" t="s">
        <v>108</v>
      </c>
      <c r="U55" s="130" t="s">
        <v>495</v>
      </c>
      <c r="W55" s="133">
        <v>42510</v>
      </c>
      <c r="X55" s="10">
        <v>28.8</v>
      </c>
      <c r="Y55" s="10">
        <v>29.04</v>
      </c>
      <c r="Z55" s="10">
        <v>28.32</v>
      </c>
      <c r="AA55" s="10">
        <v>28.59</v>
      </c>
      <c r="AB55" s="95">
        <v>4374900</v>
      </c>
      <c r="AC55" s="10">
        <v>28.59</v>
      </c>
      <c r="AD55" s="2">
        <f t="shared" si="0"/>
        <v>0.71999999999999886</v>
      </c>
      <c r="AE55" s="138">
        <f t="shared" si="1"/>
        <v>-5.2192066805845094E-3</v>
      </c>
    </row>
    <row r="56" spans="15:31" x14ac:dyDescent="0.25">
      <c r="O56" s="83">
        <v>0.95</v>
      </c>
      <c r="P56" s="83">
        <f t="shared" si="42"/>
        <v>22.0305</v>
      </c>
      <c r="T56" s="93" t="s">
        <v>111</v>
      </c>
      <c r="U56" s="130">
        <v>10.49</v>
      </c>
      <c r="W56" s="133">
        <v>42509</v>
      </c>
      <c r="X56" s="10">
        <v>28.63</v>
      </c>
      <c r="Y56" s="10">
        <v>29.22</v>
      </c>
      <c r="Z56" s="10">
        <v>28.23</v>
      </c>
      <c r="AA56" s="10">
        <v>28.74</v>
      </c>
      <c r="AB56" s="95">
        <v>3459100</v>
      </c>
      <c r="AC56" s="10">
        <v>28.74</v>
      </c>
      <c r="AD56" s="2">
        <f t="shared" si="0"/>
        <v>0.98999999999999844</v>
      </c>
      <c r="AE56" s="138">
        <f t="shared" si="1"/>
        <v>5.598320503848786E-3</v>
      </c>
    </row>
    <row r="57" spans="15:31" x14ac:dyDescent="0.25">
      <c r="O57" s="83">
        <v>0.94</v>
      </c>
      <c r="P57" s="83">
        <f t="shared" si="42"/>
        <v>21.7986</v>
      </c>
      <c r="T57" s="93" t="s">
        <v>112</v>
      </c>
      <c r="U57" s="130">
        <v>2.11</v>
      </c>
      <c r="W57" s="133">
        <v>42508</v>
      </c>
      <c r="X57" s="10">
        <v>29.07</v>
      </c>
      <c r="Y57" s="10">
        <v>29.74</v>
      </c>
      <c r="Z57" s="10">
        <v>28.36</v>
      </c>
      <c r="AA57" s="10">
        <v>28.58</v>
      </c>
      <c r="AB57" s="95">
        <v>3720900</v>
      </c>
      <c r="AC57" s="10">
        <v>28.58</v>
      </c>
      <c r="AD57" s="2">
        <f t="shared" si="0"/>
        <v>1.379999999999999</v>
      </c>
      <c r="AE57" s="138">
        <f t="shared" si="1"/>
        <v>-1.8543956043956089E-2</v>
      </c>
    </row>
    <row r="58" spans="15:31" x14ac:dyDescent="0.25">
      <c r="O58" s="83">
        <v>0.93</v>
      </c>
      <c r="P58" s="83">
        <f t="shared" si="42"/>
        <v>21.566700000000001</v>
      </c>
      <c r="T58" s="93" t="s">
        <v>109</v>
      </c>
      <c r="U58" s="130" t="s">
        <v>581</v>
      </c>
      <c r="W58" s="133">
        <v>42507</v>
      </c>
      <c r="X58" s="10">
        <v>28.35</v>
      </c>
      <c r="Y58" s="10">
        <v>29.24</v>
      </c>
      <c r="Z58" s="10">
        <v>28.3</v>
      </c>
      <c r="AA58" s="10">
        <v>29.12</v>
      </c>
      <c r="AB58" s="95">
        <v>3500500</v>
      </c>
      <c r="AC58" s="10">
        <v>29.12</v>
      </c>
      <c r="AD58" s="2">
        <f t="shared" si="0"/>
        <v>0.93999999999999773</v>
      </c>
      <c r="AE58" s="138">
        <f t="shared" si="1"/>
        <v>1.7470300489168311E-2</v>
      </c>
    </row>
    <row r="59" spans="15:31" x14ac:dyDescent="0.25">
      <c r="O59" s="83">
        <v>0.92</v>
      </c>
      <c r="P59" s="83">
        <f t="shared" si="42"/>
        <v>21.334800000000001</v>
      </c>
      <c r="W59" s="133">
        <v>42506</v>
      </c>
      <c r="X59" s="10">
        <v>27.79</v>
      </c>
      <c r="Y59" s="10">
        <v>28.8</v>
      </c>
      <c r="Z59" s="10">
        <v>27.78</v>
      </c>
      <c r="AA59" s="10">
        <v>28.62</v>
      </c>
      <c r="AB59" s="95">
        <v>3367900</v>
      </c>
      <c r="AC59" s="10">
        <v>28.62</v>
      </c>
      <c r="AD59" s="2">
        <f t="shared" si="0"/>
        <v>1.0199999999999996</v>
      </c>
      <c r="AE59" s="138">
        <f t="shared" si="1"/>
        <v>3.5081374321880743E-2</v>
      </c>
    </row>
    <row r="60" spans="15:31" x14ac:dyDescent="0.25">
      <c r="O60" s="83">
        <v>0.91</v>
      </c>
      <c r="P60" s="83">
        <f t="shared" si="42"/>
        <v>21.102900000000002</v>
      </c>
      <c r="W60" s="133">
        <v>42503</v>
      </c>
      <c r="X60" s="10">
        <v>27.92</v>
      </c>
      <c r="Y60" s="10">
        <v>28.26</v>
      </c>
      <c r="Z60" s="10">
        <v>27.15</v>
      </c>
      <c r="AA60" s="10">
        <v>27.65</v>
      </c>
      <c r="AB60" s="95">
        <v>4671700</v>
      </c>
      <c r="AC60" s="10">
        <v>27.65</v>
      </c>
      <c r="AD60" s="2">
        <f t="shared" si="0"/>
        <v>1.110000000000003</v>
      </c>
      <c r="AE60" s="138">
        <f t="shared" si="1"/>
        <v>-7.1813285457810183E-3</v>
      </c>
    </row>
    <row r="61" spans="15:31" x14ac:dyDescent="0.25">
      <c r="O61" s="83">
        <v>0.9</v>
      </c>
      <c r="P61" s="83">
        <f t="shared" si="42"/>
        <v>20.871000000000002</v>
      </c>
      <c r="W61" s="133">
        <v>42502</v>
      </c>
      <c r="X61" s="10">
        <v>30.29</v>
      </c>
      <c r="Y61" s="10">
        <v>30.42</v>
      </c>
      <c r="Z61" s="10">
        <v>27.58</v>
      </c>
      <c r="AA61" s="10">
        <v>27.85</v>
      </c>
      <c r="AB61" s="95">
        <v>5469800</v>
      </c>
      <c r="AC61" s="10">
        <v>27.85</v>
      </c>
      <c r="AD61" s="2">
        <f t="shared" si="0"/>
        <v>2.8400000000000034</v>
      </c>
      <c r="AE61" s="138">
        <f t="shared" si="1"/>
        <v>-5.4650373387644224E-2</v>
      </c>
    </row>
    <row r="62" spans="15:31" x14ac:dyDescent="0.25">
      <c r="W62" s="133">
        <v>42501</v>
      </c>
      <c r="X62" s="10">
        <v>30.05</v>
      </c>
      <c r="Y62" s="10">
        <v>30.29</v>
      </c>
      <c r="Z62" s="10">
        <v>29.12</v>
      </c>
      <c r="AA62" s="10">
        <v>29.46</v>
      </c>
      <c r="AB62" s="95">
        <v>3785100</v>
      </c>
      <c r="AC62" s="10">
        <v>29.46</v>
      </c>
      <c r="AD62" s="2">
        <f t="shared" si="0"/>
        <v>1.1699999999999982</v>
      </c>
      <c r="AE62" s="138" t="e">
        <f t="shared" si="1"/>
        <v>#DIV/0!</v>
      </c>
    </row>
    <row r="63" spans="15:31" x14ac:dyDescent="0.25">
      <c r="W63" s="133">
        <v>42501</v>
      </c>
      <c r="X63" s="10" t="s">
        <v>269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5:31" x14ac:dyDescent="0.25">
      <c r="W64" s="133">
        <v>42500</v>
      </c>
      <c r="X64" s="10">
        <v>30.39</v>
      </c>
      <c r="Y64" s="10">
        <v>30.81</v>
      </c>
      <c r="Z64" s="10">
        <v>28.88</v>
      </c>
      <c r="AA64" s="10">
        <v>30.5</v>
      </c>
      <c r="AB64" s="95">
        <v>5296000</v>
      </c>
      <c r="AC64" s="10">
        <v>30.2</v>
      </c>
      <c r="AD64" s="2">
        <f t="shared" si="0"/>
        <v>1.9299999999999997</v>
      </c>
      <c r="AE64" s="138">
        <f t="shared" si="1"/>
        <v>2.9890401859846705E-3</v>
      </c>
    </row>
    <row r="65" spans="23:31" x14ac:dyDescent="0.25">
      <c r="W65" s="133">
        <v>42499</v>
      </c>
      <c r="X65" s="10">
        <v>30.98</v>
      </c>
      <c r="Y65" s="10">
        <v>31.15</v>
      </c>
      <c r="Z65" s="10">
        <v>30.32</v>
      </c>
      <c r="AA65" s="10">
        <v>30.41</v>
      </c>
      <c r="AB65" s="95">
        <v>2339800</v>
      </c>
      <c r="AC65" s="10">
        <v>30.11</v>
      </c>
      <c r="AD65" s="2">
        <f t="shared" si="0"/>
        <v>0.82999999999999829</v>
      </c>
      <c r="AE65" s="138">
        <f t="shared" si="1"/>
        <v>-1.9218241042345263E-2</v>
      </c>
    </row>
    <row r="66" spans="23:31" x14ac:dyDescent="0.25">
      <c r="W66" s="133">
        <v>42496</v>
      </c>
      <c r="X66" s="10">
        <v>30.49</v>
      </c>
      <c r="Y66" s="10">
        <v>31.76</v>
      </c>
      <c r="Z66" s="10">
        <v>30.45</v>
      </c>
      <c r="AA66" s="10">
        <v>31</v>
      </c>
      <c r="AB66" s="95">
        <v>2945400</v>
      </c>
      <c r="AC66" s="10">
        <v>30.7</v>
      </c>
      <c r="AD66" s="2">
        <f t="shared" si="0"/>
        <v>1.3100000000000023</v>
      </c>
      <c r="AE66" s="138">
        <f t="shared" si="1"/>
        <v>6.8875040997049553E-3</v>
      </c>
    </row>
    <row r="67" spans="23:31" x14ac:dyDescent="0.25">
      <c r="W67" s="133">
        <v>42495</v>
      </c>
      <c r="X67" s="10">
        <v>31</v>
      </c>
      <c r="Y67" s="10">
        <v>32.04</v>
      </c>
      <c r="Z67" s="10">
        <v>30.03</v>
      </c>
      <c r="AA67" s="10">
        <v>30.79</v>
      </c>
      <c r="AB67" s="95">
        <v>7510900</v>
      </c>
      <c r="AC67" s="10">
        <v>30.49</v>
      </c>
      <c r="AD67" s="2">
        <f>Y67-Z67</f>
        <v>2.009999999999998</v>
      </c>
      <c r="AE67" s="138" t="e">
        <f>AC67/#REF!-1</f>
        <v>#REF!</v>
      </c>
    </row>
    <row r="68" spans="23:31" x14ac:dyDescent="0.25">
      <c r="W68" s="133">
        <v>42494</v>
      </c>
      <c r="X68" s="10">
        <v>31.15</v>
      </c>
      <c r="Y68" s="10">
        <v>32.200000000000003</v>
      </c>
      <c r="Z68" s="10">
        <v>30.8</v>
      </c>
      <c r="AA68" s="10">
        <v>32.11</v>
      </c>
      <c r="AB68" s="95">
        <v>5003600</v>
      </c>
      <c r="AC68" s="10">
        <v>31.79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48 H33:H48">
    <cfRule type="expression" dxfId="577" priority="13">
      <formula>F33&gt;0</formula>
    </cfRule>
    <cfRule type="expression" dxfId="576" priority="14">
      <formula>F33&lt;0</formula>
    </cfRule>
  </conditionalFormatting>
  <conditionalFormatting sqref="Q7">
    <cfRule type="expression" dxfId="575" priority="7">
      <formula>Q7&gt;0</formula>
    </cfRule>
    <cfRule type="expression" dxfId="574" priority="8">
      <formula>Q7&lt;0</formula>
    </cfRule>
  </conditionalFormatting>
  <conditionalFormatting sqref="Q8">
    <cfRule type="expression" dxfId="573" priority="5">
      <formula>Q8&gt;0</formula>
    </cfRule>
    <cfRule type="expression" dxfId="572" priority="6">
      <formula>Q8&lt;0</formula>
    </cfRule>
  </conditionalFormatting>
  <conditionalFormatting sqref="F25:F32">
    <cfRule type="expression" dxfId="571" priority="3">
      <formula>F25&gt;0</formula>
    </cfRule>
    <cfRule type="expression" dxfId="570" priority="4">
      <formula>F25&lt;0</formula>
    </cfRule>
  </conditionalFormatting>
  <conditionalFormatting sqref="H25:H32">
    <cfRule type="expression" dxfId="569" priority="1">
      <formula>H25&gt;0</formula>
    </cfRule>
    <cfRule type="expression" dxfId="5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 t="s">
        <v>554</v>
      </c>
      <c r="M2" s="4"/>
      <c r="O2" s="11" t="s">
        <v>57</v>
      </c>
      <c r="Q2">
        <f>C18-H18</f>
        <v>170</v>
      </c>
      <c r="T2" s="1"/>
      <c r="W2" s="133">
        <v>42587</v>
      </c>
      <c r="X2" s="10">
        <v>36.799999999999997</v>
      </c>
      <c r="Y2" s="10">
        <v>37.869999999999997</v>
      </c>
      <c r="Z2" s="10">
        <v>36.770000000000003</v>
      </c>
      <c r="AA2" s="10">
        <v>37.85</v>
      </c>
      <c r="AB2" s="95">
        <v>9138600</v>
      </c>
      <c r="AC2" s="10">
        <v>37.85</v>
      </c>
      <c r="AD2">
        <f>Y2-Z2</f>
        <v>1.0999999999999943</v>
      </c>
      <c r="AE2" s="138">
        <f>AC2/AC3-1</f>
        <v>3.9264140582097706E-2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5" si="0">C3*D3+E3</f>
        <v>1515.2</v>
      </c>
      <c r="G3" s="4"/>
      <c r="H3" s="185"/>
      <c r="I3" s="3"/>
      <c r="J3" s="3"/>
      <c r="K3" s="3"/>
      <c r="L3" s="4" t="s">
        <v>555</v>
      </c>
      <c r="O3" s="11" t="s">
        <v>58</v>
      </c>
      <c r="Q3" s="232">
        <f>IF(Q2=0, Q4, (F18-K18-M18)/Q2)</f>
        <v>38.280588235294118</v>
      </c>
      <c r="T3" s="1"/>
      <c r="W3" s="133">
        <v>42586</v>
      </c>
      <c r="X3" s="10">
        <v>36.21</v>
      </c>
      <c r="Y3" s="10">
        <v>36.81</v>
      </c>
      <c r="Z3" s="10">
        <v>36.090000000000003</v>
      </c>
      <c r="AA3" s="10">
        <v>36.42</v>
      </c>
      <c r="AB3" s="95">
        <v>7366200</v>
      </c>
      <c r="AC3" s="10">
        <v>36.42</v>
      </c>
      <c r="AD3">
        <f t="shared" ref="AD3:AD4" si="1">Y3-Z3</f>
        <v>0.71999999999999886</v>
      </c>
      <c r="AE3" s="138">
        <f t="shared" ref="AE3:AE4" si="2">AC3/AC4-1</f>
        <v>1.5050167224080147E-2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37.450000000000003</v>
      </c>
      <c r="T4" s="163"/>
      <c r="U4" s="1"/>
      <c r="W4" s="133">
        <v>42585</v>
      </c>
      <c r="X4" s="10">
        <v>35.5</v>
      </c>
      <c r="Y4" s="10">
        <v>36</v>
      </c>
      <c r="Z4" s="10">
        <v>35.43</v>
      </c>
      <c r="AA4" s="10">
        <v>35.880000000000003</v>
      </c>
      <c r="AB4" s="95">
        <v>6992300</v>
      </c>
      <c r="AC4" s="10">
        <v>35.880000000000003</v>
      </c>
      <c r="AD4">
        <f t="shared" si="1"/>
        <v>0.57000000000000028</v>
      </c>
      <c r="AE4" s="138">
        <f t="shared" si="2"/>
        <v>9.5666854248734889E-3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6366.5000000000009</v>
      </c>
      <c r="W5" s="133">
        <v>42584</v>
      </c>
      <c r="X5" s="10">
        <v>36.85</v>
      </c>
      <c r="Y5" s="10">
        <v>36.94</v>
      </c>
      <c r="Z5" s="10">
        <v>35.42</v>
      </c>
      <c r="AA5" s="10">
        <v>35.54</v>
      </c>
      <c r="AB5" s="95">
        <v>9579900</v>
      </c>
      <c r="AC5" s="10">
        <v>35.54</v>
      </c>
      <c r="AD5">
        <f t="shared" ref="AD5:AD68" si="3">Y5-Z5</f>
        <v>1.519999999999996</v>
      </c>
      <c r="AE5" s="138">
        <f t="shared" ref="AE5:AE68" si="4">AC5/AC6-1</f>
        <v>-4.0496760259179254E-2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6507.7</v>
      </c>
      <c r="W6" s="133">
        <v>42583</v>
      </c>
      <c r="X6" s="10">
        <v>37.159999999999997</v>
      </c>
      <c r="Y6" s="10">
        <v>37.369999999999997</v>
      </c>
      <c r="Z6" s="10">
        <v>36.65</v>
      </c>
      <c r="AA6" s="10">
        <v>37.04</v>
      </c>
      <c r="AB6" s="95">
        <v>6787800</v>
      </c>
      <c r="AC6" s="10">
        <v>37.04</v>
      </c>
      <c r="AD6">
        <f t="shared" si="3"/>
        <v>0.71999999999999886</v>
      </c>
      <c r="AE6" s="138">
        <f t="shared" si="4"/>
        <v>8.1059173196429413E-4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-141.19999999999891</v>
      </c>
      <c r="R7" s="30">
        <v>42603</v>
      </c>
      <c r="W7" s="133">
        <v>42580</v>
      </c>
      <c r="X7" s="10">
        <v>37.49</v>
      </c>
      <c r="Y7" s="10">
        <v>37.880000000000003</v>
      </c>
      <c r="Z7" s="10">
        <v>37.01</v>
      </c>
      <c r="AA7" s="10">
        <v>37.01</v>
      </c>
      <c r="AB7" s="95">
        <v>6760800</v>
      </c>
      <c r="AC7" s="10">
        <v>37.01</v>
      </c>
      <c r="AD7">
        <f t="shared" si="3"/>
        <v>0.87000000000000455</v>
      </c>
      <c r="AE7" s="138">
        <f t="shared" si="4"/>
        <v>-1.2276487856952234E-2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-141.19999999999891</v>
      </c>
      <c r="W8" s="133">
        <v>42579</v>
      </c>
      <c r="X8" s="10">
        <v>37.47</v>
      </c>
      <c r="Y8" s="10">
        <v>37.64</v>
      </c>
      <c r="Z8" s="10">
        <v>37.14</v>
      </c>
      <c r="AA8" s="10">
        <v>37.47</v>
      </c>
      <c r="AB8" s="95">
        <v>6339300</v>
      </c>
      <c r="AC8" s="10">
        <v>37.47</v>
      </c>
      <c r="AD8">
        <f t="shared" si="3"/>
        <v>0.5</v>
      </c>
      <c r="AE8" s="138">
        <f t="shared" si="4"/>
        <v>-2.6680896478115113E-4</v>
      </c>
    </row>
    <row r="9" spans="1:31" x14ac:dyDescent="0.25">
      <c r="H9" s="72"/>
      <c r="O9" s="11" t="s">
        <v>231</v>
      </c>
      <c r="Q9" s="138">
        <f>IF(Q2=0, 0, Q8/Q6)</f>
        <v>-2.1697373880172552E-2</v>
      </c>
      <c r="W9" s="133">
        <v>42578</v>
      </c>
      <c r="X9" s="10">
        <v>37.590000000000003</v>
      </c>
      <c r="Y9" s="10">
        <v>37.79</v>
      </c>
      <c r="Z9" s="10">
        <v>37.200000000000003</v>
      </c>
      <c r="AA9" s="10">
        <v>37.479999999999997</v>
      </c>
      <c r="AB9" s="95">
        <v>8619800</v>
      </c>
      <c r="AC9" s="10">
        <v>37.479999999999997</v>
      </c>
      <c r="AD9">
        <f t="shared" si="3"/>
        <v>0.58999999999999631</v>
      </c>
      <c r="AE9" s="138">
        <f t="shared" si="4"/>
        <v>-2.0898641588296907E-2</v>
      </c>
    </row>
    <row r="10" spans="1:31" x14ac:dyDescent="0.25">
      <c r="H10" s="72"/>
      <c r="O10" s="11" t="s">
        <v>230</v>
      </c>
      <c r="P10" s="34"/>
      <c r="Q10" s="2">
        <v>0</v>
      </c>
      <c r="W10" s="133">
        <v>42577</v>
      </c>
      <c r="X10" s="10">
        <v>37.81</v>
      </c>
      <c r="Y10" s="10">
        <v>38.299999999999997</v>
      </c>
      <c r="Z10" s="10">
        <v>37.51</v>
      </c>
      <c r="AA10" s="10">
        <v>38.28</v>
      </c>
      <c r="AB10" s="95">
        <v>10525600</v>
      </c>
      <c r="AC10" s="10">
        <v>38.28</v>
      </c>
      <c r="AD10">
        <f t="shared" si="3"/>
        <v>0.78999999999999915</v>
      </c>
      <c r="AE10" s="138">
        <f t="shared" si="4"/>
        <v>2.4625267665952855E-2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1.06E-2</v>
      </c>
      <c r="W11" s="133">
        <v>42576</v>
      </c>
      <c r="X11" s="10">
        <v>37.840000000000003</v>
      </c>
      <c r="Y11" s="10">
        <v>38</v>
      </c>
      <c r="Z11" s="10">
        <v>37.020000000000003</v>
      </c>
      <c r="AA11" s="10">
        <v>37.36</v>
      </c>
      <c r="AB11" s="95">
        <v>11389000</v>
      </c>
      <c r="AC11" s="10">
        <v>37.36</v>
      </c>
      <c r="AD11">
        <f t="shared" si="3"/>
        <v>0.97999999999999687</v>
      </c>
      <c r="AE11" s="138">
        <f t="shared" si="4"/>
        <v>-1.242400211472372E-2</v>
      </c>
    </row>
    <row r="12" spans="1:31" x14ac:dyDescent="0.25">
      <c r="H12" s="72"/>
      <c r="W12" s="133">
        <v>42573</v>
      </c>
      <c r="X12" s="10">
        <v>37.909999999999997</v>
      </c>
      <c r="Y12" s="10">
        <v>38.049999999999997</v>
      </c>
      <c r="Z12" s="10">
        <v>37.01</v>
      </c>
      <c r="AA12" s="10">
        <v>37.83</v>
      </c>
      <c r="AB12" s="95">
        <v>18313200</v>
      </c>
      <c r="AC12" s="10">
        <v>37.83</v>
      </c>
      <c r="AD12">
        <f t="shared" si="3"/>
        <v>1.0399999999999991</v>
      </c>
      <c r="AE12" s="138">
        <f t="shared" si="4"/>
        <v>1.3665594855305496E-2</v>
      </c>
    </row>
    <row r="13" spans="1:31" x14ac:dyDescent="0.25">
      <c r="H13" s="72"/>
      <c r="W13" s="133">
        <v>42572</v>
      </c>
      <c r="X13" s="10">
        <v>39.08</v>
      </c>
      <c r="Y13" s="10">
        <v>39.270000000000003</v>
      </c>
      <c r="Z13" s="10">
        <v>37.22</v>
      </c>
      <c r="AA13" s="10">
        <v>37.32</v>
      </c>
      <c r="AB13" s="95">
        <v>33749100</v>
      </c>
      <c r="AC13" s="10">
        <v>37.32</v>
      </c>
      <c r="AD13">
        <f t="shared" si="3"/>
        <v>2.0500000000000043</v>
      </c>
      <c r="AE13" s="138">
        <f t="shared" si="4"/>
        <v>-0.11206281227694503</v>
      </c>
    </row>
    <row r="14" spans="1:31" x14ac:dyDescent="0.25">
      <c r="H14" s="72"/>
      <c r="W14" s="133">
        <v>42571</v>
      </c>
      <c r="X14" s="10">
        <v>43.02</v>
      </c>
      <c r="Y14" s="10">
        <v>43.03</v>
      </c>
      <c r="Z14" s="10">
        <v>41.94</v>
      </c>
      <c r="AA14" s="10">
        <v>42.03</v>
      </c>
      <c r="AB14" s="95">
        <v>8225100</v>
      </c>
      <c r="AC14" s="10">
        <v>42.03</v>
      </c>
      <c r="AD14">
        <f t="shared" si="3"/>
        <v>1.0900000000000034</v>
      </c>
      <c r="AE14" s="138">
        <f t="shared" si="4"/>
        <v>-1.6151685393258397E-2</v>
      </c>
    </row>
    <row r="15" spans="1:31" x14ac:dyDescent="0.25">
      <c r="H15" s="72"/>
      <c r="W15" s="133">
        <v>42570</v>
      </c>
      <c r="X15" s="10">
        <v>42.88</v>
      </c>
      <c r="Y15" s="10">
        <v>43.17</v>
      </c>
      <c r="Z15" s="10">
        <v>42.57</v>
      </c>
      <c r="AA15" s="10">
        <v>42.72</v>
      </c>
      <c r="AB15" s="95">
        <v>5526300</v>
      </c>
      <c r="AC15" s="10">
        <v>42.72</v>
      </c>
      <c r="AD15">
        <f t="shared" si="3"/>
        <v>0.60000000000000142</v>
      </c>
      <c r="AE15" s="138">
        <f t="shared" si="4"/>
        <v>-1.0653080129689685E-2</v>
      </c>
    </row>
    <row r="16" spans="1:31" x14ac:dyDescent="0.25">
      <c r="H16" s="72"/>
      <c r="W16" s="133">
        <v>42569</v>
      </c>
      <c r="X16" s="10">
        <v>43.29</v>
      </c>
      <c r="Y16" s="10">
        <v>43.56</v>
      </c>
      <c r="Z16" s="10">
        <v>43.12</v>
      </c>
      <c r="AA16" s="10">
        <v>43.18</v>
      </c>
      <c r="AB16" s="95">
        <v>4805700</v>
      </c>
      <c r="AC16" s="10">
        <v>43.18</v>
      </c>
      <c r="AD16">
        <f t="shared" si="3"/>
        <v>0.44000000000000483</v>
      </c>
      <c r="AE16" s="138">
        <f t="shared" si="4"/>
        <v>4.633920296570615E-4</v>
      </c>
    </row>
    <row r="17" spans="1:31" x14ac:dyDescent="0.25">
      <c r="W17" s="133">
        <v>42566</v>
      </c>
      <c r="X17" s="10">
        <v>43.12</v>
      </c>
      <c r="Y17" s="10">
        <v>43.57</v>
      </c>
      <c r="Z17" s="10">
        <v>42.7</v>
      </c>
      <c r="AA17" s="10">
        <v>43.16</v>
      </c>
      <c r="AB17" s="95">
        <v>5868500</v>
      </c>
      <c r="AC17" s="10">
        <v>43.16</v>
      </c>
      <c r="AD17">
        <f t="shared" si="3"/>
        <v>0.86999999999999744</v>
      </c>
      <c r="AE17" s="138">
        <f t="shared" si="4"/>
        <v>-2.3164234422068386E-4</v>
      </c>
    </row>
    <row r="18" spans="1:31" x14ac:dyDescent="0.25">
      <c r="A18" s="32" t="s">
        <v>81</v>
      </c>
      <c r="B18" s="14"/>
      <c r="C18" s="14">
        <f>SUM(C2:C6)</f>
        <v>170</v>
      </c>
      <c r="D18" s="18"/>
      <c r="E18" s="18"/>
      <c r="F18" s="18">
        <f>SUM(F2:F6)</f>
        <v>6507.7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42565</v>
      </c>
      <c r="X18" s="10">
        <v>42.87</v>
      </c>
      <c r="Y18" s="10">
        <v>43.34</v>
      </c>
      <c r="Z18" s="10">
        <v>42.43</v>
      </c>
      <c r="AA18" s="10">
        <v>43.17</v>
      </c>
      <c r="AB18" s="95">
        <v>6168700</v>
      </c>
      <c r="AC18" s="10">
        <v>43.17</v>
      </c>
      <c r="AD18">
        <f t="shared" si="3"/>
        <v>0.91000000000000369</v>
      </c>
      <c r="AE18" s="138">
        <f t="shared" si="4"/>
        <v>1.8160377358490631E-2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5">SumByColor($A$19,M2:M17)</f>
        <v>0</v>
      </c>
      <c r="W19" s="133">
        <v>42564</v>
      </c>
      <c r="X19" s="10">
        <v>43.22</v>
      </c>
      <c r="Y19" s="10">
        <v>43.3</v>
      </c>
      <c r="Z19" s="10">
        <v>42.16</v>
      </c>
      <c r="AA19" s="10">
        <v>42.4</v>
      </c>
      <c r="AB19" s="95">
        <v>6268000</v>
      </c>
      <c r="AC19" s="10">
        <v>42.4</v>
      </c>
      <c r="AD19">
        <f t="shared" si="3"/>
        <v>1.1400000000000006</v>
      </c>
      <c r="AE19" s="138">
        <f t="shared" si="4"/>
        <v>-1.0270774976657404E-2</v>
      </c>
    </row>
    <row r="20" spans="1:31" x14ac:dyDescent="0.25">
      <c r="W20" s="133">
        <v>42563</v>
      </c>
      <c r="X20" s="10">
        <v>41.64</v>
      </c>
      <c r="Y20" s="10">
        <v>45</v>
      </c>
      <c r="Z20" s="10">
        <v>41.63</v>
      </c>
      <c r="AA20" s="10">
        <v>42.84</v>
      </c>
      <c r="AB20" s="95">
        <v>8662000</v>
      </c>
      <c r="AC20" s="10">
        <v>42.84</v>
      </c>
      <c r="AD20">
        <f t="shared" si="3"/>
        <v>3.3699999999999974</v>
      </c>
      <c r="AE20" s="138">
        <f t="shared" si="4"/>
        <v>4.3859649122807154E-2</v>
      </c>
    </row>
    <row r="21" spans="1:31" x14ac:dyDescent="0.25">
      <c r="W21" s="133">
        <v>42562</v>
      </c>
      <c r="X21" s="10">
        <v>40.94</v>
      </c>
      <c r="Y21" s="10">
        <v>41.34</v>
      </c>
      <c r="Z21" s="10">
        <v>40.81</v>
      </c>
      <c r="AA21" s="10">
        <v>41.04</v>
      </c>
      <c r="AB21" s="95">
        <v>5849200</v>
      </c>
      <c r="AC21" s="10">
        <v>41.04</v>
      </c>
      <c r="AD21">
        <f t="shared" si="3"/>
        <v>0.53000000000000114</v>
      </c>
      <c r="AE21" s="138">
        <f t="shared" si="4"/>
        <v>1.2333497779970504E-2</v>
      </c>
    </row>
    <row r="22" spans="1:31" x14ac:dyDescent="0.25">
      <c r="W22" s="133">
        <v>42559</v>
      </c>
      <c r="X22" s="10">
        <v>40.06</v>
      </c>
      <c r="Y22" s="10">
        <v>40.909999999999997</v>
      </c>
      <c r="Z22" s="10">
        <v>40.049999999999997</v>
      </c>
      <c r="AA22" s="10">
        <v>40.54</v>
      </c>
      <c r="AB22" s="95">
        <v>4747700</v>
      </c>
      <c r="AC22" s="10">
        <v>40.54</v>
      </c>
      <c r="AD22">
        <f t="shared" si="3"/>
        <v>0.85999999999999943</v>
      </c>
      <c r="AE22" s="138">
        <f t="shared" si="4"/>
        <v>1.7314930991217059E-2</v>
      </c>
    </row>
    <row r="23" spans="1:31" x14ac:dyDescent="0.25">
      <c r="W23" s="133">
        <v>42558</v>
      </c>
      <c r="X23" s="10">
        <v>39</v>
      </c>
      <c r="Y23" s="10">
        <v>39.950000000000003</v>
      </c>
      <c r="Z23" s="10">
        <v>39</v>
      </c>
      <c r="AA23" s="10">
        <v>39.85</v>
      </c>
      <c r="AB23" s="95">
        <v>3774300</v>
      </c>
      <c r="AC23" s="10">
        <v>39.85</v>
      </c>
      <c r="AD23">
        <f t="shared" si="3"/>
        <v>0.95000000000000284</v>
      </c>
      <c r="AE23" s="138">
        <f t="shared" si="4"/>
        <v>1.8400204446715973E-2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38.68</v>
      </c>
      <c r="Y24" s="10">
        <v>39.159999999999997</v>
      </c>
      <c r="Z24" s="10">
        <v>38.15</v>
      </c>
      <c r="AA24" s="10">
        <v>39.130000000000003</v>
      </c>
      <c r="AB24" s="95">
        <v>5409500</v>
      </c>
      <c r="AC24" s="10">
        <v>39.130000000000003</v>
      </c>
      <c r="AD24">
        <f t="shared" si="3"/>
        <v>1.009999999999998</v>
      </c>
      <c r="AE24" s="138">
        <f t="shared" si="4"/>
        <v>-2.0402958428972218E-3</v>
      </c>
    </row>
    <row r="25" spans="1:31" x14ac:dyDescent="0.25">
      <c r="B25" s="195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3">
        <f t="shared" ref="H25" si="8">(E25-D25)/D25</f>
        <v>-3.1225582705351872E-2</v>
      </c>
      <c r="I25" s="40"/>
      <c r="W25" s="133">
        <v>42556</v>
      </c>
      <c r="X25" s="10">
        <v>39.74</v>
      </c>
      <c r="Y25" s="10">
        <v>39.75</v>
      </c>
      <c r="Z25" s="10">
        <v>38.659999999999997</v>
      </c>
      <c r="AA25" s="10">
        <v>39.21</v>
      </c>
      <c r="AB25" s="95">
        <v>5302400</v>
      </c>
      <c r="AC25" s="10">
        <v>39.21</v>
      </c>
      <c r="AD25">
        <f t="shared" si="3"/>
        <v>1.0900000000000034</v>
      </c>
      <c r="AE25" s="138">
        <f t="shared" si="4"/>
        <v>-9.8484848484848841E-3</v>
      </c>
    </row>
    <row r="26" spans="1:31" x14ac:dyDescent="0.25">
      <c r="B26" s="195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3">
        <f t="shared" ref="H26" si="11">(E26-D26)/D26</f>
        <v>-1.7986704012418631E-2</v>
      </c>
      <c r="I26" s="40"/>
      <c r="W26" s="133">
        <v>42552</v>
      </c>
      <c r="X26" s="10">
        <v>39.26</v>
      </c>
      <c r="Y26" s="10">
        <v>39.770000000000003</v>
      </c>
      <c r="Z26" s="10">
        <v>39.21</v>
      </c>
      <c r="AA26" s="10">
        <v>39.6</v>
      </c>
      <c r="AB26" s="95">
        <v>6490500</v>
      </c>
      <c r="AC26" s="10">
        <v>39.6</v>
      </c>
      <c r="AD26">
        <f t="shared" si="3"/>
        <v>0.56000000000000227</v>
      </c>
      <c r="AE26" s="138">
        <f t="shared" si="4"/>
        <v>9.9464422341239977E-3</v>
      </c>
    </row>
    <row r="27" spans="1:31" x14ac:dyDescent="0.25">
      <c r="B27" s="195">
        <v>42576</v>
      </c>
      <c r="C27" s="10">
        <v>170</v>
      </c>
      <c r="D27" s="40">
        <v>38.2806</v>
      </c>
      <c r="E27" s="40">
        <v>37.36</v>
      </c>
      <c r="F27" s="40">
        <f>C27*(E27-D27)</f>
        <v>-156.50200000000007</v>
      </c>
      <c r="G27" s="40">
        <f t="shared" ref="G27" si="12">D27*C27</f>
        <v>6507.7020000000002</v>
      </c>
      <c r="H27" s="233">
        <f t="shared" ref="H27" si="13">(E27-D27)/D27</f>
        <v>-2.4048734868314506E-2</v>
      </c>
      <c r="I27" s="40"/>
      <c r="W27" s="133">
        <v>42551</v>
      </c>
      <c r="X27" s="10">
        <v>38.96</v>
      </c>
      <c r="Y27" s="10">
        <v>39.21</v>
      </c>
      <c r="Z27" s="10">
        <v>38.54</v>
      </c>
      <c r="AA27" s="10">
        <v>39.21</v>
      </c>
      <c r="AB27" s="95">
        <v>5333300</v>
      </c>
      <c r="AC27" s="10">
        <v>39.21</v>
      </c>
      <c r="AD27">
        <f t="shared" si="3"/>
        <v>0.67000000000000171</v>
      </c>
      <c r="AE27" s="138">
        <f t="shared" si="4"/>
        <v>8.2283363332475989E-3</v>
      </c>
    </row>
    <row r="28" spans="1:31" x14ac:dyDescent="0.25">
      <c r="B28" s="195">
        <v>42577</v>
      </c>
      <c r="C28" s="10">
        <v>170</v>
      </c>
      <c r="D28" s="40">
        <v>38.2806</v>
      </c>
      <c r="E28" s="40">
        <v>38.28</v>
      </c>
      <c r="F28" s="40">
        <f>C28*(E28-D28)</f>
        <v>-0.10199999999976228</v>
      </c>
      <c r="G28" s="40">
        <f t="shared" ref="G28" si="14">D28*C28</f>
        <v>6507.7020000000002</v>
      </c>
      <c r="H28" s="233">
        <f t="shared" ref="H28" si="15">(E28-D28)/D28</f>
        <v>-1.5673735521350285E-5</v>
      </c>
      <c r="I28" s="40"/>
      <c r="W28" s="133">
        <v>42550</v>
      </c>
      <c r="X28" s="10">
        <v>38.200000000000003</v>
      </c>
      <c r="Y28" s="10">
        <v>39.159999999999997</v>
      </c>
      <c r="Z28" s="10">
        <v>37.76</v>
      </c>
      <c r="AA28" s="10">
        <v>38.89</v>
      </c>
      <c r="AB28" s="95">
        <v>8616200</v>
      </c>
      <c r="AC28" s="10">
        <v>38.89</v>
      </c>
      <c r="AD28">
        <f t="shared" si="3"/>
        <v>1.3999999999999986</v>
      </c>
      <c r="AE28" s="138">
        <f t="shared" si="4"/>
        <v>3.9006144803633402E-2</v>
      </c>
    </row>
    <row r="29" spans="1:31" x14ac:dyDescent="0.25">
      <c r="B29" s="195">
        <v>42580</v>
      </c>
      <c r="C29" s="10">
        <v>170</v>
      </c>
      <c r="D29" s="40">
        <v>38.2806</v>
      </c>
      <c r="E29" s="40">
        <v>37.01</v>
      </c>
      <c r="F29" s="40">
        <f>C29*(E29-D29)</f>
        <v>-216.00200000000029</v>
      </c>
      <c r="G29" s="40">
        <f t="shared" ref="G29" si="16">D29*C29</f>
        <v>6507.7020000000002</v>
      </c>
      <c r="H29" s="233">
        <f t="shared" ref="H29" si="17">(E29-D29)/D29</f>
        <v>-3.3191747255790181E-2</v>
      </c>
      <c r="I29" s="40"/>
      <c r="W29" s="133">
        <v>42549</v>
      </c>
      <c r="X29" s="10">
        <v>37.72</v>
      </c>
      <c r="Y29" s="10">
        <v>37.83</v>
      </c>
      <c r="Z29" s="10">
        <v>36.75</v>
      </c>
      <c r="AA29" s="10">
        <v>37.43</v>
      </c>
      <c r="AB29" s="95">
        <v>8281900</v>
      </c>
      <c r="AC29" s="10">
        <v>37.43</v>
      </c>
      <c r="AD29">
        <f t="shared" si="3"/>
        <v>1.0799999999999983</v>
      </c>
      <c r="AE29" s="138">
        <f t="shared" si="4"/>
        <v>1.8226332970620263E-2</v>
      </c>
    </row>
    <row r="30" spans="1:31" x14ac:dyDescent="0.25">
      <c r="B30" s="195">
        <v>42585</v>
      </c>
      <c r="C30" s="10">
        <v>170</v>
      </c>
      <c r="D30" s="40">
        <v>38.2806</v>
      </c>
      <c r="E30" s="40">
        <v>35.54</v>
      </c>
      <c r="F30" s="40">
        <f>C30*(E30-D30)</f>
        <v>-465.9020000000001</v>
      </c>
      <c r="G30" s="40">
        <f t="shared" ref="G30" si="18">D30*C30</f>
        <v>6507.7020000000002</v>
      </c>
      <c r="H30" s="233">
        <f t="shared" ref="H30" si="19">(E30-D30)/D30</f>
        <v>-7.1592399283187849E-2</v>
      </c>
      <c r="I30" s="40"/>
      <c r="W30" s="133">
        <v>42548</v>
      </c>
      <c r="X30" s="10">
        <v>37.979999999999997</v>
      </c>
      <c r="Y30" s="10">
        <v>38.01</v>
      </c>
      <c r="Z30" s="10">
        <v>36.479999999999997</v>
      </c>
      <c r="AA30" s="10">
        <v>36.76</v>
      </c>
      <c r="AB30" s="95">
        <v>12934600</v>
      </c>
      <c r="AC30" s="10">
        <v>36.76</v>
      </c>
      <c r="AD30">
        <f t="shared" si="3"/>
        <v>1.5300000000000011</v>
      </c>
      <c r="AE30" s="138">
        <f t="shared" si="4"/>
        <v>-4.045941007569831E-2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42545</v>
      </c>
      <c r="X31" s="10">
        <v>37.880000000000003</v>
      </c>
      <c r="Y31" s="10">
        <v>39.24</v>
      </c>
      <c r="Z31" s="10">
        <v>37.74</v>
      </c>
      <c r="AA31" s="10">
        <v>38.31</v>
      </c>
      <c r="AB31" s="95">
        <v>19699900</v>
      </c>
      <c r="AC31" s="10">
        <v>38.31</v>
      </c>
      <c r="AD31">
        <f t="shared" si="3"/>
        <v>1.5</v>
      </c>
      <c r="AE31" s="138">
        <f t="shared" si="4"/>
        <v>-3.2331396817378177E-2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42544</v>
      </c>
      <c r="X32" s="10">
        <v>40.72</v>
      </c>
      <c r="Y32" s="10">
        <v>40.75</v>
      </c>
      <c r="Z32" s="10">
        <v>38.200000000000003</v>
      </c>
      <c r="AA32" s="10">
        <v>39.590000000000003</v>
      </c>
      <c r="AB32" s="95">
        <v>16781900</v>
      </c>
      <c r="AC32" s="10">
        <v>39.590000000000003</v>
      </c>
      <c r="AD32">
        <f t="shared" si="3"/>
        <v>2.5499999999999972</v>
      </c>
      <c r="AE32" s="138">
        <f t="shared" si="4"/>
        <v>-1.66418281172378E-2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42543</v>
      </c>
      <c r="X33" s="10">
        <v>40.520000000000003</v>
      </c>
      <c r="Y33" s="10">
        <v>40.72</v>
      </c>
      <c r="Z33" s="10">
        <v>40</v>
      </c>
      <c r="AA33" s="10">
        <v>40.26</v>
      </c>
      <c r="AB33" s="95">
        <v>4816700</v>
      </c>
      <c r="AC33" s="10">
        <v>40.26</v>
      </c>
      <c r="AD33">
        <f t="shared" si="3"/>
        <v>0.71999999999999886</v>
      </c>
      <c r="AE33" s="138">
        <f t="shared" si="4"/>
        <v>-6.4165844027641583E-3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42542</v>
      </c>
      <c r="X34" s="10">
        <v>40.47</v>
      </c>
      <c r="Y34" s="10">
        <v>40.880000000000003</v>
      </c>
      <c r="Z34" s="10">
        <v>39.979999999999997</v>
      </c>
      <c r="AA34" s="10">
        <v>40.520000000000003</v>
      </c>
      <c r="AB34" s="95">
        <v>6376300</v>
      </c>
      <c r="AC34" s="10">
        <v>40.520000000000003</v>
      </c>
      <c r="AD34">
        <f t="shared" si="3"/>
        <v>0.90000000000000568</v>
      </c>
      <c r="AE34" s="138">
        <f t="shared" si="4"/>
        <v>1.2493753123438367E-2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42541</v>
      </c>
      <c r="X35" s="10">
        <v>40.049999999999997</v>
      </c>
      <c r="Y35" s="10">
        <v>40.479999999999997</v>
      </c>
      <c r="Z35" s="10">
        <v>39.9</v>
      </c>
      <c r="AA35" s="10">
        <v>40.020000000000003</v>
      </c>
      <c r="AB35" s="95">
        <v>4190600</v>
      </c>
      <c r="AC35" s="10">
        <v>40.020000000000003</v>
      </c>
      <c r="AD35">
        <f t="shared" si="3"/>
        <v>0.57999999999999829</v>
      </c>
      <c r="AE35" s="138">
        <f t="shared" si="4"/>
        <v>7.0457976849522819E-3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42538</v>
      </c>
      <c r="X36" s="10">
        <v>39.6</v>
      </c>
      <c r="Y36" s="10">
        <v>40.18</v>
      </c>
      <c r="Z36" s="10">
        <v>39.58</v>
      </c>
      <c r="AA36" s="10">
        <v>39.74</v>
      </c>
      <c r="AB36" s="95">
        <v>5633700</v>
      </c>
      <c r="AC36" s="10">
        <v>39.74</v>
      </c>
      <c r="AD36">
        <f t="shared" si="3"/>
        <v>0.60000000000000142</v>
      </c>
      <c r="AE36" s="138">
        <f t="shared" si="4"/>
        <v>-1.0055304172951196E-3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42537</v>
      </c>
      <c r="X37" s="10">
        <v>39.450000000000003</v>
      </c>
      <c r="Y37" s="10">
        <v>40.090000000000003</v>
      </c>
      <c r="Z37" s="10">
        <v>39.18</v>
      </c>
      <c r="AA37" s="10">
        <v>39.78</v>
      </c>
      <c r="AB37" s="95">
        <v>6621500</v>
      </c>
      <c r="AC37" s="10">
        <v>39.78</v>
      </c>
      <c r="AD37">
        <f t="shared" si="3"/>
        <v>0.91000000000000369</v>
      </c>
      <c r="AE37" s="138">
        <f t="shared" si="4"/>
        <v>-4.0060090135202175E-3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42536</v>
      </c>
      <c r="X38" s="10">
        <v>40.25</v>
      </c>
      <c r="Y38" s="10">
        <v>40.67</v>
      </c>
      <c r="Z38" s="10">
        <v>39.76</v>
      </c>
      <c r="AA38" s="10">
        <v>39.94</v>
      </c>
      <c r="AB38" s="95">
        <v>7023400</v>
      </c>
      <c r="AC38" s="10">
        <v>39.94</v>
      </c>
      <c r="AD38">
        <f t="shared" si="3"/>
        <v>0.91000000000000369</v>
      </c>
      <c r="AE38" s="138">
        <f t="shared" si="4"/>
        <v>1.5045135406217547E-3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42535</v>
      </c>
      <c r="X39" s="10">
        <v>41.95</v>
      </c>
      <c r="Y39" s="10">
        <v>42.22</v>
      </c>
      <c r="Z39" s="10">
        <v>39.6</v>
      </c>
      <c r="AA39" s="10">
        <v>39.880000000000003</v>
      </c>
      <c r="AB39" s="95">
        <v>15154200</v>
      </c>
      <c r="AC39" s="10">
        <v>39.880000000000003</v>
      </c>
      <c r="AD39">
        <f t="shared" si="3"/>
        <v>2.6199999999999974</v>
      </c>
      <c r="AE39" s="138">
        <f t="shared" si="4"/>
        <v>-5.4079696394686794E-2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5" t="s">
        <v>78</v>
      </c>
      <c r="P40" s="525"/>
      <c r="W40" s="133">
        <v>42534</v>
      </c>
      <c r="X40" s="10">
        <v>43.22</v>
      </c>
      <c r="Y40" s="10">
        <v>43.49</v>
      </c>
      <c r="Z40" s="10">
        <v>41.91</v>
      </c>
      <c r="AA40" s="10">
        <v>42.16</v>
      </c>
      <c r="AB40" s="95">
        <v>6586700</v>
      </c>
      <c r="AC40" s="10">
        <v>42.16</v>
      </c>
      <c r="AD40">
        <f t="shared" si="3"/>
        <v>1.5800000000000054</v>
      </c>
      <c r="AE40" s="138">
        <f t="shared" si="4"/>
        <v>-3.3692413476965499E-2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41.195000000000007</v>
      </c>
      <c r="Q41" s="2"/>
      <c r="W41" s="133">
        <v>42531</v>
      </c>
      <c r="X41" s="10">
        <v>43.91</v>
      </c>
      <c r="Y41" s="10">
        <v>44.05</v>
      </c>
      <c r="Z41" s="10">
        <v>43.23</v>
      </c>
      <c r="AA41" s="10">
        <v>43.63</v>
      </c>
      <c r="AB41" s="95">
        <v>4661100</v>
      </c>
      <c r="AC41" s="10">
        <v>43.63</v>
      </c>
      <c r="AD41">
        <f t="shared" si="3"/>
        <v>0.82000000000000028</v>
      </c>
      <c r="AE41" s="138">
        <f t="shared" si="4"/>
        <v>-1.2672550350757983E-2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20">O42*$Q$4</f>
        <v>40.820500000000003</v>
      </c>
      <c r="Q42" s="2"/>
      <c r="T42" s="91" t="s">
        <v>113</v>
      </c>
      <c r="W42" s="133">
        <v>42530</v>
      </c>
      <c r="X42" s="10">
        <v>43.46</v>
      </c>
      <c r="Y42" s="10">
        <v>44.33</v>
      </c>
      <c r="Z42" s="10">
        <v>43.35</v>
      </c>
      <c r="AA42" s="10">
        <v>44.19</v>
      </c>
      <c r="AB42" s="95">
        <v>5605200</v>
      </c>
      <c r="AC42" s="10">
        <v>44.19</v>
      </c>
      <c r="AD42">
        <f t="shared" si="3"/>
        <v>0.97999999999999687</v>
      </c>
      <c r="AE42" s="138">
        <f t="shared" si="4"/>
        <v>1.5862068965517118E-2</v>
      </c>
    </row>
    <row r="43" spans="2:31" ht="15.75" thickTop="1" x14ac:dyDescent="0.25">
      <c r="O43" s="83">
        <v>1.08</v>
      </c>
      <c r="P43" s="83">
        <f t="shared" si="20"/>
        <v>40.446000000000005</v>
      </c>
      <c r="Q43" s="2"/>
      <c r="T43" s="128" t="s">
        <v>98</v>
      </c>
      <c r="U43" s="129">
        <v>36.42</v>
      </c>
      <c r="W43" s="133">
        <v>42529</v>
      </c>
      <c r="X43" s="10">
        <v>43.27</v>
      </c>
      <c r="Y43" s="10">
        <v>43.9</v>
      </c>
      <c r="Z43" s="10">
        <v>43.05</v>
      </c>
      <c r="AA43" s="10">
        <v>43.5</v>
      </c>
      <c r="AB43" s="95">
        <v>6527000</v>
      </c>
      <c r="AC43" s="10">
        <v>43.5</v>
      </c>
      <c r="AD43">
        <f t="shared" si="3"/>
        <v>0.85000000000000142</v>
      </c>
      <c r="AE43" s="138">
        <f t="shared" si="4"/>
        <v>9.9837473879731409E-3</v>
      </c>
    </row>
    <row r="44" spans="2:31" x14ac:dyDescent="0.25">
      <c r="O44" s="83">
        <v>1.07</v>
      </c>
      <c r="P44" s="83">
        <f t="shared" si="20"/>
        <v>40.071500000000007</v>
      </c>
      <c r="Q44" s="2"/>
      <c r="T44" s="93" t="s">
        <v>99</v>
      </c>
      <c r="U44" s="130">
        <v>36.799999999999997</v>
      </c>
      <c r="W44" s="133">
        <v>42528</v>
      </c>
      <c r="X44" s="10">
        <v>41.71</v>
      </c>
      <c r="Y44" s="10">
        <v>43.46</v>
      </c>
      <c r="Z44" s="10">
        <v>41.57</v>
      </c>
      <c r="AA44" s="10">
        <v>43.07</v>
      </c>
      <c r="AB44" s="95">
        <v>6401500</v>
      </c>
      <c r="AC44" s="10">
        <v>43.07</v>
      </c>
      <c r="AD44">
        <f t="shared" si="3"/>
        <v>1.8900000000000006</v>
      </c>
      <c r="AE44" s="138">
        <f t="shared" si="4"/>
        <v>3.1122815417763849E-2</v>
      </c>
    </row>
    <row r="45" spans="2:31" x14ac:dyDescent="0.25">
      <c r="O45" s="83">
        <v>1.06</v>
      </c>
      <c r="P45" s="83">
        <f t="shared" si="20"/>
        <v>39.697000000000003</v>
      </c>
      <c r="Q45" s="2"/>
      <c r="T45" s="93" t="s">
        <v>100</v>
      </c>
      <c r="U45" s="130" t="s">
        <v>496</v>
      </c>
      <c r="W45" s="133">
        <v>42527</v>
      </c>
      <c r="X45" s="10">
        <v>41.5</v>
      </c>
      <c r="Y45" s="10">
        <v>41.86</v>
      </c>
      <c r="Z45" s="10">
        <v>41.21</v>
      </c>
      <c r="AA45" s="10">
        <v>41.77</v>
      </c>
      <c r="AB45" s="95">
        <v>3516500</v>
      </c>
      <c r="AC45" s="10">
        <v>41.77</v>
      </c>
      <c r="AD45">
        <f t="shared" si="3"/>
        <v>0.64999999999999858</v>
      </c>
      <c r="AE45" s="138" t="e">
        <f t="shared" si="4"/>
        <v>#DIV/0!</v>
      </c>
    </row>
    <row r="46" spans="2:31" x14ac:dyDescent="0.25">
      <c r="O46" s="83">
        <v>1.05</v>
      </c>
      <c r="P46" s="83">
        <f t="shared" si="20"/>
        <v>39.322500000000005</v>
      </c>
      <c r="Q46" s="2"/>
      <c r="T46" s="93" t="s">
        <v>101</v>
      </c>
      <c r="U46" s="130" t="s">
        <v>497</v>
      </c>
      <c r="W46" s="133">
        <v>42527</v>
      </c>
      <c r="X46" s="10" t="s">
        <v>331</v>
      </c>
      <c r="Y46" s="10"/>
      <c r="Z46" s="10"/>
      <c r="AA46" s="10"/>
      <c r="AB46" s="95"/>
      <c r="AC46" s="10"/>
      <c r="AD46">
        <f t="shared" si="3"/>
        <v>0</v>
      </c>
      <c r="AE46" s="138">
        <f t="shared" si="4"/>
        <v>-1</v>
      </c>
    </row>
    <row r="47" spans="2:31" x14ac:dyDescent="0.25">
      <c r="O47" s="83">
        <v>1.04</v>
      </c>
      <c r="P47" s="83">
        <f t="shared" si="20"/>
        <v>38.948000000000008</v>
      </c>
      <c r="Q47" s="2"/>
      <c r="T47" s="93" t="s">
        <v>102</v>
      </c>
      <c r="U47" s="130">
        <v>48.55</v>
      </c>
      <c r="W47" s="133">
        <v>42524</v>
      </c>
      <c r="X47" s="10">
        <v>41.91</v>
      </c>
      <c r="Y47" s="10">
        <v>41.97</v>
      </c>
      <c r="Z47" s="10">
        <v>41.11</v>
      </c>
      <c r="AA47" s="10">
        <v>41.69</v>
      </c>
      <c r="AB47" s="95">
        <v>5081800</v>
      </c>
      <c r="AC47" s="10">
        <v>41.59</v>
      </c>
      <c r="AD47">
        <f t="shared" si="3"/>
        <v>0.85999999999999943</v>
      </c>
      <c r="AE47" s="138">
        <f t="shared" si="4"/>
        <v>-1.1409555502733482E-2</v>
      </c>
    </row>
    <row r="48" spans="2:31" x14ac:dyDescent="0.25">
      <c r="O48" s="83">
        <v>1.03</v>
      </c>
      <c r="P48" s="83">
        <f t="shared" si="20"/>
        <v>38.573500000000003</v>
      </c>
      <c r="Q48" s="2"/>
      <c r="T48" s="93" t="s">
        <v>103</v>
      </c>
      <c r="U48" s="130">
        <v>1.16414</v>
      </c>
      <c r="W48" s="133">
        <v>42523</v>
      </c>
      <c r="X48" s="10">
        <v>42.32</v>
      </c>
      <c r="Y48" s="10">
        <v>42.62</v>
      </c>
      <c r="Z48" s="10">
        <v>42.03</v>
      </c>
      <c r="AA48" s="10">
        <v>42.17</v>
      </c>
      <c r="AB48" s="95">
        <v>4390900</v>
      </c>
      <c r="AC48" s="10">
        <v>42.07</v>
      </c>
      <c r="AD48">
        <f t="shared" si="3"/>
        <v>0.58999999999999631</v>
      </c>
      <c r="AE48" s="138">
        <f t="shared" si="4"/>
        <v>-8.7181903864278487E-3</v>
      </c>
    </row>
    <row r="49" spans="15:31" x14ac:dyDescent="0.25">
      <c r="O49" s="83">
        <v>1.02</v>
      </c>
      <c r="P49" s="83">
        <f t="shared" si="20"/>
        <v>38.199000000000005</v>
      </c>
      <c r="Q49" s="2"/>
      <c r="T49" s="93" t="s">
        <v>104</v>
      </c>
      <c r="U49" s="130" t="s">
        <v>348</v>
      </c>
      <c r="W49" s="133">
        <v>42522</v>
      </c>
      <c r="X49" s="10">
        <v>42.48</v>
      </c>
      <c r="Y49" s="10">
        <v>42.65</v>
      </c>
      <c r="Z49" s="10">
        <v>42.09</v>
      </c>
      <c r="AA49" s="10">
        <v>42.54</v>
      </c>
      <c r="AB49" s="95">
        <v>4083100</v>
      </c>
      <c r="AC49" s="10">
        <v>42.44</v>
      </c>
      <c r="AD49">
        <f t="shared" si="3"/>
        <v>0.55999999999999517</v>
      </c>
      <c r="AE49" s="138">
        <f t="shared" si="4"/>
        <v>1.4157621519583774E-3</v>
      </c>
    </row>
    <row r="50" spans="15:31" x14ac:dyDescent="0.25">
      <c r="O50" s="83">
        <v>1.01</v>
      </c>
      <c r="P50" s="83">
        <f t="shared" si="20"/>
        <v>37.8245</v>
      </c>
      <c r="Q50" s="2"/>
      <c r="T50" s="93"/>
      <c r="U50" s="130"/>
      <c r="W50" s="133">
        <v>42521</v>
      </c>
      <c r="X50" s="10">
        <v>42.35</v>
      </c>
      <c r="Y50" s="10">
        <v>42.54</v>
      </c>
      <c r="Z50" s="10">
        <v>42.04</v>
      </c>
      <c r="AA50" s="10">
        <v>42.48</v>
      </c>
      <c r="AB50" s="95">
        <v>4878500</v>
      </c>
      <c r="AC50" s="10">
        <v>42.38</v>
      </c>
      <c r="AD50">
        <f t="shared" si="3"/>
        <v>0.5</v>
      </c>
      <c r="AE50" s="138">
        <f t="shared" si="4"/>
        <v>3.5519772673455741E-3</v>
      </c>
    </row>
    <row r="51" spans="15:31" x14ac:dyDescent="0.25">
      <c r="O51" s="83">
        <v>1</v>
      </c>
      <c r="P51" s="83">
        <f t="shared" si="20"/>
        <v>37.450000000000003</v>
      </c>
      <c r="Q51" s="2"/>
      <c r="T51" s="93" t="s">
        <v>105</v>
      </c>
      <c r="U51" s="130" t="s">
        <v>498</v>
      </c>
      <c r="W51" s="133">
        <v>42517</v>
      </c>
      <c r="X51" s="10">
        <v>41.82</v>
      </c>
      <c r="Y51" s="10">
        <v>42.39</v>
      </c>
      <c r="Z51" s="10">
        <v>41.82</v>
      </c>
      <c r="AA51" s="10">
        <v>42.33</v>
      </c>
      <c r="AB51" s="95">
        <v>3315900</v>
      </c>
      <c r="AC51" s="10">
        <v>42.23</v>
      </c>
      <c r="AD51">
        <f t="shared" si="3"/>
        <v>0.57000000000000028</v>
      </c>
      <c r="AE51" s="138">
        <f t="shared" si="4"/>
        <v>1.2952746461981191E-2</v>
      </c>
    </row>
    <row r="52" spans="15:31" x14ac:dyDescent="0.25">
      <c r="O52" s="83">
        <v>0.99</v>
      </c>
      <c r="P52" s="83">
        <f t="shared" si="20"/>
        <v>37.075500000000005</v>
      </c>
      <c r="Q52" s="2"/>
      <c r="T52" s="93" t="s">
        <v>106</v>
      </c>
      <c r="U52" s="130" t="s">
        <v>332</v>
      </c>
      <c r="W52" s="133">
        <v>42516</v>
      </c>
      <c r="X52" s="10">
        <v>42.57</v>
      </c>
      <c r="Y52" s="10">
        <v>42.69</v>
      </c>
      <c r="Z52" s="10">
        <v>41.57</v>
      </c>
      <c r="AA52" s="10">
        <v>41.79</v>
      </c>
      <c r="AB52" s="95">
        <v>5019900</v>
      </c>
      <c r="AC52" s="10">
        <v>41.69</v>
      </c>
      <c r="AD52">
        <f t="shared" si="3"/>
        <v>1.1199999999999974</v>
      </c>
      <c r="AE52" s="138">
        <f t="shared" si="4"/>
        <v>-1.744049021918459E-2</v>
      </c>
    </row>
    <row r="53" spans="15:31" x14ac:dyDescent="0.25">
      <c r="O53" s="83">
        <v>0.98</v>
      </c>
      <c r="P53" s="83">
        <f t="shared" si="20"/>
        <v>36.701000000000001</v>
      </c>
      <c r="Q53" s="2"/>
      <c r="T53" s="93" t="s">
        <v>107</v>
      </c>
      <c r="U53" s="131">
        <v>9160389</v>
      </c>
      <c r="W53" s="133">
        <v>42515</v>
      </c>
      <c r="X53" s="10">
        <v>42.82</v>
      </c>
      <c r="Y53" s="10">
        <v>43.29</v>
      </c>
      <c r="Z53" s="10">
        <v>42.42</v>
      </c>
      <c r="AA53" s="10">
        <v>42.53</v>
      </c>
      <c r="AB53" s="95">
        <v>4441000</v>
      </c>
      <c r="AC53" s="10">
        <v>42.43</v>
      </c>
      <c r="AD53">
        <f t="shared" si="3"/>
        <v>0.86999999999999744</v>
      </c>
      <c r="AE53" s="138">
        <f t="shared" si="4"/>
        <v>-6.3231850117096977E-3</v>
      </c>
    </row>
    <row r="54" spans="15:31" x14ac:dyDescent="0.25">
      <c r="O54" s="83">
        <v>0.97</v>
      </c>
      <c r="P54" s="83">
        <f t="shared" si="20"/>
        <v>36.326500000000003</v>
      </c>
      <c r="T54" s="93" t="s">
        <v>110</v>
      </c>
      <c r="U54" s="131">
        <v>7323970</v>
      </c>
      <c r="W54" s="133">
        <v>42514</v>
      </c>
      <c r="X54" s="10">
        <v>42.3</v>
      </c>
      <c r="Y54" s="10">
        <v>43</v>
      </c>
      <c r="Z54" s="10">
        <v>42.18</v>
      </c>
      <c r="AA54" s="10">
        <v>42.8</v>
      </c>
      <c r="AB54" s="95">
        <v>3513800</v>
      </c>
      <c r="AC54" s="10">
        <v>42.7</v>
      </c>
      <c r="AD54">
        <f t="shared" si="3"/>
        <v>0.82000000000000028</v>
      </c>
      <c r="AE54" s="138">
        <f t="shared" si="4"/>
        <v>1.4010923771075934E-2</v>
      </c>
    </row>
    <row r="55" spans="15:31" x14ac:dyDescent="0.25">
      <c r="O55" s="83">
        <v>0.96</v>
      </c>
      <c r="P55" s="83">
        <f t="shared" si="20"/>
        <v>35.951999999999998</v>
      </c>
      <c r="T55" s="93" t="s">
        <v>108</v>
      </c>
      <c r="U55" s="130" t="s">
        <v>499</v>
      </c>
      <c r="W55" s="133">
        <v>42513</v>
      </c>
      <c r="X55" s="10">
        <v>42.19</v>
      </c>
      <c r="Y55" s="10">
        <v>42.56</v>
      </c>
      <c r="Z55" s="10">
        <v>42.12</v>
      </c>
      <c r="AA55" s="10">
        <v>42.21</v>
      </c>
      <c r="AB55" s="95">
        <v>3850100</v>
      </c>
      <c r="AC55" s="10">
        <v>42.11</v>
      </c>
      <c r="AD55">
        <f t="shared" si="3"/>
        <v>0.44000000000000483</v>
      </c>
      <c r="AE55" s="138">
        <f t="shared" si="4"/>
        <v>4.7517224994053642E-4</v>
      </c>
    </row>
    <row r="56" spans="15:31" x14ac:dyDescent="0.25">
      <c r="O56" s="83">
        <v>0.95</v>
      </c>
      <c r="P56" s="83">
        <f t="shared" si="20"/>
        <v>35.577500000000001</v>
      </c>
      <c r="T56" s="93" t="s">
        <v>111</v>
      </c>
      <c r="U56" s="130">
        <v>10.039999999999999</v>
      </c>
      <c r="W56" s="133">
        <v>42510</v>
      </c>
      <c r="X56" s="10">
        <v>42.34</v>
      </c>
      <c r="Y56" s="10">
        <v>42.99</v>
      </c>
      <c r="Z56" s="10">
        <v>42.08</v>
      </c>
      <c r="AA56" s="10">
        <v>42.19</v>
      </c>
      <c r="AB56" s="95">
        <v>4195000</v>
      </c>
      <c r="AC56" s="10">
        <v>42.09</v>
      </c>
      <c r="AD56">
        <f t="shared" si="3"/>
        <v>0.91000000000000369</v>
      </c>
      <c r="AE56" s="138">
        <f t="shared" si="4"/>
        <v>4.7539814594732555E-4</v>
      </c>
    </row>
    <row r="57" spans="15:31" x14ac:dyDescent="0.25">
      <c r="O57" s="83">
        <v>0.94</v>
      </c>
      <c r="P57" s="83">
        <f t="shared" si="20"/>
        <v>35.203000000000003</v>
      </c>
      <c r="T57" s="93" t="s">
        <v>112</v>
      </c>
      <c r="U57" s="130">
        <v>3.77</v>
      </c>
      <c r="W57" s="133">
        <v>42509</v>
      </c>
      <c r="X57" s="10">
        <v>42.75</v>
      </c>
      <c r="Y57" s="10">
        <v>42.96</v>
      </c>
      <c r="Z57" s="10">
        <v>41.5</v>
      </c>
      <c r="AA57" s="10">
        <v>42.17</v>
      </c>
      <c r="AB57" s="95">
        <v>5693700</v>
      </c>
      <c r="AC57" s="10">
        <v>42.07</v>
      </c>
      <c r="AD57">
        <f t="shared" si="3"/>
        <v>1.4600000000000009</v>
      </c>
      <c r="AE57" s="138">
        <f t="shared" si="4"/>
        <v>-1.7056074766355067E-2</v>
      </c>
    </row>
    <row r="58" spans="15:31" x14ac:dyDescent="0.25">
      <c r="O58" s="83">
        <v>0.93</v>
      </c>
      <c r="P58" s="83">
        <f t="shared" si="20"/>
        <v>34.828500000000005</v>
      </c>
      <c r="T58" s="93" t="s">
        <v>109</v>
      </c>
      <c r="U58" s="130" t="s">
        <v>582</v>
      </c>
      <c r="W58" s="133">
        <v>42508</v>
      </c>
      <c r="X58" s="10">
        <v>42.01</v>
      </c>
      <c r="Y58" s="10">
        <v>43.24</v>
      </c>
      <c r="Z58" s="10">
        <v>41.92</v>
      </c>
      <c r="AA58" s="10">
        <v>42.9</v>
      </c>
      <c r="AB58" s="95">
        <v>6035600</v>
      </c>
      <c r="AC58" s="10">
        <v>42.8</v>
      </c>
      <c r="AD58">
        <f t="shared" si="3"/>
        <v>1.3200000000000003</v>
      </c>
      <c r="AE58" s="138">
        <f t="shared" si="4"/>
        <v>1.6627078384797933E-2</v>
      </c>
    </row>
    <row r="59" spans="15:31" x14ac:dyDescent="0.25">
      <c r="O59" s="83">
        <v>0.92</v>
      </c>
      <c r="P59" s="83">
        <f t="shared" si="20"/>
        <v>34.454000000000001</v>
      </c>
      <c r="W59" s="133">
        <v>42507</v>
      </c>
      <c r="X59" s="10">
        <v>42.05</v>
      </c>
      <c r="Y59" s="10">
        <v>42.95</v>
      </c>
      <c r="Z59" s="10">
        <v>42</v>
      </c>
      <c r="AA59" s="10">
        <v>42.2</v>
      </c>
      <c r="AB59" s="95">
        <v>5162100</v>
      </c>
      <c r="AC59" s="10">
        <v>42.1</v>
      </c>
      <c r="AD59">
        <f t="shared" si="3"/>
        <v>0.95000000000000284</v>
      </c>
      <c r="AE59" s="138">
        <f t="shared" si="4"/>
        <v>-7.1208165202940599E-4</v>
      </c>
    </row>
    <row r="60" spans="15:31" x14ac:dyDescent="0.25">
      <c r="O60" s="83">
        <v>0.91</v>
      </c>
      <c r="P60" s="83">
        <f t="shared" si="20"/>
        <v>34.079500000000003</v>
      </c>
      <c r="W60" s="133">
        <v>42506</v>
      </c>
      <c r="X60" s="10">
        <v>41.61</v>
      </c>
      <c r="Y60" s="10">
        <v>42.37</v>
      </c>
      <c r="Z60" s="10">
        <v>41.32</v>
      </c>
      <c r="AA60" s="10">
        <v>42.23</v>
      </c>
      <c r="AB60" s="95">
        <v>6059300</v>
      </c>
      <c r="AC60" s="10">
        <v>42.13</v>
      </c>
      <c r="AD60">
        <f t="shared" si="3"/>
        <v>1.0499999999999972</v>
      </c>
      <c r="AE60" s="138">
        <f t="shared" si="4"/>
        <v>1.6160154365653767E-2</v>
      </c>
    </row>
    <row r="61" spans="15:31" x14ac:dyDescent="0.25">
      <c r="O61" s="83">
        <v>0.9</v>
      </c>
      <c r="P61" s="83">
        <f t="shared" si="20"/>
        <v>33.705000000000005</v>
      </c>
      <c r="W61" s="133">
        <v>42503</v>
      </c>
      <c r="X61" s="10">
        <v>41.43</v>
      </c>
      <c r="Y61" s="10">
        <v>42.24</v>
      </c>
      <c r="Z61" s="10">
        <v>41.31</v>
      </c>
      <c r="AA61" s="10">
        <v>41.56</v>
      </c>
      <c r="AB61" s="95">
        <v>5486300</v>
      </c>
      <c r="AC61" s="10">
        <v>41.46</v>
      </c>
      <c r="AD61">
        <f t="shared" si="3"/>
        <v>0.92999999999999972</v>
      </c>
      <c r="AE61" s="138">
        <f t="shared" si="4"/>
        <v>8.2684824902725662E-3</v>
      </c>
    </row>
    <row r="62" spans="15:31" x14ac:dyDescent="0.25">
      <c r="W62" s="133">
        <v>42502</v>
      </c>
      <c r="X62" s="10">
        <v>42.25</v>
      </c>
      <c r="Y62" s="10">
        <v>42.37</v>
      </c>
      <c r="Z62" s="10">
        <v>40.85</v>
      </c>
      <c r="AA62" s="10">
        <v>41.22</v>
      </c>
      <c r="AB62" s="95">
        <v>5669900</v>
      </c>
      <c r="AC62" s="10">
        <v>41.12</v>
      </c>
      <c r="AD62">
        <f t="shared" si="3"/>
        <v>1.519999999999996</v>
      </c>
      <c r="AE62" s="138">
        <f t="shared" si="4"/>
        <v>-2.1185432039990459E-2</v>
      </c>
    </row>
    <row r="63" spans="15:31" x14ac:dyDescent="0.25">
      <c r="W63" s="133">
        <v>42501</v>
      </c>
      <c r="X63" s="10">
        <v>42.7</v>
      </c>
      <c r="Y63" s="10">
        <v>43.61</v>
      </c>
      <c r="Z63" s="10">
        <v>42.08</v>
      </c>
      <c r="AA63" s="10">
        <v>42.11</v>
      </c>
      <c r="AB63" s="95">
        <v>7124800</v>
      </c>
      <c r="AC63" s="10">
        <v>42.01</v>
      </c>
      <c r="AD63">
        <f t="shared" si="3"/>
        <v>1.5300000000000011</v>
      </c>
      <c r="AE63" s="138">
        <f t="shared" si="4"/>
        <v>-1.7309941520467831E-2</v>
      </c>
    </row>
    <row r="64" spans="15:31" x14ac:dyDescent="0.25">
      <c r="W64" s="133">
        <v>42500</v>
      </c>
      <c r="X64" s="10">
        <v>42.28</v>
      </c>
      <c r="Y64" s="10">
        <v>42.91</v>
      </c>
      <c r="Z64" s="10">
        <v>42.1</v>
      </c>
      <c r="AA64" s="10">
        <v>42.85</v>
      </c>
      <c r="AB64" s="95">
        <v>5264400</v>
      </c>
      <c r="AC64" s="10">
        <v>42.75</v>
      </c>
      <c r="AD64">
        <f t="shared" si="3"/>
        <v>0.80999999999999517</v>
      </c>
      <c r="AE64" s="138">
        <f t="shared" si="4"/>
        <v>1.5680684248039922E-2</v>
      </c>
    </row>
    <row r="65" spans="23:31" x14ac:dyDescent="0.25">
      <c r="W65" s="133">
        <v>42499</v>
      </c>
      <c r="X65" s="10">
        <v>41.79</v>
      </c>
      <c r="Y65" s="10">
        <v>42.57</v>
      </c>
      <c r="Z65" s="10">
        <v>41.75</v>
      </c>
      <c r="AA65" s="10">
        <v>42.19</v>
      </c>
      <c r="AB65" s="95">
        <v>5495900</v>
      </c>
      <c r="AC65" s="10">
        <v>42.09</v>
      </c>
      <c r="AD65">
        <f t="shared" si="3"/>
        <v>0.82000000000000028</v>
      </c>
      <c r="AE65" s="138">
        <f t="shared" si="4"/>
        <v>1.1049723756906049E-2</v>
      </c>
    </row>
    <row r="66" spans="23:31" x14ac:dyDescent="0.25">
      <c r="W66" s="133">
        <v>42496</v>
      </c>
      <c r="X66" s="10">
        <v>41.47</v>
      </c>
      <c r="Y66" s="10">
        <v>41.94</v>
      </c>
      <c r="Z66" s="10">
        <v>40.74</v>
      </c>
      <c r="AA66" s="10">
        <v>41.73</v>
      </c>
      <c r="AB66" s="95">
        <v>6550400</v>
      </c>
      <c r="AC66" s="10">
        <v>41.63</v>
      </c>
      <c r="AD66">
        <f t="shared" si="3"/>
        <v>1.1999999999999957</v>
      </c>
      <c r="AE66" s="138">
        <f t="shared" si="4"/>
        <v>4.8274197441469102E-3</v>
      </c>
    </row>
    <row r="67" spans="23:31" x14ac:dyDescent="0.25">
      <c r="W67" s="133">
        <v>42495</v>
      </c>
      <c r="X67" s="10">
        <v>41.76</v>
      </c>
      <c r="Y67" s="10">
        <v>42.14</v>
      </c>
      <c r="Z67" s="10">
        <v>41.39</v>
      </c>
      <c r="AA67" s="10">
        <v>41.53</v>
      </c>
      <c r="AB67" s="95">
        <v>5969100</v>
      </c>
      <c r="AC67" s="10">
        <v>41.43</v>
      </c>
      <c r="AD67">
        <f t="shared" si="3"/>
        <v>0.75</v>
      </c>
      <c r="AE67" s="138">
        <f t="shared" si="4"/>
        <v>-3.1280076997113326E-3</v>
      </c>
    </row>
    <row r="68" spans="23:31" x14ac:dyDescent="0.25">
      <c r="W68" s="133">
        <v>42494</v>
      </c>
      <c r="X68" s="10">
        <v>42.8</v>
      </c>
      <c r="Y68" s="10">
        <v>42.81</v>
      </c>
      <c r="Z68" s="10">
        <v>41.39</v>
      </c>
      <c r="AA68" s="10">
        <v>41.66</v>
      </c>
      <c r="AB68" s="95">
        <v>7609600</v>
      </c>
      <c r="AC68" s="10">
        <v>41.56</v>
      </c>
      <c r="AD68">
        <f t="shared" si="3"/>
        <v>1.4200000000000017</v>
      </c>
      <c r="AE68" s="138" t="e">
        <f t="shared" si="4"/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21">Y69-Z69</f>
        <v>0</v>
      </c>
      <c r="AE69" s="138" t="e">
        <f t="shared" ref="AE69" si="22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42 H33:H42">
    <cfRule type="expression" dxfId="567" priority="11">
      <formula>F33&gt;0</formula>
    </cfRule>
    <cfRule type="expression" dxfId="566" priority="12">
      <formula>F33&lt;0</formula>
    </cfRule>
  </conditionalFormatting>
  <conditionalFormatting sqref="Q7">
    <cfRule type="expression" dxfId="565" priority="9">
      <formula>Q7&gt;0</formula>
    </cfRule>
    <cfRule type="expression" dxfId="564" priority="10">
      <formula>Q7&lt;0</formula>
    </cfRule>
  </conditionalFormatting>
  <conditionalFormatting sqref="Q8">
    <cfRule type="expression" dxfId="563" priority="7">
      <formula>Q8&gt;0</formula>
    </cfRule>
    <cfRule type="expression" dxfId="562" priority="8">
      <formula>Q8&lt;0</formula>
    </cfRule>
  </conditionalFormatting>
  <conditionalFormatting sqref="F25:F32">
    <cfRule type="expression" dxfId="561" priority="5">
      <formula>F25&gt;0</formula>
    </cfRule>
    <cfRule type="expression" dxfId="560" priority="6">
      <formula>F25&lt;0</formula>
    </cfRule>
  </conditionalFormatting>
  <conditionalFormatting sqref="H25:H32">
    <cfRule type="expression" dxfId="559" priority="3">
      <formula>H25&gt;0</formula>
    </cfRule>
    <cfRule type="expression" dxfId="558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339</v>
      </c>
      <c r="B2" s="482">
        <v>42577</v>
      </c>
      <c r="C2" s="4">
        <v>30</v>
      </c>
      <c r="D2" s="3">
        <v>52</v>
      </c>
      <c r="E2" s="3">
        <v>0</v>
      </c>
      <c r="F2" s="3">
        <f>D2*C2+E2</f>
        <v>1560</v>
      </c>
      <c r="G2" s="482">
        <v>42580</v>
      </c>
      <c r="H2" s="185">
        <v>30</v>
      </c>
      <c r="I2" s="3">
        <v>50.75</v>
      </c>
      <c r="J2" s="3">
        <v>0.03</v>
      </c>
      <c r="K2" s="3">
        <f>H2*I2-J2</f>
        <v>1522.47</v>
      </c>
      <c r="L2" s="74"/>
      <c r="M2" s="4"/>
      <c r="O2" s="11" t="s">
        <v>57</v>
      </c>
      <c r="Q2">
        <f>C18-H18</f>
        <v>20</v>
      </c>
      <c r="T2" s="1"/>
      <c r="W2" s="133">
        <v>42587</v>
      </c>
      <c r="X2" s="10">
        <v>49.73</v>
      </c>
      <c r="Y2" s="10">
        <v>50.87</v>
      </c>
      <c r="Z2" s="10">
        <v>49.16</v>
      </c>
      <c r="AA2" s="10">
        <v>50.66</v>
      </c>
      <c r="AB2" s="95">
        <v>2085000</v>
      </c>
      <c r="AC2" s="10">
        <v>50.66</v>
      </c>
      <c r="AD2" s="2">
        <f>Y2-Z2</f>
        <v>1.7100000000000009</v>
      </c>
      <c r="AE2" s="138">
        <f>AC2/AC3-1</f>
        <v>2.4883673882257762E-2</v>
      </c>
    </row>
    <row r="3" spans="1:31" x14ac:dyDescent="0.25">
      <c r="A3" s="23" t="s">
        <v>71</v>
      </c>
      <c r="B3" s="74">
        <v>42578</v>
      </c>
      <c r="C3" s="4">
        <v>20</v>
      </c>
      <c r="D3" s="3">
        <v>48.52</v>
      </c>
      <c r="E3" s="3">
        <v>0</v>
      </c>
      <c r="F3" s="3">
        <f>D3*C3+E3</f>
        <v>970.40000000000009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50.396500000000003</v>
      </c>
      <c r="T3" s="1"/>
      <c r="W3" s="133">
        <v>42586</v>
      </c>
      <c r="X3" s="10">
        <v>49.28</v>
      </c>
      <c r="Y3" s="10">
        <v>49.71</v>
      </c>
      <c r="Z3" s="10">
        <v>48.92</v>
      </c>
      <c r="AA3" s="10">
        <v>49.43</v>
      </c>
      <c r="AB3" s="95">
        <v>1938500</v>
      </c>
      <c r="AC3" s="10">
        <v>49.43</v>
      </c>
      <c r="AD3" s="2">
        <f t="shared" ref="AD3:AD66" si="0">Y3-Z3</f>
        <v>0.78999999999999915</v>
      </c>
      <c r="AE3" s="138">
        <f t="shared" ref="AE3:AE66" si="1">AC3/AC4-1</f>
        <v>-2.0226537216827545E-4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50.21</v>
      </c>
      <c r="T4" s="163"/>
      <c r="U4" s="1"/>
      <c r="W4" s="133">
        <v>42585</v>
      </c>
      <c r="X4" s="10">
        <v>49.86</v>
      </c>
      <c r="Y4" s="10">
        <v>49.98</v>
      </c>
      <c r="Z4" s="10">
        <v>49.16</v>
      </c>
      <c r="AA4" s="10">
        <v>49.44</v>
      </c>
      <c r="AB4" s="95">
        <v>1907500</v>
      </c>
      <c r="AC4" s="10">
        <v>49.44</v>
      </c>
      <c r="AD4" s="2">
        <f t="shared" si="0"/>
        <v>0.82000000000000028</v>
      </c>
      <c r="AE4" s="138">
        <f t="shared" si="1"/>
        <v>-1.040832666132907E-2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1004.2</v>
      </c>
      <c r="W5" s="133">
        <v>42584</v>
      </c>
      <c r="X5" s="10">
        <v>50.46</v>
      </c>
      <c r="Y5" s="10">
        <v>50.69</v>
      </c>
      <c r="Z5" s="10">
        <v>49.21</v>
      </c>
      <c r="AA5" s="10">
        <v>49.96</v>
      </c>
      <c r="AB5" s="95">
        <v>3083500</v>
      </c>
      <c r="AC5" s="10">
        <v>49.96</v>
      </c>
      <c r="AD5" s="2">
        <f t="shared" si="0"/>
        <v>1.4799999999999969</v>
      </c>
      <c r="AE5" s="138">
        <f t="shared" si="1"/>
        <v>-1.2648221343873556E-2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1007.9300000000001</v>
      </c>
      <c r="W6" s="133">
        <v>42583</v>
      </c>
      <c r="X6" s="10">
        <v>50.56</v>
      </c>
      <c r="Y6" s="10">
        <v>50.71</v>
      </c>
      <c r="Z6" s="10">
        <v>50.19</v>
      </c>
      <c r="AA6" s="10">
        <v>50.6</v>
      </c>
      <c r="AB6" s="95">
        <v>3020200</v>
      </c>
      <c r="AC6" s="10">
        <v>50.6</v>
      </c>
      <c r="AD6" s="2">
        <f t="shared" si="0"/>
        <v>0.52000000000000313</v>
      </c>
      <c r="AE6" s="138">
        <f t="shared" si="1"/>
        <v>1.3853156540668543E-3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-3.7300000000000182</v>
      </c>
      <c r="R7" s="30">
        <v>42609</v>
      </c>
      <c r="W7" s="133">
        <v>42580</v>
      </c>
      <c r="X7" s="10">
        <v>50.64</v>
      </c>
      <c r="Y7" s="10">
        <v>50.83</v>
      </c>
      <c r="Z7" s="10">
        <v>49.76</v>
      </c>
      <c r="AA7" s="10">
        <v>50.53</v>
      </c>
      <c r="AB7" s="95">
        <v>3620500</v>
      </c>
      <c r="AC7" s="10">
        <v>50.53</v>
      </c>
      <c r="AD7" s="2">
        <f t="shared" si="0"/>
        <v>1.0700000000000003</v>
      </c>
      <c r="AE7" s="138">
        <f t="shared" si="1"/>
        <v>-3.1564411126454583E-3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-3.7300000000000182</v>
      </c>
      <c r="W8" s="133">
        <v>42579</v>
      </c>
      <c r="X8" s="10">
        <v>50.45</v>
      </c>
      <c r="Y8" s="10">
        <v>51.13</v>
      </c>
      <c r="Z8" s="10">
        <v>50.21</v>
      </c>
      <c r="AA8" s="10">
        <v>50.69</v>
      </c>
      <c r="AB8" s="95">
        <v>4723000</v>
      </c>
      <c r="AC8" s="10">
        <v>50.69</v>
      </c>
      <c r="AD8" s="2">
        <f t="shared" si="0"/>
        <v>0.92000000000000171</v>
      </c>
      <c r="AE8" s="138">
        <f t="shared" si="1"/>
        <v>3.5636507622252012E-3</v>
      </c>
    </row>
    <row r="9" spans="1:31" x14ac:dyDescent="0.25">
      <c r="H9" s="72"/>
      <c r="O9" s="11" t="s">
        <v>231</v>
      </c>
      <c r="Q9" s="138">
        <f>IF(Q2=0, 0, Q8/Q6)</f>
        <v>-3.7006538152451239E-3</v>
      </c>
      <c r="W9" s="133">
        <v>42578</v>
      </c>
      <c r="X9" s="10">
        <v>51.23</v>
      </c>
      <c r="Y9" s="10">
        <v>51.44</v>
      </c>
      <c r="Z9" s="10">
        <v>47.8</v>
      </c>
      <c r="AA9" s="10">
        <v>50.51</v>
      </c>
      <c r="AB9" s="95">
        <v>19329200</v>
      </c>
      <c r="AC9" s="10">
        <v>50.51</v>
      </c>
      <c r="AD9" s="2">
        <f t="shared" si="0"/>
        <v>3.6400000000000006</v>
      </c>
      <c r="AE9" s="138">
        <f t="shared" si="1"/>
        <v>-0.13048717507316243</v>
      </c>
    </row>
    <row r="10" spans="1:31" x14ac:dyDescent="0.25">
      <c r="H10" s="72"/>
      <c r="O10" s="11" t="s">
        <v>230</v>
      </c>
      <c r="P10" s="34"/>
      <c r="Q10" s="2">
        <v>0</v>
      </c>
      <c r="W10" s="133">
        <v>42577</v>
      </c>
      <c r="X10" s="10">
        <v>58</v>
      </c>
      <c r="Y10" s="10">
        <v>58.47</v>
      </c>
      <c r="Z10" s="10">
        <v>57.69</v>
      </c>
      <c r="AA10" s="10">
        <v>58.09</v>
      </c>
      <c r="AB10" s="95">
        <v>3457100</v>
      </c>
      <c r="AC10" s="10">
        <v>58.09</v>
      </c>
      <c r="AD10" s="2">
        <f t="shared" si="0"/>
        <v>0.78000000000000114</v>
      </c>
      <c r="AE10" s="138">
        <f t="shared" si="1"/>
        <v>3.2815198618307839E-3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0</v>
      </c>
      <c r="W11" s="133">
        <v>42576</v>
      </c>
      <c r="X11" s="10">
        <v>57.83</v>
      </c>
      <c r="Y11" s="10">
        <v>58.33</v>
      </c>
      <c r="Z11" s="10">
        <v>57.57</v>
      </c>
      <c r="AA11" s="10">
        <v>57.9</v>
      </c>
      <c r="AB11" s="95">
        <v>1675600</v>
      </c>
      <c r="AC11" s="10">
        <v>57.9</v>
      </c>
      <c r="AD11" s="2">
        <f t="shared" si="0"/>
        <v>0.75999999999999801</v>
      </c>
      <c r="AE11" s="138">
        <f t="shared" si="1"/>
        <v>1.7274140611500677E-4</v>
      </c>
    </row>
    <row r="12" spans="1:31" x14ac:dyDescent="0.25">
      <c r="H12" s="72"/>
      <c r="W12" s="133">
        <v>42573</v>
      </c>
      <c r="X12" s="10">
        <v>57.45</v>
      </c>
      <c r="Y12" s="10">
        <v>58.14</v>
      </c>
      <c r="Z12" s="10">
        <v>57.24</v>
      </c>
      <c r="AA12" s="10">
        <v>57.89</v>
      </c>
      <c r="AB12" s="95">
        <v>1047900</v>
      </c>
      <c r="AC12" s="10">
        <v>57.89</v>
      </c>
      <c r="AD12" s="2">
        <f t="shared" si="0"/>
        <v>0.89999999999999858</v>
      </c>
      <c r="AE12" s="138">
        <f t="shared" si="1"/>
        <v>1.206293706293704E-2</v>
      </c>
    </row>
    <row r="13" spans="1:31" x14ac:dyDescent="0.25">
      <c r="H13" s="72"/>
      <c r="W13" s="133">
        <v>42572</v>
      </c>
      <c r="X13" s="10">
        <v>57.89</v>
      </c>
      <c r="Y13" s="10">
        <v>58.12</v>
      </c>
      <c r="Z13" s="10">
        <v>57.01</v>
      </c>
      <c r="AA13" s="10">
        <v>57.2</v>
      </c>
      <c r="AB13" s="95">
        <v>1483200</v>
      </c>
      <c r="AC13" s="10">
        <v>57.2</v>
      </c>
      <c r="AD13" s="2">
        <f t="shared" si="0"/>
        <v>1.1099999999999994</v>
      </c>
      <c r="AE13" s="138">
        <f t="shared" si="1"/>
        <v>-1.0893999654158715E-2</v>
      </c>
    </row>
    <row r="14" spans="1:31" x14ac:dyDescent="0.25">
      <c r="H14" s="72"/>
      <c r="W14" s="133">
        <v>42571</v>
      </c>
      <c r="X14" s="10">
        <v>57.71</v>
      </c>
      <c r="Y14" s="10">
        <v>57.89</v>
      </c>
      <c r="Z14" s="10">
        <v>57.42</v>
      </c>
      <c r="AA14" s="10">
        <v>57.83</v>
      </c>
      <c r="AB14" s="95">
        <v>1164600</v>
      </c>
      <c r="AC14" s="10">
        <v>57.83</v>
      </c>
      <c r="AD14" s="2">
        <f t="shared" si="0"/>
        <v>0.46999999999999886</v>
      </c>
      <c r="AE14" s="138">
        <f t="shared" si="1"/>
        <v>6.6144473455178598E-3</v>
      </c>
    </row>
    <row r="15" spans="1:31" x14ac:dyDescent="0.25">
      <c r="H15" s="72"/>
      <c r="W15" s="133">
        <v>42570</v>
      </c>
      <c r="X15" s="10">
        <v>57.24</v>
      </c>
      <c r="Y15" s="10">
        <v>57.96</v>
      </c>
      <c r="Z15" s="10">
        <v>57.24</v>
      </c>
      <c r="AA15" s="10">
        <v>57.45</v>
      </c>
      <c r="AB15" s="95">
        <v>1000100</v>
      </c>
      <c r="AC15" s="10">
        <v>57.45</v>
      </c>
      <c r="AD15" s="2">
        <f t="shared" si="0"/>
        <v>0.71999999999999886</v>
      </c>
      <c r="AE15" s="138">
        <f t="shared" si="1"/>
        <v>-3.4800765616838092E-4</v>
      </c>
    </row>
    <row r="16" spans="1:31" x14ac:dyDescent="0.25">
      <c r="H16" s="72"/>
      <c r="W16" s="133">
        <v>42569</v>
      </c>
      <c r="X16" s="10">
        <v>57.39</v>
      </c>
      <c r="Y16" s="10">
        <v>57.86</v>
      </c>
      <c r="Z16" s="10">
        <v>57.28</v>
      </c>
      <c r="AA16" s="10">
        <v>57.47</v>
      </c>
      <c r="AB16" s="95">
        <v>937900</v>
      </c>
      <c r="AC16" s="10">
        <v>57.47</v>
      </c>
      <c r="AD16" s="2">
        <f t="shared" si="0"/>
        <v>0.57999999999999829</v>
      </c>
      <c r="AE16" s="138">
        <f t="shared" si="1"/>
        <v>3.8427947598254075E-3</v>
      </c>
    </row>
    <row r="17" spans="1:31" x14ac:dyDescent="0.25">
      <c r="W17" s="133">
        <v>42566</v>
      </c>
      <c r="X17" s="10">
        <v>57.7</v>
      </c>
      <c r="Y17" s="10">
        <v>57.91</v>
      </c>
      <c r="Z17" s="10">
        <v>57.03</v>
      </c>
      <c r="AA17" s="10">
        <v>57.25</v>
      </c>
      <c r="AB17" s="95">
        <v>1138000</v>
      </c>
      <c r="AC17" s="10">
        <v>57.25</v>
      </c>
      <c r="AD17" s="2">
        <f t="shared" si="0"/>
        <v>0.87999999999999545</v>
      </c>
      <c r="AE17" s="138">
        <f t="shared" si="1"/>
        <v>-3.1342503917812792E-3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2530.4</v>
      </c>
      <c r="G18" s="14"/>
      <c r="H18" s="14">
        <f>SUM(H2:H5)</f>
        <v>30</v>
      </c>
      <c r="I18" s="18"/>
      <c r="J18" s="18"/>
      <c r="K18" s="18">
        <f>SUM(K2:K5)</f>
        <v>1522.47</v>
      </c>
      <c r="L18" s="14"/>
      <c r="M18" s="18">
        <f>SUM(M2:M10)</f>
        <v>0</v>
      </c>
      <c r="W18" s="133">
        <v>42565</v>
      </c>
      <c r="X18" s="10">
        <v>57.72</v>
      </c>
      <c r="Y18" s="10">
        <v>58.01</v>
      </c>
      <c r="Z18" s="10">
        <v>57.11</v>
      </c>
      <c r="AA18" s="10">
        <v>57.43</v>
      </c>
      <c r="AB18" s="95">
        <v>1611000</v>
      </c>
      <c r="AC18" s="10">
        <v>57.43</v>
      </c>
      <c r="AD18" s="2">
        <f t="shared" si="0"/>
        <v>0.89999999999999858</v>
      </c>
      <c r="AE18" s="138">
        <f t="shared" si="1"/>
        <v>1.0024621878297557E-2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42564</v>
      </c>
      <c r="X19" s="10">
        <v>56.7</v>
      </c>
      <c r="Y19" s="10">
        <v>57.69</v>
      </c>
      <c r="Z19" s="10">
        <v>56.5</v>
      </c>
      <c r="AA19" s="10">
        <v>56.86</v>
      </c>
      <c r="AB19" s="95">
        <v>1789600</v>
      </c>
      <c r="AC19" s="10">
        <v>56.86</v>
      </c>
      <c r="AD19" s="2">
        <f t="shared" si="0"/>
        <v>1.1899999999999977</v>
      </c>
      <c r="AE19" s="138">
        <f t="shared" si="1"/>
        <v>1.2464387464387494E-2</v>
      </c>
    </row>
    <row r="20" spans="1:31" x14ac:dyDescent="0.25">
      <c r="W20" s="133">
        <v>42563</v>
      </c>
      <c r="X20" s="10">
        <v>56.74</v>
      </c>
      <c r="Y20" s="10">
        <v>56.9</v>
      </c>
      <c r="Z20" s="10">
        <v>56.11</v>
      </c>
      <c r="AA20" s="10">
        <v>56.16</v>
      </c>
      <c r="AB20" s="95">
        <v>2017300</v>
      </c>
      <c r="AC20" s="10">
        <v>56.16</v>
      </c>
      <c r="AD20" s="2">
        <f t="shared" si="0"/>
        <v>0.78999999999999915</v>
      </c>
      <c r="AE20" s="138">
        <f t="shared" si="1"/>
        <v>-1.4224751066856944E-3</v>
      </c>
    </row>
    <row r="21" spans="1:31" x14ac:dyDescent="0.25">
      <c r="W21" s="133">
        <v>42562</v>
      </c>
      <c r="X21" s="10">
        <v>56.66</v>
      </c>
      <c r="Y21" s="10">
        <v>57.4</v>
      </c>
      <c r="Z21" s="10">
        <v>55.89</v>
      </c>
      <c r="AA21" s="10">
        <v>56.24</v>
      </c>
      <c r="AB21" s="95">
        <v>1498000</v>
      </c>
      <c r="AC21" s="10">
        <v>56.24</v>
      </c>
      <c r="AD21" s="2">
        <f t="shared" si="0"/>
        <v>1.509999999999998</v>
      </c>
      <c r="AE21" s="138">
        <f t="shared" si="1"/>
        <v>-2.4831500532103146E-3</v>
      </c>
    </row>
    <row r="22" spans="1:31" x14ac:dyDescent="0.25">
      <c r="W22" s="133">
        <v>42559</v>
      </c>
      <c r="X22" s="10">
        <v>55.5</v>
      </c>
      <c r="Y22" s="10">
        <v>56.64</v>
      </c>
      <c r="Z22" s="10">
        <v>54.86</v>
      </c>
      <c r="AA22" s="10">
        <v>56.38</v>
      </c>
      <c r="AB22" s="95">
        <v>1919200</v>
      </c>
      <c r="AC22" s="10">
        <v>56.38</v>
      </c>
      <c r="AD22" s="2">
        <f t="shared" si="0"/>
        <v>1.7800000000000011</v>
      </c>
      <c r="AE22" s="138">
        <f t="shared" si="1"/>
        <v>2.6210411357844965E-2</v>
      </c>
    </row>
    <row r="23" spans="1:31" x14ac:dyDescent="0.25">
      <c r="W23" s="133">
        <v>42558</v>
      </c>
      <c r="X23" s="10">
        <v>55</v>
      </c>
      <c r="Y23" s="10">
        <v>55.39</v>
      </c>
      <c r="Z23" s="10">
        <v>54.68</v>
      </c>
      <c r="AA23" s="10">
        <v>54.94</v>
      </c>
      <c r="AB23" s="95">
        <v>989600</v>
      </c>
      <c r="AC23" s="10">
        <v>54.94</v>
      </c>
      <c r="AD23" s="2">
        <f t="shared" si="0"/>
        <v>0.71000000000000085</v>
      </c>
      <c r="AE23" s="138">
        <f t="shared" si="1"/>
        <v>-3.639010189229186E-4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54.18</v>
      </c>
      <c r="Y24" s="10">
        <v>55.03</v>
      </c>
      <c r="Z24" s="10">
        <v>53.72</v>
      </c>
      <c r="AA24" s="10">
        <v>54.96</v>
      </c>
      <c r="AB24" s="95">
        <v>1443500</v>
      </c>
      <c r="AC24" s="10">
        <v>54.96</v>
      </c>
      <c r="AD24" s="2">
        <f t="shared" si="0"/>
        <v>1.3100000000000023</v>
      </c>
      <c r="AE24" s="138">
        <f t="shared" si="1"/>
        <v>1.3087557603686628E-2</v>
      </c>
    </row>
    <row r="25" spans="1:31" x14ac:dyDescent="0.25">
      <c r="B25" s="195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3">
        <f t="shared" ref="H25" si="5">(E25-D25)/D25</f>
        <v>0.11711538461538468</v>
      </c>
      <c r="I25" s="40" t="s">
        <v>340</v>
      </c>
      <c r="W25" s="133">
        <v>42556</v>
      </c>
      <c r="X25" s="10">
        <v>55.1</v>
      </c>
      <c r="Y25" s="10">
        <v>55.5</v>
      </c>
      <c r="Z25" s="10">
        <v>53.81</v>
      </c>
      <c r="AA25" s="10">
        <v>54.25</v>
      </c>
      <c r="AB25" s="95">
        <v>1327200</v>
      </c>
      <c r="AC25" s="10">
        <v>54.25</v>
      </c>
      <c r="AD25" s="2">
        <f t="shared" si="0"/>
        <v>1.6899999999999977</v>
      </c>
      <c r="AE25" s="138">
        <f t="shared" si="1"/>
        <v>-2.2522522522522515E-2</v>
      </c>
    </row>
    <row r="26" spans="1:31" x14ac:dyDescent="0.25">
      <c r="B26" s="195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3">
        <f t="shared" ref="H26" si="8">(E26-D26)/D26</f>
        <v>-1.9364527347454747E-3</v>
      </c>
      <c r="I26" s="40"/>
      <c r="W26" s="133">
        <v>42552</v>
      </c>
      <c r="X26" s="10">
        <v>55.81</v>
      </c>
      <c r="Y26" s="10">
        <v>56.33</v>
      </c>
      <c r="Z26" s="10">
        <v>55.2</v>
      </c>
      <c r="AA26" s="10">
        <v>55.5</v>
      </c>
      <c r="AB26" s="95">
        <v>1242400</v>
      </c>
      <c r="AC26" s="10">
        <v>55.5</v>
      </c>
      <c r="AD26" s="2">
        <f t="shared" si="0"/>
        <v>1.1299999999999955</v>
      </c>
      <c r="AE26" s="138">
        <f t="shared" si="1"/>
        <v>-7.6881816556410021E-3</v>
      </c>
    </row>
    <row r="27" spans="1:31" x14ac:dyDescent="0.25">
      <c r="B27" s="195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3">
        <f t="shared" ref="H27" si="11">(E27-D27)/D27</f>
        <v>2.6489934816901562E-3</v>
      </c>
      <c r="I27" s="40" t="s">
        <v>349</v>
      </c>
      <c r="W27" s="133">
        <v>42551</v>
      </c>
      <c r="X27" s="10">
        <v>54.79</v>
      </c>
      <c r="Y27" s="10">
        <v>55.94</v>
      </c>
      <c r="Z27" s="10">
        <v>53.99</v>
      </c>
      <c r="AA27" s="10">
        <v>55.93</v>
      </c>
      <c r="AB27" s="95">
        <v>1957600</v>
      </c>
      <c r="AC27" s="10">
        <v>55.93</v>
      </c>
      <c r="AD27" s="2">
        <f t="shared" si="0"/>
        <v>1.9499999999999957</v>
      </c>
      <c r="AE27" s="138">
        <f t="shared" si="1"/>
        <v>2.5109970674486837E-2</v>
      </c>
    </row>
    <row r="28" spans="1:31" x14ac:dyDescent="0.25">
      <c r="B28" s="195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3">
        <f t="shared" ref="H28" si="14">(E28-D28)/D28</f>
        <v>-8.6613157659758567E-3</v>
      </c>
      <c r="I28" s="40"/>
      <c r="W28" s="133">
        <v>42550</v>
      </c>
      <c r="X28" s="10">
        <v>53.09</v>
      </c>
      <c r="Y28" s="10">
        <v>54.84</v>
      </c>
      <c r="Z28" s="10">
        <v>52.8</v>
      </c>
      <c r="AA28" s="10">
        <v>54.56</v>
      </c>
      <c r="AB28" s="95">
        <v>1780200</v>
      </c>
      <c r="AC28" s="10">
        <v>54.56</v>
      </c>
      <c r="AD28" s="2">
        <f t="shared" si="0"/>
        <v>2.0400000000000063</v>
      </c>
      <c r="AE28" s="138">
        <f t="shared" si="1"/>
        <v>2.8463713477851149E-2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42549</v>
      </c>
      <c r="X29" s="10">
        <v>51.96</v>
      </c>
      <c r="Y29" s="10">
        <v>53.43</v>
      </c>
      <c r="Z29" s="10">
        <v>51.88</v>
      </c>
      <c r="AA29" s="10">
        <v>53.05</v>
      </c>
      <c r="AB29" s="95">
        <v>1965700</v>
      </c>
      <c r="AC29" s="10">
        <v>53.05</v>
      </c>
      <c r="AD29" s="2">
        <f t="shared" si="0"/>
        <v>1.5499999999999972</v>
      </c>
      <c r="AE29" s="138">
        <f t="shared" si="1"/>
        <v>3.6942924159499624E-2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42548</v>
      </c>
      <c r="X30" s="10">
        <v>52.7</v>
      </c>
      <c r="Y30" s="10">
        <v>52.88</v>
      </c>
      <c r="Z30" s="10">
        <v>50.91</v>
      </c>
      <c r="AA30" s="10">
        <v>51.16</v>
      </c>
      <c r="AB30" s="95">
        <v>2436900</v>
      </c>
      <c r="AC30" s="10">
        <v>51.16</v>
      </c>
      <c r="AD30" s="2">
        <f t="shared" si="0"/>
        <v>1.970000000000006</v>
      </c>
      <c r="AE30" s="138">
        <f t="shared" si="1"/>
        <v>-4.1049671977507085E-2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42545</v>
      </c>
      <c r="X31" s="10">
        <v>54.96</v>
      </c>
      <c r="Y31" s="10">
        <v>55.74</v>
      </c>
      <c r="Z31" s="10">
        <v>53.17</v>
      </c>
      <c r="AA31" s="10">
        <v>53.35</v>
      </c>
      <c r="AB31" s="95">
        <v>3494500</v>
      </c>
      <c r="AC31" s="10">
        <v>53.35</v>
      </c>
      <c r="AD31" s="2">
        <f t="shared" si="0"/>
        <v>2.5700000000000003</v>
      </c>
      <c r="AE31" s="138">
        <f t="shared" si="1"/>
        <v>-6.681826132587021E-2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42544</v>
      </c>
      <c r="X32" s="10">
        <v>55.24</v>
      </c>
      <c r="Y32" s="10">
        <v>57.17</v>
      </c>
      <c r="Z32" s="10">
        <v>55.13</v>
      </c>
      <c r="AA32" s="10">
        <v>57.17</v>
      </c>
      <c r="AB32" s="95">
        <v>2517300</v>
      </c>
      <c r="AC32" s="10">
        <v>57.17</v>
      </c>
      <c r="AD32" s="2">
        <f t="shared" si="0"/>
        <v>2.0399999999999991</v>
      </c>
      <c r="AE32" s="138">
        <f t="shared" si="1"/>
        <v>4.5155393053016413E-2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42543</v>
      </c>
      <c r="X33" s="10">
        <v>54.66</v>
      </c>
      <c r="Y33" s="10">
        <v>55.24</v>
      </c>
      <c r="Z33" s="10">
        <v>54.57</v>
      </c>
      <c r="AA33" s="10">
        <v>54.7</v>
      </c>
      <c r="AB33" s="95">
        <v>1495900</v>
      </c>
      <c r="AC33" s="10">
        <v>54.7</v>
      </c>
      <c r="AD33" s="2">
        <f t="shared" si="0"/>
        <v>0.67000000000000171</v>
      </c>
      <c r="AE33" s="138">
        <f t="shared" si="1"/>
        <v>0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42542</v>
      </c>
      <c r="X34" s="10">
        <v>54.42</v>
      </c>
      <c r="Y34" s="10">
        <v>54.74</v>
      </c>
      <c r="Z34" s="10">
        <v>54.14</v>
      </c>
      <c r="AA34" s="10">
        <v>54.7</v>
      </c>
      <c r="AB34" s="95">
        <v>1132200</v>
      </c>
      <c r="AC34" s="10">
        <v>54.7</v>
      </c>
      <c r="AD34" s="2">
        <f t="shared" si="0"/>
        <v>0.60000000000000142</v>
      </c>
      <c r="AE34" s="138">
        <f t="shared" si="1"/>
        <v>1.0343553749538215E-2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42541</v>
      </c>
      <c r="X35" s="10">
        <v>54.04</v>
      </c>
      <c r="Y35" s="10">
        <v>54.82</v>
      </c>
      <c r="Z35" s="10">
        <v>53.5</v>
      </c>
      <c r="AA35" s="10">
        <v>54.14</v>
      </c>
      <c r="AB35" s="95">
        <v>1806900</v>
      </c>
      <c r="AC35" s="10">
        <v>54.14</v>
      </c>
      <c r="AD35" s="2">
        <f t="shared" si="0"/>
        <v>1.3200000000000003</v>
      </c>
      <c r="AE35" s="138">
        <f t="shared" si="1"/>
        <v>1.786050009400264E-2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42538</v>
      </c>
      <c r="X36" s="10">
        <v>53.73</v>
      </c>
      <c r="Y36" s="10">
        <v>53.99</v>
      </c>
      <c r="Z36" s="10">
        <v>53.16</v>
      </c>
      <c r="AA36" s="10">
        <v>53.19</v>
      </c>
      <c r="AB36" s="95">
        <v>2330300</v>
      </c>
      <c r="AC36" s="10">
        <v>53.19</v>
      </c>
      <c r="AD36" s="2">
        <f t="shared" si="0"/>
        <v>0.8300000000000054</v>
      </c>
      <c r="AE36" s="138">
        <f t="shared" si="1"/>
        <v>-9.6816235337926493E-3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42537</v>
      </c>
      <c r="X37" s="10">
        <v>52.8</v>
      </c>
      <c r="Y37" s="10">
        <v>53.81</v>
      </c>
      <c r="Z37" s="10">
        <v>52.35</v>
      </c>
      <c r="AA37" s="10">
        <v>53.71</v>
      </c>
      <c r="AB37" s="95">
        <v>1281200</v>
      </c>
      <c r="AC37" s="10">
        <v>53.71</v>
      </c>
      <c r="AD37" s="2">
        <f t="shared" si="0"/>
        <v>1.4600000000000009</v>
      </c>
      <c r="AE37" s="138">
        <f t="shared" si="1"/>
        <v>8.2598085226206486E-3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42536</v>
      </c>
      <c r="X38" s="10">
        <v>52.66</v>
      </c>
      <c r="Y38" s="10">
        <v>54.06</v>
      </c>
      <c r="Z38" s="10">
        <v>52.66</v>
      </c>
      <c r="AA38" s="10">
        <v>53.27</v>
      </c>
      <c r="AB38" s="95">
        <v>1471600</v>
      </c>
      <c r="AC38" s="10">
        <v>53.27</v>
      </c>
      <c r="AD38" s="2">
        <f t="shared" si="0"/>
        <v>1.4000000000000057</v>
      </c>
      <c r="AE38" s="138">
        <f t="shared" si="1"/>
        <v>1.1583744777820204E-2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42535</v>
      </c>
      <c r="X39" s="10">
        <v>52.09</v>
      </c>
      <c r="Y39" s="10">
        <v>52.69</v>
      </c>
      <c r="Z39" s="10">
        <v>51.97</v>
      </c>
      <c r="AA39" s="10">
        <v>52.66</v>
      </c>
      <c r="AB39" s="95">
        <v>1185000</v>
      </c>
      <c r="AC39" s="10">
        <v>52.66</v>
      </c>
      <c r="AD39" s="2">
        <f t="shared" si="0"/>
        <v>0.71999999999999886</v>
      </c>
      <c r="AE39" s="138">
        <f t="shared" si="1"/>
        <v>8.6190384983719781E-3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5" t="s">
        <v>78</v>
      </c>
      <c r="P40" s="525"/>
      <c r="W40" s="133">
        <v>42534</v>
      </c>
      <c r="X40" s="10">
        <v>52.47</v>
      </c>
      <c r="Y40" s="10">
        <v>53.16</v>
      </c>
      <c r="Z40" s="10">
        <v>52.18</v>
      </c>
      <c r="AA40" s="10">
        <v>52.21</v>
      </c>
      <c r="AB40" s="95">
        <v>1245500</v>
      </c>
      <c r="AC40" s="10">
        <v>52.21</v>
      </c>
      <c r="AD40" s="2">
        <f t="shared" si="0"/>
        <v>0.97999999999999687</v>
      </c>
      <c r="AE40" s="138">
        <f t="shared" si="1"/>
        <v>-9.8615588848851576E-3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55.231000000000009</v>
      </c>
      <c r="Q41" s="2"/>
      <c r="W41" s="133">
        <v>42531</v>
      </c>
      <c r="X41" s="10">
        <v>54.65</v>
      </c>
      <c r="Y41" s="10">
        <v>55.24</v>
      </c>
      <c r="Z41" s="10">
        <v>52.67</v>
      </c>
      <c r="AA41" s="10">
        <v>52.73</v>
      </c>
      <c r="AB41" s="95">
        <v>1434100</v>
      </c>
      <c r="AC41" s="10">
        <v>52.73</v>
      </c>
      <c r="AD41" s="2">
        <f t="shared" si="0"/>
        <v>2.5700000000000003</v>
      </c>
      <c r="AE41" s="138">
        <f t="shared" si="1"/>
        <v>-4.8881673881673859E-2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5">O42*$Q$4</f>
        <v>54.728900000000003</v>
      </c>
      <c r="Q42" s="2"/>
      <c r="T42" s="91" t="s">
        <v>113</v>
      </c>
      <c r="W42" s="133">
        <v>42530</v>
      </c>
      <c r="X42" s="10">
        <v>54.63</v>
      </c>
      <c r="Y42" s="10">
        <v>55.5</v>
      </c>
      <c r="Z42" s="10">
        <v>54.16</v>
      </c>
      <c r="AA42" s="10">
        <v>55.44</v>
      </c>
      <c r="AB42" s="95">
        <v>1424100</v>
      </c>
      <c r="AC42" s="10">
        <v>55.44</v>
      </c>
      <c r="AD42" s="2">
        <f t="shared" si="0"/>
        <v>1.3400000000000034</v>
      </c>
      <c r="AE42" s="138">
        <f t="shared" si="1"/>
        <v>9.4683175528040842E-3</v>
      </c>
    </row>
    <row r="43" spans="2:31" ht="15.75" thickTop="1" x14ac:dyDescent="0.25">
      <c r="O43" s="83">
        <v>1.08</v>
      </c>
      <c r="P43" s="83">
        <f t="shared" si="15"/>
        <v>54.226800000000004</v>
      </c>
      <c r="Q43" s="2"/>
      <c r="T43" s="128" t="s">
        <v>98</v>
      </c>
      <c r="U43" s="129">
        <v>49.43</v>
      </c>
      <c r="W43" s="133">
        <v>42529</v>
      </c>
      <c r="X43" s="10">
        <v>54.99</v>
      </c>
      <c r="Y43" s="10">
        <v>55.4</v>
      </c>
      <c r="Z43" s="10">
        <v>54.81</v>
      </c>
      <c r="AA43" s="10">
        <v>54.92</v>
      </c>
      <c r="AB43" s="95">
        <v>1237400</v>
      </c>
      <c r="AC43" s="10">
        <v>54.92</v>
      </c>
      <c r="AD43" s="2">
        <f t="shared" si="0"/>
        <v>0.58999999999999631</v>
      </c>
      <c r="AE43" s="138">
        <f t="shared" si="1"/>
        <v>1.2762078395625043E-3</v>
      </c>
    </row>
    <row r="44" spans="2:31" x14ac:dyDescent="0.25">
      <c r="O44" s="83">
        <v>1.07</v>
      </c>
      <c r="P44" s="83">
        <f t="shared" si="15"/>
        <v>53.724700000000006</v>
      </c>
      <c r="Q44" s="2"/>
      <c r="T44" s="93" t="s">
        <v>99</v>
      </c>
      <c r="U44" s="130">
        <v>49.73</v>
      </c>
      <c r="W44" s="133">
        <v>42528</v>
      </c>
      <c r="X44" s="10">
        <v>54.5</v>
      </c>
      <c r="Y44" s="10">
        <v>54.89</v>
      </c>
      <c r="Z44" s="10">
        <v>53.92</v>
      </c>
      <c r="AA44" s="10">
        <v>54.85</v>
      </c>
      <c r="AB44" s="95">
        <v>1238200</v>
      </c>
      <c r="AC44" s="10">
        <v>54.85</v>
      </c>
      <c r="AD44" s="2">
        <f t="shared" si="0"/>
        <v>0.96999999999999886</v>
      </c>
      <c r="AE44" s="138">
        <f t="shared" si="1"/>
        <v>5.8683293599852693E-3</v>
      </c>
    </row>
    <row r="45" spans="2:31" x14ac:dyDescent="0.25">
      <c r="O45" s="83">
        <v>1.06</v>
      </c>
      <c r="P45" s="83">
        <f t="shared" si="15"/>
        <v>53.222600000000007</v>
      </c>
      <c r="Q45" s="2"/>
      <c r="T45" s="93" t="s">
        <v>100</v>
      </c>
      <c r="U45" s="130" t="s">
        <v>500</v>
      </c>
      <c r="W45" s="133">
        <v>42527</v>
      </c>
      <c r="X45" s="10">
        <v>53.77</v>
      </c>
      <c r="Y45" s="10">
        <v>54.73</v>
      </c>
      <c r="Z45" s="10">
        <v>53.17</v>
      </c>
      <c r="AA45" s="10">
        <v>54.53</v>
      </c>
      <c r="AB45" s="95">
        <v>909300</v>
      </c>
      <c r="AC45" s="10">
        <v>54.53</v>
      </c>
      <c r="AD45" s="2">
        <f t="shared" si="0"/>
        <v>1.5599999999999952</v>
      </c>
      <c r="AE45" s="138">
        <f t="shared" si="1"/>
        <v>1.8300653594771399E-2</v>
      </c>
    </row>
    <row r="46" spans="2:31" x14ac:dyDescent="0.25">
      <c r="O46" s="83">
        <v>1.05</v>
      </c>
      <c r="P46" s="83">
        <f t="shared" si="15"/>
        <v>52.720500000000001</v>
      </c>
      <c r="Q46" s="2"/>
      <c r="T46" s="93" t="s">
        <v>101</v>
      </c>
      <c r="U46" s="130" t="s">
        <v>501</v>
      </c>
      <c r="W46" s="133">
        <v>42524</v>
      </c>
      <c r="X46" s="10">
        <v>54.46</v>
      </c>
      <c r="Y46" s="10">
        <v>54.58</v>
      </c>
      <c r="Z46" s="10">
        <v>52.99</v>
      </c>
      <c r="AA46" s="10">
        <v>53.55</v>
      </c>
      <c r="AB46" s="95">
        <v>1280200</v>
      </c>
      <c r="AC46" s="10">
        <v>53.55</v>
      </c>
      <c r="AD46" s="2">
        <f t="shared" si="0"/>
        <v>1.5899999999999963</v>
      </c>
      <c r="AE46" s="138">
        <f t="shared" si="1"/>
        <v>-2.4590163934426257E-2</v>
      </c>
    </row>
    <row r="47" spans="2:31" x14ac:dyDescent="0.25">
      <c r="O47" s="83">
        <v>1.04</v>
      </c>
      <c r="P47" s="83">
        <f t="shared" si="15"/>
        <v>52.218400000000003</v>
      </c>
      <c r="Q47" s="2"/>
      <c r="T47" s="93" t="s">
        <v>102</v>
      </c>
      <c r="U47" s="130">
        <v>59.2</v>
      </c>
      <c r="W47" s="133">
        <v>42523</v>
      </c>
      <c r="X47" s="10">
        <v>54.1</v>
      </c>
      <c r="Y47" s="10">
        <v>54.97</v>
      </c>
      <c r="Z47" s="10">
        <v>54.1</v>
      </c>
      <c r="AA47" s="10">
        <v>54.9</v>
      </c>
      <c r="AB47" s="95">
        <v>707400</v>
      </c>
      <c r="AC47" s="10">
        <v>54.9</v>
      </c>
      <c r="AD47" s="2">
        <f t="shared" si="0"/>
        <v>0.86999999999999744</v>
      </c>
      <c r="AE47" s="138">
        <f t="shared" si="1"/>
        <v>8.8202866593163343E-3</v>
      </c>
    </row>
    <row r="48" spans="2:31" x14ac:dyDescent="0.25">
      <c r="O48" s="83">
        <v>1.03</v>
      </c>
      <c r="P48" s="83">
        <f t="shared" si="15"/>
        <v>51.716300000000004</v>
      </c>
      <c r="Q48" s="2"/>
      <c r="T48" s="93" t="s">
        <v>103</v>
      </c>
      <c r="U48" s="130">
        <v>0.97463100000000003</v>
      </c>
      <c r="W48" s="133">
        <v>42522</v>
      </c>
      <c r="X48" s="10">
        <v>54.01</v>
      </c>
      <c r="Y48" s="10">
        <v>54.62</v>
      </c>
      <c r="Z48" s="10">
        <v>53.73</v>
      </c>
      <c r="AA48" s="10">
        <v>54.42</v>
      </c>
      <c r="AB48" s="95">
        <v>1240800</v>
      </c>
      <c r="AC48" s="10">
        <v>54.42</v>
      </c>
      <c r="AD48" s="2">
        <f t="shared" si="0"/>
        <v>0.89000000000000057</v>
      </c>
      <c r="AE48" s="138">
        <f t="shared" si="1"/>
        <v>-2.9314767314033707E-3</v>
      </c>
    </row>
    <row r="49" spans="15:31" x14ac:dyDescent="0.25">
      <c r="O49" s="83">
        <v>1.02</v>
      </c>
      <c r="P49" s="83">
        <f t="shared" si="15"/>
        <v>51.214200000000005</v>
      </c>
      <c r="Q49" s="2"/>
      <c r="T49" s="93" t="s">
        <v>123</v>
      </c>
      <c r="U49" s="130" t="s">
        <v>344</v>
      </c>
      <c r="W49" s="133">
        <v>42521</v>
      </c>
      <c r="X49" s="10">
        <v>54.42</v>
      </c>
      <c r="Y49" s="10">
        <v>54.78</v>
      </c>
      <c r="Z49" s="10">
        <v>54.18</v>
      </c>
      <c r="AA49" s="10">
        <v>54.58</v>
      </c>
      <c r="AB49" s="95">
        <v>1261000</v>
      </c>
      <c r="AC49" s="10">
        <v>54.58</v>
      </c>
      <c r="AD49" s="2">
        <f t="shared" si="0"/>
        <v>0.60000000000000142</v>
      </c>
      <c r="AE49" s="138">
        <f t="shared" si="1"/>
        <v>7.0110701107011231E-3</v>
      </c>
    </row>
    <row r="50" spans="15:31" x14ac:dyDescent="0.25">
      <c r="O50" s="83">
        <v>1.01</v>
      </c>
      <c r="P50" s="83">
        <f t="shared" si="15"/>
        <v>50.7121</v>
      </c>
      <c r="Q50" s="2"/>
      <c r="T50" s="93"/>
      <c r="U50" s="130"/>
      <c r="W50" s="133">
        <v>42517</v>
      </c>
      <c r="X50" s="10">
        <v>54</v>
      </c>
      <c r="Y50" s="10">
        <v>54.5</v>
      </c>
      <c r="Z50" s="10">
        <v>53.64</v>
      </c>
      <c r="AA50" s="10">
        <v>54.2</v>
      </c>
      <c r="AB50" s="95">
        <v>1166300</v>
      </c>
      <c r="AC50" s="10">
        <v>54.2</v>
      </c>
      <c r="AD50" s="2">
        <f t="shared" si="0"/>
        <v>0.85999999999999943</v>
      </c>
      <c r="AE50" s="138">
        <f t="shared" si="1"/>
        <v>4.0755835494628023E-3</v>
      </c>
    </row>
    <row r="51" spans="15:31" x14ac:dyDescent="0.25">
      <c r="O51" s="83">
        <v>1</v>
      </c>
      <c r="P51" s="83">
        <f t="shared" si="15"/>
        <v>50.21</v>
      </c>
      <c r="Q51" s="2"/>
      <c r="T51" s="93" t="s">
        <v>105</v>
      </c>
      <c r="U51" s="130" t="s">
        <v>502</v>
      </c>
      <c r="W51" s="133">
        <v>42516</v>
      </c>
      <c r="X51" s="10">
        <v>52.76</v>
      </c>
      <c r="Y51" s="10">
        <v>54.17</v>
      </c>
      <c r="Z51" s="10">
        <v>52.62</v>
      </c>
      <c r="AA51" s="10">
        <v>53.98</v>
      </c>
      <c r="AB51" s="95">
        <v>2335200</v>
      </c>
      <c r="AC51" s="10">
        <v>53.98</v>
      </c>
      <c r="AD51" s="2">
        <f t="shared" si="0"/>
        <v>1.5500000000000043</v>
      </c>
      <c r="AE51" s="138">
        <f t="shared" si="1"/>
        <v>2.1188043889519337E-2</v>
      </c>
    </row>
    <row r="52" spans="15:31" x14ac:dyDescent="0.25">
      <c r="O52" s="83">
        <v>0.99</v>
      </c>
      <c r="P52" s="83">
        <f t="shared" si="15"/>
        <v>49.707900000000002</v>
      </c>
      <c r="Q52" s="2"/>
      <c r="T52" s="93" t="s">
        <v>106</v>
      </c>
      <c r="U52" s="130" t="s">
        <v>503</v>
      </c>
      <c r="W52" s="133">
        <v>42515</v>
      </c>
      <c r="X52" s="10">
        <v>52.87</v>
      </c>
      <c r="Y52" s="10">
        <v>53.81</v>
      </c>
      <c r="Z52" s="10">
        <v>52.71</v>
      </c>
      <c r="AA52" s="10">
        <v>52.86</v>
      </c>
      <c r="AB52" s="95">
        <v>1142000</v>
      </c>
      <c r="AC52" s="10">
        <v>52.86</v>
      </c>
      <c r="AD52" s="2">
        <f t="shared" si="0"/>
        <v>1.1000000000000014</v>
      </c>
      <c r="AE52" s="138">
        <f t="shared" si="1"/>
        <v>3.0360531309296945E-3</v>
      </c>
    </row>
    <row r="53" spans="15:31" x14ac:dyDescent="0.25">
      <c r="O53" s="83">
        <v>0.98</v>
      </c>
      <c r="P53" s="83">
        <f t="shared" si="15"/>
        <v>49.205799999999996</v>
      </c>
      <c r="Q53" s="2"/>
      <c r="T53" s="93" t="s">
        <v>107</v>
      </c>
      <c r="U53" s="131">
        <v>2085659</v>
      </c>
      <c r="W53" s="133">
        <v>42514</v>
      </c>
      <c r="X53" s="10">
        <v>51.32</v>
      </c>
      <c r="Y53" s="10">
        <v>52.91</v>
      </c>
      <c r="Z53" s="10">
        <v>51</v>
      </c>
      <c r="AA53" s="10">
        <v>52.7</v>
      </c>
      <c r="AB53" s="95">
        <v>1182300</v>
      </c>
      <c r="AC53" s="10">
        <v>52.7</v>
      </c>
      <c r="AD53" s="2">
        <f t="shared" si="0"/>
        <v>1.9099999999999966</v>
      </c>
      <c r="AE53" s="138">
        <f t="shared" si="1"/>
        <v>2.7490738935465053E-2</v>
      </c>
    </row>
    <row r="54" spans="15:31" x14ac:dyDescent="0.25">
      <c r="O54" s="83">
        <v>0.97</v>
      </c>
      <c r="P54" s="83">
        <f t="shared" si="15"/>
        <v>48.703699999999998</v>
      </c>
      <c r="T54" s="93" t="s">
        <v>110</v>
      </c>
      <c r="U54" s="131">
        <v>1954060</v>
      </c>
      <c r="W54" s="133">
        <v>42513</v>
      </c>
      <c r="X54" s="10">
        <v>51.61</v>
      </c>
      <c r="Y54" s="10">
        <v>51.87</v>
      </c>
      <c r="Z54" s="10">
        <v>50.8</v>
      </c>
      <c r="AA54" s="10">
        <v>51.29</v>
      </c>
      <c r="AB54" s="95">
        <v>1586800</v>
      </c>
      <c r="AC54" s="10">
        <v>51.29</v>
      </c>
      <c r="AD54" s="2">
        <f t="shared" si="0"/>
        <v>1.0700000000000003</v>
      </c>
      <c r="AE54" s="138">
        <f t="shared" si="1"/>
        <v>-8.5057026870287711E-3</v>
      </c>
    </row>
    <row r="55" spans="15:31" x14ac:dyDescent="0.25">
      <c r="O55" s="83">
        <v>0.96</v>
      </c>
      <c r="P55" s="83">
        <f t="shared" si="15"/>
        <v>48.201599999999999</v>
      </c>
      <c r="T55" s="93" t="s">
        <v>108</v>
      </c>
      <c r="U55" s="130" t="s">
        <v>504</v>
      </c>
      <c r="W55" s="133">
        <v>42510</v>
      </c>
      <c r="X55" s="10">
        <v>51.05</v>
      </c>
      <c r="Y55" s="10">
        <v>51.99</v>
      </c>
      <c r="Z55" s="10">
        <v>50.95</v>
      </c>
      <c r="AA55" s="10">
        <v>51.73</v>
      </c>
      <c r="AB55" s="95">
        <v>1584900</v>
      </c>
      <c r="AC55" s="10">
        <v>51.73</v>
      </c>
      <c r="AD55" s="2">
        <f t="shared" si="0"/>
        <v>1.0399999999999991</v>
      </c>
      <c r="AE55" s="138">
        <f t="shared" si="1"/>
        <v>2.0718232044198759E-2</v>
      </c>
    </row>
    <row r="56" spans="15:31" x14ac:dyDescent="0.25">
      <c r="O56" s="83">
        <v>0.95</v>
      </c>
      <c r="P56" s="83">
        <f t="shared" si="15"/>
        <v>47.6995</v>
      </c>
      <c r="T56" s="93" t="s">
        <v>111</v>
      </c>
      <c r="U56" s="130">
        <v>27.8</v>
      </c>
      <c r="W56" s="133">
        <v>42509</v>
      </c>
      <c r="X56" s="10">
        <v>50.68</v>
      </c>
      <c r="Y56" s="10">
        <v>51.29</v>
      </c>
      <c r="Z56" s="10">
        <v>50.06</v>
      </c>
      <c r="AA56" s="10">
        <v>50.68</v>
      </c>
      <c r="AB56" s="95">
        <v>838400</v>
      </c>
      <c r="AC56" s="10">
        <v>50.68</v>
      </c>
      <c r="AD56" s="2">
        <f t="shared" si="0"/>
        <v>1.2299999999999969</v>
      </c>
      <c r="AE56" s="138">
        <f t="shared" si="1"/>
        <v>-5.6896213458896838E-3</v>
      </c>
    </row>
    <row r="57" spans="15:31" x14ac:dyDescent="0.25">
      <c r="O57" s="83">
        <v>0.94</v>
      </c>
      <c r="P57" s="83">
        <f t="shared" si="15"/>
        <v>47.197399999999995</v>
      </c>
      <c r="T57" s="93" t="s">
        <v>112</v>
      </c>
      <c r="U57" s="130">
        <v>1.82</v>
      </c>
      <c r="W57" s="133">
        <v>42508</v>
      </c>
      <c r="X57" s="10">
        <v>51.03</v>
      </c>
      <c r="Y57" s="10">
        <v>51.4</v>
      </c>
      <c r="Z57" s="10">
        <v>50.44</v>
      </c>
      <c r="AA57" s="10">
        <v>50.97</v>
      </c>
      <c r="AB57" s="95">
        <v>863000</v>
      </c>
      <c r="AC57" s="10">
        <v>50.97</v>
      </c>
      <c r="AD57" s="2">
        <f t="shared" si="0"/>
        <v>0.96000000000000085</v>
      </c>
      <c r="AE57" s="138">
        <f t="shared" si="1"/>
        <v>0</v>
      </c>
    </row>
    <row r="58" spans="15:31" x14ac:dyDescent="0.25">
      <c r="O58" s="83">
        <v>0.93</v>
      </c>
      <c r="P58" s="83">
        <f t="shared" si="15"/>
        <v>46.695300000000003</v>
      </c>
      <c r="T58" s="93" t="s">
        <v>109</v>
      </c>
      <c r="U58" s="130" t="s">
        <v>124</v>
      </c>
      <c r="W58" s="133">
        <v>42507</v>
      </c>
      <c r="X58" s="10">
        <v>51.2</v>
      </c>
      <c r="Y58" s="10">
        <v>51.75</v>
      </c>
      <c r="Z58" s="10">
        <v>50.71</v>
      </c>
      <c r="AA58" s="10">
        <v>50.97</v>
      </c>
      <c r="AB58" s="95">
        <v>1220900</v>
      </c>
      <c r="AC58" s="10">
        <v>50.97</v>
      </c>
      <c r="AD58" s="2">
        <f t="shared" si="0"/>
        <v>1.0399999999999991</v>
      </c>
      <c r="AE58" s="138">
        <f t="shared" si="1"/>
        <v>-7.5934579439252969E-3</v>
      </c>
    </row>
    <row r="59" spans="15:31" x14ac:dyDescent="0.25">
      <c r="O59" s="83">
        <v>0.92</v>
      </c>
      <c r="P59" s="83">
        <f t="shared" si="15"/>
        <v>46.193200000000004</v>
      </c>
      <c r="W59" s="133">
        <v>42506</v>
      </c>
      <c r="X59" s="10">
        <v>50.49</v>
      </c>
      <c r="Y59" s="10">
        <v>51.68</v>
      </c>
      <c r="Z59" s="10">
        <v>50.36</v>
      </c>
      <c r="AA59" s="10">
        <v>51.36</v>
      </c>
      <c r="AB59" s="95">
        <v>1280700</v>
      </c>
      <c r="AC59" s="10">
        <v>51.36</v>
      </c>
      <c r="AD59" s="2">
        <f t="shared" si="0"/>
        <v>1.3200000000000003</v>
      </c>
      <c r="AE59" s="138">
        <f t="shared" si="1"/>
        <v>1.7231134878193721E-2</v>
      </c>
    </row>
    <row r="60" spans="15:31" x14ac:dyDescent="0.25">
      <c r="O60" s="83">
        <v>0.91</v>
      </c>
      <c r="P60" s="83">
        <f t="shared" si="15"/>
        <v>45.691100000000006</v>
      </c>
      <c r="W60" s="133">
        <v>42503</v>
      </c>
      <c r="X60" s="10">
        <v>50.93</v>
      </c>
      <c r="Y60" s="10">
        <v>51.38</v>
      </c>
      <c r="Z60" s="10">
        <v>50.28</v>
      </c>
      <c r="AA60" s="10">
        <v>50.49</v>
      </c>
      <c r="AB60" s="95">
        <v>1505200</v>
      </c>
      <c r="AC60" s="10">
        <v>50.49</v>
      </c>
      <c r="AD60" s="2">
        <f t="shared" si="0"/>
        <v>1.1000000000000014</v>
      </c>
      <c r="AE60" s="138">
        <f t="shared" si="1"/>
        <v>-1.2323943661971759E-2</v>
      </c>
    </row>
    <row r="61" spans="15:31" x14ac:dyDescent="0.25">
      <c r="O61" s="83">
        <v>0.9</v>
      </c>
      <c r="P61" s="83">
        <f t="shared" si="15"/>
        <v>45.189</v>
      </c>
      <c r="W61" s="133">
        <v>42502</v>
      </c>
      <c r="X61" s="10">
        <v>51</v>
      </c>
      <c r="Y61" s="10">
        <v>51.74</v>
      </c>
      <c r="Z61" s="10">
        <v>50.5</v>
      </c>
      <c r="AA61" s="10">
        <v>51.12</v>
      </c>
      <c r="AB61" s="95">
        <v>1652600</v>
      </c>
      <c r="AC61" s="10">
        <v>51.12</v>
      </c>
      <c r="AD61" s="2">
        <f t="shared" si="0"/>
        <v>1.240000000000002</v>
      </c>
      <c r="AE61" s="138">
        <f t="shared" si="1"/>
        <v>7.8864353312302349E-3</v>
      </c>
    </row>
    <row r="62" spans="15:31" x14ac:dyDescent="0.25">
      <c r="W62" s="133">
        <v>42501</v>
      </c>
      <c r="X62" s="10">
        <v>51.77</v>
      </c>
      <c r="Y62" s="10">
        <v>51.86</v>
      </c>
      <c r="Z62" s="10">
        <v>50.58</v>
      </c>
      <c r="AA62" s="10">
        <v>50.72</v>
      </c>
      <c r="AB62" s="95">
        <v>1326900</v>
      </c>
      <c r="AC62" s="10">
        <v>50.72</v>
      </c>
      <c r="AD62" s="2">
        <f t="shared" si="0"/>
        <v>1.2800000000000011</v>
      </c>
      <c r="AE62" s="138">
        <f t="shared" si="1"/>
        <v>-2.4052337887242592E-2</v>
      </c>
    </row>
    <row r="63" spans="15:31" x14ac:dyDescent="0.25">
      <c r="W63" s="133">
        <v>42500</v>
      </c>
      <c r="X63" s="10">
        <v>50.35</v>
      </c>
      <c r="Y63" s="10">
        <v>52.03</v>
      </c>
      <c r="Z63" s="10">
        <v>50.27</v>
      </c>
      <c r="AA63" s="10">
        <v>51.97</v>
      </c>
      <c r="AB63" s="95">
        <v>1904300</v>
      </c>
      <c r="AC63" s="10">
        <v>51.97</v>
      </c>
      <c r="AD63" s="2">
        <f t="shared" si="0"/>
        <v>1.759999999999998</v>
      </c>
      <c r="AE63" s="138">
        <f t="shared" si="1"/>
        <v>3.6291126620139558E-2</v>
      </c>
    </row>
    <row r="64" spans="15:31" x14ac:dyDescent="0.25">
      <c r="W64" s="133">
        <v>42499</v>
      </c>
      <c r="X64" s="10">
        <v>49.65</v>
      </c>
      <c r="Y64" s="10">
        <v>50.44</v>
      </c>
      <c r="Z64" s="10">
        <v>49.56</v>
      </c>
      <c r="AA64" s="10">
        <v>50.15</v>
      </c>
      <c r="AB64" s="95">
        <v>1242600</v>
      </c>
      <c r="AC64" s="10">
        <v>50.15</v>
      </c>
      <c r="AD64" s="2">
        <f t="shared" si="0"/>
        <v>0.87999999999999545</v>
      </c>
      <c r="AE64" s="138">
        <f t="shared" si="1"/>
        <v>4.2050460552662816E-3</v>
      </c>
    </row>
    <row r="65" spans="23:31" x14ac:dyDescent="0.25">
      <c r="W65" s="133">
        <v>42496</v>
      </c>
      <c r="X65" s="10">
        <v>49.35</v>
      </c>
      <c r="Y65" s="10">
        <v>49.97</v>
      </c>
      <c r="Z65" s="10">
        <v>48.88</v>
      </c>
      <c r="AA65" s="10">
        <v>49.94</v>
      </c>
      <c r="AB65" s="95">
        <v>1444700</v>
      </c>
      <c r="AC65" s="10">
        <v>49.94</v>
      </c>
      <c r="AD65" s="2">
        <f t="shared" si="0"/>
        <v>1.0899999999999963</v>
      </c>
      <c r="AE65" s="138">
        <f t="shared" si="1"/>
        <v>8.6851141183599267E-3</v>
      </c>
    </row>
    <row r="66" spans="23:31" x14ac:dyDescent="0.25">
      <c r="W66" s="133">
        <v>42495</v>
      </c>
      <c r="X66" s="10">
        <v>49.77</v>
      </c>
      <c r="Y66" s="10">
        <v>50.04</v>
      </c>
      <c r="Z66" s="10">
        <v>49.09</v>
      </c>
      <c r="AA66" s="10">
        <v>49.51</v>
      </c>
      <c r="AB66" s="95">
        <v>2055100</v>
      </c>
      <c r="AC66" s="10">
        <v>49.51</v>
      </c>
      <c r="AD66" s="2">
        <f t="shared" si="0"/>
        <v>0.94999999999999574</v>
      </c>
      <c r="AE66" s="138">
        <f t="shared" si="1"/>
        <v>-6.0557125555105173E-4</v>
      </c>
    </row>
    <row r="67" spans="23:31" x14ac:dyDescent="0.25">
      <c r="W67" s="133">
        <v>42494</v>
      </c>
      <c r="X67" s="10">
        <v>49.62</v>
      </c>
      <c r="Y67" s="10">
        <v>49.97</v>
      </c>
      <c r="Z67" s="10">
        <v>49.09</v>
      </c>
      <c r="AA67" s="10">
        <v>49.54</v>
      </c>
      <c r="AB67" s="95">
        <v>1833500</v>
      </c>
      <c r="AC67" s="10">
        <v>49.54</v>
      </c>
      <c r="AD67" s="2">
        <f>Y67-Z67</f>
        <v>0.87999999999999545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57" priority="9">
      <formula>F33&gt;0</formula>
    </cfRule>
    <cfRule type="expression" dxfId="556" priority="10">
      <formula>F33&lt;0</formula>
    </cfRule>
  </conditionalFormatting>
  <conditionalFormatting sqref="Q7">
    <cfRule type="expression" dxfId="555" priority="7">
      <formula>Q7&gt;0</formula>
    </cfRule>
    <cfRule type="expression" dxfId="554" priority="8">
      <formula>Q7&lt;0</formula>
    </cfRule>
  </conditionalFormatting>
  <conditionalFormatting sqref="Q8">
    <cfRule type="expression" dxfId="553" priority="5">
      <formula>Q8&gt;0</formula>
    </cfRule>
    <cfRule type="expression" dxfId="552" priority="6">
      <formula>Q8&lt;0</formula>
    </cfRule>
  </conditionalFormatting>
  <conditionalFormatting sqref="F25:F32">
    <cfRule type="expression" dxfId="551" priority="3">
      <formula>F25&gt;0</formula>
    </cfRule>
    <cfRule type="expression" dxfId="550" priority="4">
      <formula>F25&lt;0</formula>
    </cfRule>
  </conditionalFormatting>
  <conditionalFormatting sqref="H25:H32">
    <cfRule type="expression" dxfId="549" priority="1">
      <formula>H25&gt;0</formula>
    </cfRule>
    <cfRule type="expression" dxfId="5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29"/>
  <sheetViews>
    <sheetView zoomScaleNormal="100" workbookViewId="0">
      <pane ySplit="1" topLeftCell="A294" activePane="bottomLeft" state="frozen"/>
      <selection pane="bottomLeft" activeCell="G325" sqref="G325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9138</v>
      </c>
      <c r="W2" s="133">
        <v>42587</v>
      </c>
      <c r="X2" s="10">
        <v>13.47</v>
      </c>
      <c r="Y2" s="10">
        <v>13.94</v>
      </c>
      <c r="Z2" s="10">
        <v>13.3</v>
      </c>
      <c r="AA2" s="10">
        <v>13.87</v>
      </c>
      <c r="AB2" s="95">
        <v>16889200</v>
      </c>
      <c r="AC2" s="10">
        <v>13.87</v>
      </c>
      <c r="AE2" s="138">
        <f t="shared" ref="AE2:AE14" si="0">AC2/AC3-1</f>
        <v>3.4302759134973826E-2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16.651062486320786</v>
      </c>
      <c r="W3" s="133">
        <v>42586</v>
      </c>
      <c r="X3" s="10">
        <v>13.6</v>
      </c>
      <c r="Y3" s="10">
        <v>13.9</v>
      </c>
      <c r="Z3" s="10">
        <v>13.05</v>
      </c>
      <c r="AA3" s="10">
        <v>13.41</v>
      </c>
      <c r="AB3" s="95">
        <v>24426400</v>
      </c>
      <c r="AC3" s="10">
        <v>13.41</v>
      </c>
      <c r="AE3" s="138">
        <f t="shared" si="0"/>
        <v>-7.4515648286133107E-4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14.25</v>
      </c>
      <c r="W4" s="133">
        <v>42585</v>
      </c>
      <c r="X4" s="10">
        <v>12.97</v>
      </c>
      <c r="Y4" s="10">
        <v>13.42</v>
      </c>
      <c r="Z4" s="10">
        <v>12.67</v>
      </c>
      <c r="AA4" s="10">
        <v>13.42</v>
      </c>
      <c r="AB4" s="95">
        <v>17062100</v>
      </c>
      <c r="AC4" s="10">
        <v>13.42</v>
      </c>
      <c r="AE4" s="138">
        <f t="shared" si="0"/>
        <v>4.0310077519379872E-2</v>
      </c>
      <c r="AJ4" s="237"/>
      <c r="AL4" s="236"/>
      <c r="AO4" s="236"/>
    </row>
    <row r="5" spans="1:41" x14ac:dyDescent="0.25">
      <c r="B5" s="534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556</v>
      </c>
      <c r="O5" s="11" t="s">
        <v>67</v>
      </c>
      <c r="Q5" s="3">
        <f>Q4*Q2</f>
        <v>130216.5</v>
      </c>
      <c r="T5" s="67"/>
      <c r="W5" s="133">
        <v>42584</v>
      </c>
      <c r="X5" s="10">
        <v>13.12</v>
      </c>
      <c r="Y5" s="10">
        <v>13.23</v>
      </c>
      <c r="Z5" s="10">
        <v>12.47</v>
      </c>
      <c r="AA5" s="10">
        <v>12.9</v>
      </c>
      <c r="AB5" s="95">
        <v>17155500</v>
      </c>
      <c r="AC5" s="10">
        <v>12.9</v>
      </c>
      <c r="AE5" s="138">
        <f t="shared" si="0"/>
        <v>-1.5479876160990891E-3</v>
      </c>
    </row>
    <row r="6" spans="1:41" x14ac:dyDescent="0.25">
      <c r="B6" s="534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557</v>
      </c>
      <c r="O6" s="11" t="s">
        <v>64</v>
      </c>
      <c r="Q6" s="2">
        <f>Q3*Q2</f>
        <v>152157.40899999934</v>
      </c>
      <c r="W6" s="133">
        <v>42583</v>
      </c>
      <c r="X6" s="10">
        <v>13.42</v>
      </c>
      <c r="Y6" s="10">
        <v>13.43</v>
      </c>
      <c r="Z6" s="10">
        <v>12.84</v>
      </c>
      <c r="AA6" s="10">
        <v>12.92</v>
      </c>
      <c r="AB6" s="95">
        <v>20878500</v>
      </c>
      <c r="AC6" s="10">
        <v>12.92</v>
      </c>
      <c r="AE6" s="138">
        <f t="shared" si="0"/>
        <v>-5.2785923753665753E-2</v>
      </c>
    </row>
    <row r="7" spans="1:41" x14ac:dyDescent="0.25">
      <c r="B7" s="534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32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188</v>
      </c>
      <c r="Q7" s="2">
        <f>Q10+Q8</f>
        <v>-21940.908999999287</v>
      </c>
      <c r="R7">
        <v>6318</v>
      </c>
      <c r="U7" s="184"/>
      <c r="W7" s="133">
        <v>42580</v>
      </c>
      <c r="X7" s="10">
        <v>13.21</v>
      </c>
      <c r="Y7" s="10">
        <v>13.74</v>
      </c>
      <c r="Z7" s="10">
        <v>13.11</v>
      </c>
      <c r="AA7" s="10">
        <v>13.64</v>
      </c>
      <c r="AB7" s="95">
        <v>13850400</v>
      </c>
      <c r="AC7" s="10">
        <v>13.64</v>
      </c>
      <c r="AE7" s="138">
        <f t="shared" si="0"/>
        <v>2.1722846441947663E-2</v>
      </c>
    </row>
    <row r="8" spans="1:41" x14ac:dyDescent="0.25">
      <c r="B8" s="534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32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192</v>
      </c>
      <c r="P8" s="34"/>
      <c r="Q8" s="2">
        <f>K174+M174-F174+Q2*Q4</f>
        <v>-21940.908999999287</v>
      </c>
      <c r="W8" s="133">
        <v>42579</v>
      </c>
      <c r="X8" s="10">
        <v>13.19</v>
      </c>
      <c r="Y8" s="10">
        <v>13.45</v>
      </c>
      <c r="Z8" s="10">
        <v>13.08</v>
      </c>
      <c r="AA8" s="10">
        <v>13.35</v>
      </c>
      <c r="AB8" s="95">
        <v>16632000</v>
      </c>
      <c r="AC8" s="10">
        <v>13.35</v>
      </c>
      <c r="AE8" s="138">
        <f t="shared" si="0"/>
        <v>1.6755521706016685E-2</v>
      </c>
    </row>
    <row r="9" spans="1:41" x14ac:dyDescent="0.25">
      <c r="B9" s="534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231</v>
      </c>
      <c r="Q9" s="138">
        <f>IF(Q2=0, 0, Q8/Q6)</f>
        <v>-0.14419875538232504</v>
      </c>
      <c r="W9" s="133">
        <v>42578</v>
      </c>
      <c r="X9" s="10">
        <v>13.89</v>
      </c>
      <c r="Y9" s="10">
        <v>14.09</v>
      </c>
      <c r="Z9" s="10">
        <v>13.06</v>
      </c>
      <c r="AA9" s="10">
        <v>13.13</v>
      </c>
      <c r="AB9" s="95">
        <v>22684900</v>
      </c>
      <c r="AC9" s="10">
        <v>13.13</v>
      </c>
      <c r="AE9" s="138">
        <f t="shared" si="0"/>
        <v>-4.7169811320754595E-2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33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230</v>
      </c>
      <c r="P10" s="34"/>
      <c r="Q10" s="2">
        <f>M30</f>
        <v>0</v>
      </c>
      <c r="W10" s="133">
        <v>42577</v>
      </c>
      <c r="X10" s="10">
        <v>13.49</v>
      </c>
      <c r="Y10" s="10">
        <v>13.83</v>
      </c>
      <c r="Z10" s="10">
        <v>13.41</v>
      </c>
      <c r="AA10" s="10">
        <v>13.78</v>
      </c>
      <c r="AB10" s="95">
        <v>14112600</v>
      </c>
      <c r="AC10" s="10">
        <v>13.78</v>
      </c>
      <c r="AE10" s="138">
        <f t="shared" si="0"/>
        <v>1.4727540500736325E-2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33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42576</v>
      </c>
      <c r="X11" s="10">
        <v>13.94</v>
      </c>
      <c r="Y11" s="10">
        <v>14.06</v>
      </c>
      <c r="Z11" s="10">
        <v>13.5</v>
      </c>
      <c r="AA11" s="10">
        <v>13.58</v>
      </c>
      <c r="AB11" s="95">
        <v>17377400</v>
      </c>
      <c r="AC11" s="10">
        <v>13.58</v>
      </c>
      <c r="AE11" s="138">
        <f t="shared" si="0"/>
        <v>-3.7562012756909957E-2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33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42573</v>
      </c>
      <c r="X12" s="10">
        <v>14.49</v>
      </c>
      <c r="Y12" s="10">
        <v>14.52</v>
      </c>
      <c r="Z12" s="10">
        <v>14.03</v>
      </c>
      <c r="AA12" s="10">
        <v>14.11</v>
      </c>
      <c r="AB12" s="95">
        <v>19805400</v>
      </c>
      <c r="AC12" s="10">
        <v>14.11</v>
      </c>
      <c r="AE12" s="138">
        <f t="shared" si="0"/>
        <v>-2.1497919556171974E-2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33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42572</v>
      </c>
      <c r="X13" s="10">
        <v>14.8</v>
      </c>
      <c r="Y13" s="10">
        <v>15.08</v>
      </c>
      <c r="Z13" s="10">
        <v>14.37</v>
      </c>
      <c r="AA13" s="10">
        <v>14.42</v>
      </c>
      <c r="AB13" s="95">
        <v>18026500</v>
      </c>
      <c r="AC13" s="10">
        <v>14.42</v>
      </c>
      <c r="AE13" s="138">
        <f t="shared" si="0"/>
        <v>-2.8301886792452824E-2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33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42571</v>
      </c>
      <c r="X14" s="10">
        <v>14.62</v>
      </c>
      <c r="Y14" s="10">
        <v>14.94</v>
      </c>
      <c r="Z14" s="10">
        <v>14.14</v>
      </c>
      <c r="AA14" s="10">
        <v>14.84</v>
      </c>
      <c r="AB14" s="95">
        <v>17544800</v>
      </c>
      <c r="AC14" s="10">
        <v>14.84</v>
      </c>
      <c r="AE14" s="138">
        <f t="shared" si="0"/>
        <v>6.1016949152541411E-3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33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42570</v>
      </c>
      <c r="X15" s="10">
        <v>15.06</v>
      </c>
      <c r="Y15" s="10">
        <v>15.13</v>
      </c>
      <c r="Z15" s="10">
        <v>14.65</v>
      </c>
      <c r="AA15" s="10">
        <v>14.75</v>
      </c>
      <c r="AB15" s="95">
        <v>12830500</v>
      </c>
      <c r="AC15" s="10">
        <v>14.75</v>
      </c>
      <c r="AE15" s="138">
        <f>AC15/AC16-1</f>
        <v>-2.832674571805005E-2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33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42569</v>
      </c>
      <c r="X16" s="10">
        <v>15.04</v>
      </c>
      <c r="Y16" s="10">
        <v>15.21</v>
      </c>
      <c r="Z16" s="10">
        <v>14.73</v>
      </c>
      <c r="AA16" s="10">
        <v>15.18</v>
      </c>
      <c r="AB16" s="95">
        <v>14617600</v>
      </c>
      <c r="AC16" s="10">
        <v>15.18</v>
      </c>
      <c r="AE16" s="138">
        <f t="shared" ref="AE16:AE67" si="4">AC16/AC17-1</f>
        <v>-1.9723865877713243E-3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33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42566</v>
      </c>
      <c r="X17" s="10">
        <v>15.41</v>
      </c>
      <c r="Y17" s="10">
        <v>15.51</v>
      </c>
      <c r="Z17" s="10">
        <v>15.1</v>
      </c>
      <c r="AA17" s="10">
        <v>15.21</v>
      </c>
      <c r="AB17" s="95">
        <v>15297900</v>
      </c>
      <c r="AC17" s="10">
        <v>15.21</v>
      </c>
      <c r="AE17" s="138">
        <f t="shared" si="4"/>
        <v>-3.9292730844793233E-3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42565</v>
      </c>
      <c r="X18" s="10">
        <v>15.55</v>
      </c>
      <c r="Y18" s="10">
        <v>15.76</v>
      </c>
      <c r="Z18" s="10">
        <v>15.21</v>
      </c>
      <c r="AA18" s="10">
        <v>15.27</v>
      </c>
      <c r="AB18" s="95">
        <v>12174900</v>
      </c>
      <c r="AC18" s="10">
        <v>15.27</v>
      </c>
      <c r="AE18" s="138">
        <f t="shared" si="4"/>
        <v>-1.3080444735120711E-3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42564</v>
      </c>
      <c r="X19" s="10">
        <v>15.44</v>
      </c>
      <c r="Y19" s="10">
        <v>15.74</v>
      </c>
      <c r="Z19" s="10">
        <v>15.13</v>
      </c>
      <c r="AA19" s="10">
        <v>15.29</v>
      </c>
      <c r="AB19" s="95">
        <v>22648400</v>
      </c>
      <c r="AC19" s="10">
        <v>15.29</v>
      </c>
      <c r="AE19" s="138">
        <f t="shared" si="4"/>
        <v>-1.9871794871794912E-2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42563</v>
      </c>
      <c r="X20" s="10">
        <v>15.03</v>
      </c>
      <c r="Y20" s="10">
        <v>15.73</v>
      </c>
      <c r="Z20" s="10">
        <v>15.01</v>
      </c>
      <c r="AA20" s="10">
        <v>15.6</v>
      </c>
      <c r="AB20" s="95">
        <v>21959700</v>
      </c>
      <c r="AC20" s="10">
        <v>15.6</v>
      </c>
      <c r="AE20" s="138">
        <f t="shared" si="4"/>
        <v>6.1946902654867353E-2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42562</v>
      </c>
      <c r="X21" s="10">
        <v>15</v>
      </c>
      <c r="Y21" s="10">
        <v>15.14</v>
      </c>
      <c r="Z21" s="10">
        <v>14.66</v>
      </c>
      <c r="AA21" s="10">
        <v>14.69</v>
      </c>
      <c r="AB21" s="95">
        <v>12502900</v>
      </c>
      <c r="AC21" s="10">
        <v>14.69</v>
      </c>
      <c r="AE21" s="138">
        <f t="shared" si="4"/>
        <v>-1.5415549597855294E-2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42559</v>
      </c>
      <c r="X22" s="10">
        <v>15.06</v>
      </c>
      <c r="Y22" s="10">
        <v>15.17</v>
      </c>
      <c r="Z22" s="10">
        <v>14.68</v>
      </c>
      <c r="AA22" s="10">
        <v>14.92</v>
      </c>
      <c r="AB22" s="95">
        <v>17321300</v>
      </c>
      <c r="AC22" s="10">
        <v>14.92</v>
      </c>
      <c r="AE22" s="138">
        <f t="shared" si="4"/>
        <v>1.2211668928086894E-2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42558</v>
      </c>
      <c r="X23" s="10">
        <v>15.2</v>
      </c>
      <c r="Y23" s="10">
        <v>15.4</v>
      </c>
      <c r="Z23" s="10">
        <v>14.56</v>
      </c>
      <c r="AA23" s="10">
        <v>14.74</v>
      </c>
      <c r="AB23" s="95">
        <v>18822000</v>
      </c>
      <c r="AC23" s="10">
        <v>14.74</v>
      </c>
      <c r="AE23" s="138">
        <f t="shared" si="4"/>
        <v>-6.7385444743934819E-3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42557</v>
      </c>
      <c r="X24" s="10">
        <v>14.56</v>
      </c>
      <c r="Y24" s="10">
        <v>15</v>
      </c>
      <c r="Z24" s="10">
        <v>14.43</v>
      </c>
      <c r="AA24" s="10">
        <v>14.84</v>
      </c>
      <c r="AB24" s="95">
        <v>15754800</v>
      </c>
      <c r="AC24" s="10">
        <v>14.84</v>
      </c>
      <c r="AE24" s="138">
        <f t="shared" si="4"/>
        <v>8.152173913043459E-3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42556</v>
      </c>
      <c r="X25" s="10">
        <v>15.21</v>
      </c>
      <c r="Y25" s="10">
        <v>15.45</v>
      </c>
      <c r="Z25" s="10">
        <v>14.45</v>
      </c>
      <c r="AA25" s="10">
        <v>14.72</v>
      </c>
      <c r="AB25" s="95">
        <v>21129200</v>
      </c>
      <c r="AC25" s="10">
        <v>14.72</v>
      </c>
      <c r="AE25" s="138">
        <f t="shared" si="4"/>
        <v>-6.1224489795918324E-2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42552</v>
      </c>
      <c r="X26" s="10">
        <v>14.88</v>
      </c>
      <c r="Y26" s="10">
        <v>15.84</v>
      </c>
      <c r="Z26" s="10">
        <v>14.85</v>
      </c>
      <c r="AA26" s="10">
        <v>15.68</v>
      </c>
      <c r="AB26" s="95">
        <v>19890800</v>
      </c>
      <c r="AC26" s="10">
        <v>15.68</v>
      </c>
      <c r="AE26" s="138">
        <f t="shared" si="4"/>
        <v>4.4636908727514912E-2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42551</v>
      </c>
      <c r="X27" s="10">
        <v>15.02</v>
      </c>
      <c r="Y27" s="10">
        <v>15.15</v>
      </c>
      <c r="Z27" s="10">
        <v>14.76</v>
      </c>
      <c r="AA27" s="10">
        <v>15.01</v>
      </c>
      <c r="AB27" s="95">
        <v>15331700</v>
      </c>
      <c r="AC27" s="10">
        <v>15.01</v>
      </c>
      <c r="AE27" s="138">
        <f t="shared" si="4"/>
        <v>-8.5865257595773015E-3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42550</v>
      </c>
      <c r="X28" s="10">
        <v>15.02</v>
      </c>
      <c r="Y28" s="10">
        <v>15.45</v>
      </c>
      <c r="Z28" s="10">
        <v>14.84</v>
      </c>
      <c r="AA28" s="10">
        <v>15.14</v>
      </c>
      <c r="AB28" s="95">
        <v>24163800</v>
      </c>
      <c r="AC28" s="10">
        <v>15.14</v>
      </c>
      <c r="AE28" s="138">
        <f t="shared" si="4"/>
        <v>2.4357239512855289E-2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42549</v>
      </c>
      <c r="X29" s="10">
        <v>14.28</v>
      </c>
      <c r="Y29" s="10">
        <v>14.83</v>
      </c>
      <c r="Z29" s="10">
        <v>14.17</v>
      </c>
      <c r="AA29" s="10">
        <v>14.78</v>
      </c>
      <c r="AB29" s="95">
        <v>19105300</v>
      </c>
      <c r="AC29" s="10">
        <v>14.78</v>
      </c>
      <c r="AE29" s="138">
        <f t="shared" si="4"/>
        <v>8.1991215226939973E-2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42548</v>
      </c>
      <c r="X30" s="10">
        <v>14.3</v>
      </c>
      <c r="Y30" s="10">
        <v>14.42</v>
      </c>
      <c r="Z30" s="10">
        <v>13.12</v>
      </c>
      <c r="AA30" s="10">
        <v>13.66</v>
      </c>
      <c r="AB30" s="95">
        <v>23889600</v>
      </c>
      <c r="AC30" s="10">
        <v>13.66</v>
      </c>
      <c r="AE30" s="138">
        <f t="shared" si="4"/>
        <v>-6.3742289239204886E-2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42545</v>
      </c>
      <c r="X31" s="10">
        <v>14.31</v>
      </c>
      <c r="Y31" s="10">
        <v>14.94</v>
      </c>
      <c r="Z31" s="10">
        <v>14.28</v>
      </c>
      <c r="AA31" s="10">
        <v>14.59</v>
      </c>
      <c r="AB31" s="95">
        <v>33429500</v>
      </c>
      <c r="AC31" s="10">
        <v>14.59</v>
      </c>
      <c r="AE31" s="138">
        <f t="shared" si="4"/>
        <v>-4.4531761624099553E-2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42544</v>
      </c>
      <c r="X32" s="10">
        <v>15.02</v>
      </c>
      <c r="Y32" s="10">
        <v>15.28</v>
      </c>
      <c r="Z32" s="10">
        <v>14.78</v>
      </c>
      <c r="AA32" s="10">
        <v>15.27</v>
      </c>
      <c r="AB32" s="95">
        <v>19494000</v>
      </c>
      <c r="AC32" s="10">
        <v>15.27</v>
      </c>
      <c r="AE32" s="138">
        <f t="shared" si="4"/>
        <v>3.5254237288135482E-2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42543</v>
      </c>
      <c r="X33" s="10">
        <v>15.13</v>
      </c>
      <c r="Y33" s="10">
        <v>15.32</v>
      </c>
      <c r="Z33" s="10">
        <v>14.56</v>
      </c>
      <c r="AA33" s="10">
        <v>14.75</v>
      </c>
      <c r="AB33" s="95">
        <v>21281100</v>
      </c>
      <c r="AC33" s="10">
        <v>14.75</v>
      </c>
      <c r="AE33" s="138">
        <f t="shared" si="4"/>
        <v>-2.2531477799867417E-2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42542</v>
      </c>
      <c r="X34" s="10">
        <v>14.74</v>
      </c>
      <c r="Y34" s="10">
        <v>15.18</v>
      </c>
      <c r="Z34" s="10">
        <v>14.2</v>
      </c>
      <c r="AA34" s="10">
        <v>15.09</v>
      </c>
      <c r="AB34" s="95">
        <v>34467400</v>
      </c>
      <c r="AC34" s="10">
        <v>15.09</v>
      </c>
      <c r="AE34" s="138">
        <f t="shared" si="4"/>
        <v>4.2127071823204298E-2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42541</v>
      </c>
      <c r="X35" s="10">
        <v>13.85</v>
      </c>
      <c r="Y35" s="10">
        <v>14.73</v>
      </c>
      <c r="Z35" s="10">
        <v>13.83</v>
      </c>
      <c r="AA35" s="10">
        <v>14.48</v>
      </c>
      <c r="AB35" s="95">
        <v>39534000</v>
      </c>
      <c r="AC35" s="10">
        <v>14.48</v>
      </c>
      <c r="AE35" s="138">
        <f t="shared" si="4"/>
        <v>0.10030395136778125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42538</v>
      </c>
      <c r="X36" s="10">
        <v>12.98</v>
      </c>
      <c r="Y36" s="10">
        <v>13.38</v>
      </c>
      <c r="Z36" s="10">
        <v>12.93</v>
      </c>
      <c r="AA36" s="10">
        <v>13.16</v>
      </c>
      <c r="AB36" s="95">
        <v>17879400</v>
      </c>
      <c r="AC36" s="10">
        <v>13.16</v>
      </c>
      <c r="AE36" s="138">
        <f t="shared" si="4"/>
        <v>3.8674033149171283E-2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42537</v>
      </c>
      <c r="X37" s="10">
        <v>12.9</v>
      </c>
      <c r="Y37" s="10">
        <v>12.91</v>
      </c>
      <c r="Z37" s="10">
        <v>12.22</v>
      </c>
      <c r="AA37" s="10">
        <v>12.67</v>
      </c>
      <c r="AB37" s="95">
        <v>16743700</v>
      </c>
      <c r="AC37" s="10">
        <v>12.67</v>
      </c>
      <c r="AE37" s="138">
        <f t="shared" si="4"/>
        <v>-2.9862174578866862E-2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42536</v>
      </c>
      <c r="X38" s="10">
        <v>13.06</v>
      </c>
      <c r="Y38" s="10">
        <v>13.49</v>
      </c>
      <c r="Z38" s="10">
        <v>12.89</v>
      </c>
      <c r="AA38" s="10">
        <v>13.06</v>
      </c>
      <c r="AB38" s="95">
        <v>13088100</v>
      </c>
      <c r="AC38" s="10">
        <v>13.06</v>
      </c>
      <c r="AE38" s="138">
        <f t="shared" si="4"/>
        <v>-1.2849584278155746E-2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42535</v>
      </c>
      <c r="X39" s="10">
        <v>13.26</v>
      </c>
      <c r="Y39" s="10">
        <v>13.5</v>
      </c>
      <c r="Z39" s="10">
        <v>12.84</v>
      </c>
      <c r="AA39" s="10">
        <v>13.23</v>
      </c>
      <c r="AB39" s="95">
        <v>12107600</v>
      </c>
      <c r="AC39" s="10">
        <v>13.23</v>
      </c>
      <c r="AE39" s="138">
        <f t="shared" si="4"/>
        <v>-3.7650602409637912E-3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42534</v>
      </c>
      <c r="X40" s="10">
        <v>13.24</v>
      </c>
      <c r="Y40" s="10">
        <v>13.71</v>
      </c>
      <c r="Z40" s="10">
        <v>13.15</v>
      </c>
      <c r="AA40" s="10">
        <v>13.28</v>
      </c>
      <c r="AB40" s="95">
        <v>17032300</v>
      </c>
      <c r="AC40" s="10">
        <v>13.28</v>
      </c>
      <c r="AE40" s="138">
        <f t="shared" si="4"/>
        <v>-1.0432190760059634E-2</v>
      </c>
    </row>
    <row r="41" spans="2:31" ht="20.25" thickBot="1" x14ac:dyDescent="0.35">
      <c r="B41" s="532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25" t="s">
        <v>78</v>
      </c>
      <c r="P41" s="525"/>
      <c r="W41" s="133">
        <v>42531</v>
      </c>
      <c r="X41" s="10">
        <v>13.97</v>
      </c>
      <c r="Y41" s="10">
        <v>13.99</v>
      </c>
      <c r="Z41" s="10">
        <v>13.4</v>
      </c>
      <c r="AA41" s="10">
        <v>13.42</v>
      </c>
      <c r="AB41" s="95">
        <v>16791200</v>
      </c>
      <c r="AC41" s="10">
        <v>13.42</v>
      </c>
      <c r="AE41" s="138">
        <f t="shared" si="4"/>
        <v>-5.8906030855539915E-2</v>
      </c>
    </row>
    <row r="42" spans="2:31" ht="21" thickTop="1" thickBot="1" x14ac:dyDescent="0.35">
      <c r="B42" s="532"/>
      <c r="C42" s="4">
        <v>340</v>
      </c>
      <c r="D42" s="243">
        <v>17.8</v>
      </c>
      <c r="E42" s="3">
        <v>0</v>
      </c>
      <c r="F42" s="3">
        <f t="shared" si="1"/>
        <v>6052</v>
      </c>
      <c r="G42" s="531" t="s">
        <v>193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17.384999999999998</v>
      </c>
      <c r="T42" s="134" t="s">
        <v>92</v>
      </c>
      <c r="W42" s="133">
        <v>42530</v>
      </c>
      <c r="X42" s="10">
        <v>14.18</v>
      </c>
      <c r="Y42" s="10">
        <v>14.47</v>
      </c>
      <c r="Z42" s="10">
        <v>14.1</v>
      </c>
      <c r="AA42" s="10">
        <v>14.26</v>
      </c>
      <c r="AB42" s="95">
        <v>14134300</v>
      </c>
      <c r="AC42" s="10">
        <v>14.26</v>
      </c>
      <c r="AE42" s="138">
        <f t="shared" si="4"/>
        <v>-1.8582243633860962E-2</v>
      </c>
    </row>
    <row r="43" spans="2:31" ht="15.75" thickTop="1" x14ac:dyDescent="0.25">
      <c r="B43" s="1">
        <v>42312</v>
      </c>
      <c r="C43" s="17">
        <v>500</v>
      </c>
      <c r="D43" s="490">
        <v>17.559999999999999</v>
      </c>
      <c r="E43" s="75">
        <v>6.95</v>
      </c>
      <c r="F43" s="75">
        <f t="shared" si="1"/>
        <v>8786.9500000000007</v>
      </c>
      <c r="G43" s="531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17.2425</v>
      </c>
      <c r="T43" s="135" t="s">
        <v>98</v>
      </c>
      <c r="U43" s="129">
        <v>13.02</v>
      </c>
      <c r="W43" s="133">
        <v>42529</v>
      </c>
      <c r="X43" s="10">
        <v>15</v>
      </c>
      <c r="Y43" s="10">
        <v>15.15</v>
      </c>
      <c r="Z43" s="10">
        <v>14.42</v>
      </c>
      <c r="AA43" s="10">
        <v>14.53</v>
      </c>
      <c r="AB43" s="95">
        <v>20238300</v>
      </c>
      <c r="AC43" s="10">
        <v>14.53</v>
      </c>
      <c r="AE43" s="138">
        <f t="shared" si="4"/>
        <v>-6.1559507523939461E-3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31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17.099999999999998</v>
      </c>
      <c r="T44" s="136" t="s">
        <v>99</v>
      </c>
      <c r="U44" s="130">
        <v>13.23</v>
      </c>
      <c r="W44" s="133">
        <v>42528</v>
      </c>
      <c r="X44" s="10">
        <v>14.15</v>
      </c>
      <c r="Y44" s="10">
        <v>14.75</v>
      </c>
      <c r="Z44" s="10">
        <v>13.97</v>
      </c>
      <c r="AA44" s="10">
        <v>14.62</v>
      </c>
      <c r="AB44" s="95">
        <v>24184000</v>
      </c>
      <c r="AC44" s="10">
        <v>14.62</v>
      </c>
      <c r="AE44" s="138">
        <f t="shared" si="4"/>
        <v>4.7277936962750511E-2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31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16.9575</v>
      </c>
      <c r="T45" s="136" t="s">
        <v>100</v>
      </c>
      <c r="U45" s="130" t="s">
        <v>238</v>
      </c>
      <c r="W45" s="133">
        <v>42527</v>
      </c>
      <c r="X45" s="10">
        <v>13.65</v>
      </c>
      <c r="Y45" s="10">
        <v>14</v>
      </c>
      <c r="Z45" s="10">
        <v>13.52</v>
      </c>
      <c r="AA45" s="10">
        <v>13.96</v>
      </c>
      <c r="AB45" s="95">
        <v>16295400</v>
      </c>
      <c r="AC45" s="10">
        <v>13.96</v>
      </c>
      <c r="AE45" s="138">
        <f t="shared" si="4"/>
        <v>4.8048048048048075E-2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16.814999999999998</v>
      </c>
      <c r="T46" s="136" t="s">
        <v>101</v>
      </c>
      <c r="U46" s="130" t="s">
        <v>239</v>
      </c>
      <c r="W46" s="133">
        <v>42524</v>
      </c>
      <c r="X46" s="10">
        <v>13.36</v>
      </c>
      <c r="Y46" s="10">
        <v>13.57</v>
      </c>
      <c r="Z46" s="10">
        <v>13.07</v>
      </c>
      <c r="AA46" s="10">
        <v>13.32</v>
      </c>
      <c r="AB46" s="95">
        <v>14767900</v>
      </c>
      <c r="AC46" s="10">
        <v>13.32</v>
      </c>
      <c r="AE46" s="138">
        <f t="shared" si="4"/>
        <v>-4.484304932735439E-3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16.672499999999999</v>
      </c>
      <c r="T47" s="136" t="s">
        <v>102</v>
      </c>
      <c r="U47" s="130">
        <v>14.88</v>
      </c>
      <c r="W47" s="133">
        <v>42523</v>
      </c>
      <c r="X47" s="10">
        <v>13.01</v>
      </c>
      <c r="Y47" s="10">
        <v>13.47</v>
      </c>
      <c r="Z47" s="10">
        <v>12.96</v>
      </c>
      <c r="AA47" s="10">
        <v>13.38</v>
      </c>
      <c r="AB47" s="95">
        <v>13965100</v>
      </c>
      <c r="AC47" s="10">
        <v>13.38</v>
      </c>
      <c r="AE47" s="138">
        <f t="shared" si="4"/>
        <v>1.133786848072571E-2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16.529999999999998</v>
      </c>
      <c r="T48" s="136" t="s">
        <v>103</v>
      </c>
      <c r="U48" s="130">
        <v>2.3886599999999998</v>
      </c>
      <c r="W48" s="133">
        <v>42522</v>
      </c>
      <c r="X48" s="10">
        <v>12.88</v>
      </c>
      <c r="Y48" s="10">
        <v>13.32</v>
      </c>
      <c r="Z48" s="10">
        <v>12.68</v>
      </c>
      <c r="AA48" s="10">
        <v>13.23</v>
      </c>
      <c r="AB48" s="95">
        <v>17141800</v>
      </c>
      <c r="AC48" s="10">
        <v>13.23</v>
      </c>
      <c r="AE48" s="138">
        <f t="shared" si="4"/>
        <v>1.2241775057383331E-2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16.387499999999999</v>
      </c>
      <c r="T49" s="136" t="s">
        <v>123</v>
      </c>
      <c r="U49" s="130" t="s">
        <v>222</v>
      </c>
      <c r="W49" s="133">
        <v>42521</v>
      </c>
      <c r="X49" s="10">
        <v>13.11</v>
      </c>
      <c r="Y49" s="10">
        <v>13.59</v>
      </c>
      <c r="Z49" s="10">
        <v>12.94</v>
      </c>
      <c r="AA49" s="10">
        <v>13.07</v>
      </c>
      <c r="AB49" s="95">
        <v>19678400</v>
      </c>
      <c r="AC49" s="10">
        <v>13.07</v>
      </c>
      <c r="AE49" s="138">
        <f t="shared" si="4"/>
        <v>1.317829457364339E-2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16.244999999999997</v>
      </c>
      <c r="T50" s="136"/>
      <c r="U50" s="130"/>
      <c r="W50" s="133">
        <v>42517</v>
      </c>
      <c r="X50" s="10">
        <v>13.06</v>
      </c>
      <c r="Y50" s="10">
        <v>13.1</v>
      </c>
      <c r="Z50" s="10">
        <v>12.77</v>
      </c>
      <c r="AA50" s="10">
        <v>12.9</v>
      </c>
      <c r="AB50" s="95">
        <v>16136400</v>
      </c>
      <c r="AC50" s="10">
        <v>12.9</v>
      </c>
      <c r="AE50" s="138">
        <f t="shared" si="4"/>
        <v>-2.0501138952163989E-2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16.102499999999999</v>
      </c>
      <c r="T51" s="136" t="s">
        <v>105</v>
      </c>
      <c r="U51" s="130" t="s">
        <v>240</v>
      </c>
      <c r="W51" s="133">
        <v>42516</v>
      </c>
      <c r="X51" s="10">
        <v>13.8</v>
      </c>
      <c r="Y51" s="10">
        <v>13.89</v>
      </c>
      <c r="Z51" s="10">
        <v>13.17</v>
      </c>
      <c r="AA51" s="10">
        <v>13.17</v>
      </c>
      <c r="AB51" s="95">
        <v>17242000</v>
      </c>
      <c r="AC51" s="10">
        <v>13.17</v>
      </c>
      <c r="AE51" s="138">
        <f t="shared" si="4"/>
        <v>-2.7326440177252498E-2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15.96</v>
      </c>
      <c r="T52" s="136" t="s">
        <v>106</v>
      </c>
      <c r="U52" s="130" t="s">
        <v>241</v>
      </c>
      <c r="W52" s="133">
        <v>42515</v>
      </c>
      <c r="X52" s="10">
        <v>13.23</v>
      </c>
      <c r="Y52" s="10">
        <v>13.6</v>
      </c>
      <c r="Z52" s="10">
        <v>13.14</v>
      </c>
      <c r="AA52" s="10">
        <v>13.54</v>
      </c>
      <c r="AB52" s="95">
        <v>16999500</v>
      </c>
      <c r="AC52" s="10">
        <v>13.54</v>
      </c>
      <c r="AE52" s="138">
        <f t="shared" si="4"/>
        <v>3.9938556067588227E-2</v>
      </c>
    </row>
    <row r="53" spans="2:31" ht="15" customHeight="1" x14ac:dyDescent="0.25">
      <c r="B53" s="1">
        <v>42347</v>
      </c>
      <c r="C53" s="4">
        <v>500</v>
      </c>
      <c r="D53" s="243">
        <v>15.84</v>
      </c>
      <c r="E53" s="3">
        <v>0</v>
      </c>
      <c r="F53" s="3">
        <f t="shared" si="1"/>
        <v>7920</v>
      </c>
      <c r="G53" s="533" t="s">
        <v>195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15.817500000000001</v>
      </c>
      <c r="T53" s="136" t="s">
        <v>107</v>
      </c>
      <c r="U53" s="131">
        <v>16999922</v>
      </c>
      <c r="W53" s="133">
        <v>42514</v>
      </c>
      <c r="X53" s="10">
        <v>13.24</v>
      </c>
      <c r="Y53" s="10">
        <v>13.3</v>
      </c>
      <c r="Z53" s="10">
        <v>12.9</v>
      </c>
      <c r="AA53" s="10">
        <v>13.02</v>
      </c>
      <c r="AB53" s="95">
        <v>18427500</v>
      </c>
      <c r="AC53" s="10">
        <v>13.02</v>
      </c>
      <c r="AE53" s="138">
        <f t="shared" si="4"/>
        <v>-1.2888551933282755E-2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33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15.675000000000001</v>
      </c>
      <c r="T54" s="136" t="s">
        <v>110</v>
      </c>
      <c r="U54" s="131">
        <v>32437100</v>
      </c>
      <c r="W54" s="133">
        <v>42513</v>
      </c>
      <c r="X54" s="10">
        <v>12.87</v>
      </c>
      <c r="Y54" s="10">
        <v>13.29</v>
      </c>
      <c r="Z54" s="10">
        <v>12.83</v>
      </c>
      <c r="AA54" s="10">
        <v>13.19</v>
      </c>
      <c r="AB54" s="95">
        <v>16878200</v>
      </c>
      <c r="AC54" s="10">
        <v>13.19</v>
      </c>
      <c r="AE54" s="138">
        <f t="shared" si="4"/>
        <v>6.1022120518687828E-3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533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15.532500000000001</v>
      </c>
      <c r="T55" s="136" t="s">
        <v>108</v>
      </c>
      <c r="U55" s="130" t="s">
        <v>242</v>
      </c>
      <c r="W55" s="133">
        <v>42510</v>
      </c>
      <c r="X55" s="10">
        <v>12.83</v>
      </c>
      <c r="Y55" s="10">
        <v>13.11</v>
      </c>
      <c r="Z55" s="10">
        <v>12.58</v>
      </c>
      <c r="AA55" s="10">
        <v>13.11</v>
      </c>
      <c r="AB55" s="95">
        <v>17178200</v>
      </c>
      <c r="AC55" s="10">
        <v>13.11</v>
      </c>
      <c r="AE55" s="138">
        <f t="shared" si="4"/>
        <v>2.9042386185243352E-2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15.39</v>
      </c>
      <c r="T56" s="136" t="s">
        <v>111</v>
      </c>
      <c r="U56" s="130" t="s">
        <v>130</v>
      </c>
      <c r="W56" s="133">
        <v>42509</v>
      </c>
      <c r="X56" s="10">
        <v>12.35</v>
      </c>
      <c r="Y56" s="10">
        <v>12.88</v>
      </c>
      <c r="Z56" s="10">
        <v>12.11</v>
      </c>
      <c r="AA56" s="10">
        <v>12.74</v>
      </c>
      <c r="AB56" s="95">
        <v>17303600</v>
      </c>
      <c r="AC56" s="10">
        <v>12.74</v>
      </c>
      <c r="AE56" s="138">
        <f t="shared" si="4"/>
        <v>6.3191153238546516E-3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15.2475</v>
      </c>
      <c r="T57" s="136" t="s">
        <v>112</v>
      </c>
      <c r="U57" s="130">
        <v>-3.39</v>
      </c>
      <c r="W57" s="133">
        <v>42508</v>
      </c>
      <c r="X57" s="10">
        <v>12.78</v>
      </c>
      <c r="Y57" s="10">
        <v>13.08</v>
      </c>
      <c r="Z57" s="10">
        <v>12.56</v>
      </c>
      <c r="AA57" s="10">
        <v>12.66</v>
      </c>
      <c r="AB57" s="95">
        <v>15051500</v>
      </c>
      <c r="AC57" s="10">
        <v>12.66</v>
      </c>
      <c r="AE57" s="138">
        <f t="shared" si="4"/>
        <v>-1.5552099533436947E-2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15.105</v>
      </c>
      <c r="T58" s="136" t="s">
        <v>109</v>
      </c>
      <c r="U58" s="130" t="s">
        <v>237</v>
      </c>
      <c r="W58" s="133">
        <v>42507</v>
      </c>
      <c r="X58" s="10">
        <v>12.9</v>
      </c>
      <c r="Y58" s="10">
        <v>13.2</v>
      </c>
      <c r="Z58" s="10">
        <v>12.68</v>
      </c>
      <c r="AA58" s="10">
        <v>12.86</v>
      </c>
      <c r="AB58" s="95">
        <v>16167200</v>
      </c>
      <c r="AC58" s="10">
        <v>12.86</v>
      </c>
      <c r="AE58" s="138">
        <f t="shared" si="4"/>
        <v>6.259780907668322E-3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14.9625</v>
      </c>
      <c r="W59" s="133">
        <v>42506</v>
      </c>
      <c r="X59" s="10">
        <v>12.77</v>
      </c>
      <c r="Y59" s="10">
        <v>13.13</v>
      </c>
      <c r="Z59" s="10">
        <v>12.7</v>
      </c>
      <c r="AA59" s="10">
        <v>12.78</v>
      </c>
      <c r="AB59" s="95">
        <v>17294200</v>
      </c>
      <c r="AC59" s="10">
        <v>12.78</v>
      </c>
      <c r="AE59" s="138" t="e">
        <f t="shared" si="4"/>
        <v>#DIV/0!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14.82</v>
      </c>
      <c r="W60" s="133">
        <v>42506</v>
      </c>
      <c r="X60" s="10" t="s">
        <v>160</v>
      </c>
      <c r="Y60" s="10"/>
      <c r="Z60" s="10"/>
      <c r="AA60" s="10"/>
      <c r="AB60" s="95"/>
      <c r="AC60" s="10"/>
      <c r="AE60" s="138">
        <f t="shared" si="4"/>
        <v>-1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14.6775</v>
      </c>
      <c r="W61" s="133">
        <v>42503</v>
      </c>
      <c r="X61" s="10">
        <v>12.24</v>
      </c>
      <c r="Y61" s="10">
        <v>12.61</v>
      </c>
      <c r="Z61" s="10">
        <v>12.18</v>
      </c>
      <c r="AA61" s="10">
        <v>12.3</v>
      </c>
      <c r="AB61" s="95">
        <v>15099200</v>
      </c>
      <c r="AC61" s="10">
        <v>12.25</v>
      </c>
      <c r="AE61" s="138">
        <f t="shared" si="4"/>
        <v>-2.4429967426710109E-3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32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14.535</v>
      </c>
      <c r="W62" s="133">
        <v>42502</v>
      </c>
      <c r="X62" s="10">
        <v>12.73</v>
      </c>
      <c r="Y62" s="10">
        <v>13.14</v>
      </c>
      <c r="Z62" s="10">
        <v>12.16</v>
      </c>
      <c r="AA62" s="10">
        <v>12.33</v>
      </c>
      <c r="AB62" s="95">
        <v>25073700</v>
      </c>
      <c r="AC62" s="10">
        <v>12.28</v>
      </c>
      <c r="AE62" s="138">
        <f t="shared" si="4"/>
        <v>-1.0475423045930743E-2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32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14.3925</v>
      </c>
      <c r="W63" s="133">
        <v>42501</v>
      </c>
      <c r="X63" s="10">
        <v>11.91</v>
      </c>
      <c r="Y63" s="10">
        <v>12.83</v>
      </c>
      <c r="Z63" s="10">
        <v>11.58</v>
      </c>
      <c r="AA63" s="10">
        <v>12.46</v>
      </c>
      <c r="AB63" s="95">
        <v>22812100</v>
      </c>
      <c r="AC63" s="10">
        <v>12.41</v>
      </c>
      <c r="AE63" s="138">
        <f t="shared" si="4"/>
        <v>4.3734230445752642E-2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14.25</v>
      </c>
      <c r="W64" s="133">
        <v>42500</v>
      </c>
      <c r="X64" s="10">
        <v>11.54</v>
      </c>
      <c r="Y64" s="10">
        <v>11.95</v>
      </c>
      <c r="Z64" s="10">
        <v>11.46</v>
      </c>
      <c r="AA64" s="10">
        <v>11.94</v>
      </c>
      <c r="AB64" s="95">
        <v>17102300</v>
      </c>
      <c r="AC64" s="10">
        <v>11.89</v>
      </c>
      <c r="AE64" s="138">
        <f t="shared" si="4"/>
        <v>4.3898156277436318E-2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14.1075</v>
      </c>
      <c r="W65" s="133">
        <v>42499</v>
      </c>
      <c r="X65" s="10">
        <v>11.89</v>
      </c>
      <c r="Y65" s="10">
        <v>11.96</v>
      </c>
      <c r="Z65" s="10">
        <v>11.28</v>
      </c>
      <c r="AA65" s="10">
        <v>11.44</v>
      </c>
      <c r="AB65" s="95">
        <v>21257600</v>
      </c>
      <c r="AC65" s="10">
        <v>11.39</v>
      </c>
      <c r="AE65" s="138">
        <f t="shared" si="4"/>
        <v>-4.9248747913188673E-2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13.965</v>
      </c>
      <c r="W66" s="133">
        <v>42496</v>
      </c>
      <c r="X66" s="10">
        <v>11.87</v>
      </c>
      <c r="Y66" s="10">
        <v>12.54</v>
      </c>
      <c r="Z66" s="10">
        <v>11.78</v>
      </c>
      <c r="AA66" s="10">
        <v>12.03</v>
      </c>
      <c r="AB66" s="95">
        <v>21632800</v>
      </c>
      <c r="AC66" s="10">
        <v>11.98</v>
      </c>
      <c r="AE66" s="138">
        <f t="shared" si="4"/>
        <v>-3.3277870216305017E-3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13.8225</v>
      </c>
      <c r="W67" s="133">
        <v>42495</v>
      </c>
      <c r="X67" s="10">
        <v>12.75</v>
      </c>
      <c r="Y67" s="10">
        <v>12.81</v>
      </c>
      <c r="Z67" s="10">
        <v>11.89</v>
      </c>
      <c r="AA67" s="10">
        <v>12.07</v>
      </c>
      <c r="AB67" s="95">
        <v>26903700</v>
      </c>
      <c r="AC67" s="10">
        <v>12.02</v>
      </c>
      <c r="AE67" s="138">
        <f t="shared" si="4"/>
        <v>-8.2508250825081841E-3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13.68</v>
      </c>
      <c r="W68" s="133">
        <v>42494</v>
      </c>
      <c r="X68" s="10">
        <v>12.85</v>
      </c>
      <c r="Y68" s="10">
        <v>13.08</v>
      </c>
      <c r="Z68" s="10">
        <v>12.09</v>
      </c>
      <c r="AA68" s="10">
        <v>12.17</v>
      </c>
      <c r="AB68" s="95">
        <v>25287700</v>
      </c>
      <c r="AC68" s="10">
        <v>12.12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13.5375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13.395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13.252500000000001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13.110000000000001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32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12.967500000000001</v>
      </c>
    </row>
    <row r="74" spans="1:31" ht="15" customHeight="1" x14ac:dyDescent="0.25">
      <c r="B74" s="531" t="s">
        <v>189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32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12.825000000000001</v>
      </c>
    </row>
    <row r="75" spans="1:31" x14ac:dyDescent="0.25">
      <c r="B75" s="531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12.682500000000001</v>
      </c>
    </row>
    <row r="76" spans="1:31" x14ac:dyDescent="0.25">
      <c r="B76" s="531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12.540000000000001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12.397499999999999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12.254999999999999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12.112499999999999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32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35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32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32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31" t="s">
        <v>205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27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27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27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27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30" t="s">
        <v>263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30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30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27" t="s">
        <v>214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27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27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27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28" t="s">
        <v>220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28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28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27" t="s">
        <v>226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27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27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60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29" t="s">
        <v>286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4">
        <v>500</v>
      </c>
      <c r="D148" s="243">
        <v>14.62</v>
      </c>
      <c r="E148" s="3">
        <v>0</v>
      </c>
      <c r="F148" s="3">
        <f t="shared" ref="F148:F154" si="14">C148*D148+E148</f>
        <v>7310</v>
      </c>
      <c r="G148" s="529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29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29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526" t="s">
        <v>323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526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7">
        <v>200</v>
      </c>
      <c r="D153" s="79">
        <v>14.33</v>
      </c>
      <c r="E153" s="44">
        <v>-1</v>
      </c>
      <c r="F153" s="44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4">
        <v>60</v>
      </c>
      <c r="D154" s="80">
        <v>14.58</v>
      </c>
      <c r="E154" s="2">
        <v>0</v>
      </c>
      <c r="F154" s="2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7">
        <v>140</v>
      </c>
      <c r="D155" s="79">
        <v>14.65</v>
      </c>
      <c r="E155" s="44">
        <v>0</v>
      </c>
      <c r="F155" s="44">
        <f t="shared" ref="F155:F157" si="15">C155*D155+E155</f>
        <v>2051</v>
      </c>
      <c r="G155" s="1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1" x14ac:dyDescent="0.25">
      <c r="B156" s="1">
        <v>42573</v>
      </c>
      <c r="C156" s="7">
        <v>140</v>
      </c>
      <c r="D156" s="79">
        <v>14.08</v>
      </c>
      <c r="E156" s="44">
        <v>0</v>
      </c>
      <c r="F156" s="44">
        <f t="shared" si="15"/>
        <v>1971.2</v>
      </c>
      <c r="G156" s="1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1" x14ac:dyDescent="0.25">
      <c r="B157" s="1">
        <v>42576</v>
      </c>
      <c r="C157" s="7">
        <v>200</v>
      </c>
      <c r="D157" s="79">
        <v>13.55</v>
      </c>
      <c r="E157" s="44">
        <v>0</v>
      </c>
      <c r="F157" s="44">
        <f t="shared" si="15"/>
        <v>2710</v>
      </c>
      <c r="G157" s="1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1" x14ac:dyDescent="0.25">
      <c r="B158" s="1">
        <v>42578</v>
      </c>
      <c r="C158" s="7">
        <v>200</v>
      </c>
      <c r="D158" s="79">
        <v>13.18</v>
      </c>
      <c r="E158" s="44">
        <v>0</v>
      </c>
      <c r="F158" s="44">
        <f t="shared" ref="F158:F162" si="16">C158*D158+E158</f>
        <v>2636</v>
      </c>
      <c r="G158" s="1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1" x14ac:dyDescent="0.25">
      <c r="B159" s="1">
        <v>42580</v>
      </c>
      <c r="C159" s="4">
        <v>200</v>
      </c>
      <c r="D159" s="243">
        <v>13.15</v>
      </c>
      <c r="E159" s="3">
        <v>0</v>
      </c>
      <c r="F159" s="3">
        <f t="shared" si="16"/>
        <v>2630</v>
      </c>
      <c r="G159" s="1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</row>
    <row r="160" spans="1:11" x14ac:dyDescent="0.25">
      <c r="B160" s="1">
        <v>42583</v>
      </c>
      <c r="C160" s="7">
        <v>200</v>
      </c>
      <c r="D160" s="79">
        <v>13.02</v>
      </c>
      <c r="E160" s="44">
        <v>0</v>
      </c>
      <c r="F160" s="44">
        <f t="shared" si="16"/>
        <v>2604</v>
      </c>
      <c r="G160" s="1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1:13" x14ac:dyDescent="0.25">
      <c r="B161" s="1">
        <v>42584</v>
      </c>
      <c r="C161" s="4">
        <v>200</v>
      </c>
      <c r="D161" s="243">
        <v>12.68</v>
      </c>
      <c r="E161" s="3">
        <v>0</v>
      </c>
      <c r="F161" s="3">
        <f t="shared" si="16"/>
        <v>2536</v>
      </c>
    </row>
    <row r="162" spans="1:13" x14ac:dyDescent="0.25">
      <c r="B162" s="1">
        <v>42585</v>
      </c>
      <c r="C162" s="7">
        <v>400</v>
      </c>
      <c r="D162" s="79">
        <v>13.38</v>
      </c>
      <c r="E162" s="44">
        <v>0</v>
      </c>
      <c r="F162" s="44">
        <f t="shared" si="16"/>
        <v>5352</v>
      </c>
    </row>
    <row r="174" spans="1:13" x14ac:dyDescent="0.25">
      <c r="A174" s="32" t="s">
        <v>81</v>
      </c>
      <c r="B174" s="14"/>
      <c r="C174" s="73">
        <f>SUM(C2:C173)</f>
        <v>104934</v>
      </c>
      <c r="D174" s="18"/>
      <c r="E174" s="18"/>
      <c r="F174" s="18">
        <f>SUM(F2:F173)</f>
        <v>1452094.0589999999</v>
      </c>
      <c r="G174" s="14"/>
      <c r="H174" s="73">
        <f>SUM(H2:H173)</f>
        <v>95796</v>
      </c>
      <c r="I174" s="81"/>
      <c r="J174" s="18"/>
      <c r="K174" s="18">
        <f>SUM(K2:K173)</f>
        <v>1298118.3500000006</v>
      </c>
      <c r="L174" s="14"/>
      <c r="M174" s="18">
        <f>SUM(M2:M12)</f>
        <v>1818.3000000000002</v>
      </c>
    </row>
    <row r="175" spans="1:13" ht="15.75" thickBot="1" x14ac:dyDescent="0.3">
      <c r="A175" s="363" t="s">
        <v>206</v>
      </c>
      <c r="B175" s="364"/>
      <c r="C175" s="365">
        <f>SumByColor($A$175, C2:C173)</f>
        <v>95796</v>
      </c>
      <c r="D175" s="365"/>
      <c r="E175" s="365"/>
      <c r="F175" s="366">
        <f>SumByColor($A$175, F2:F173)</f>
        <v>1297913</v>
      </c>
      <c r="G175" s="365"/>
      <c r="H175" s="365">
        <f>SumByColor($A$175, H2:H173)</f>
        <v>95796</v>
      </c>
      <c r="I175" s="365"/>
      <c r="J175" s="365"/>
      <c r="K175" s="366">
        <f>SumByColor($A$175, K2:K173)</f>
        <v>1298134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7">IF(C178=0, 0,D178*C178)</f>
        <v>68120</v>
      </c>
      <c r="H178" s="234">
        <f t="shared" ref="H178:H184" si="18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7"/>
        <v>0</v>
      </c>
      <c r="H179" s="234" t="str">
        <f t="shared" si="18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7"/>
        <v>0</v>
      </c>
      <c r="H180" s="234" t="str">
        <f t="shared" si="18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7"/>
        <v>75600</v>
      </c>
      <c r="H181" s="234">
        <f t="shared" si="18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7"/>
        <v>0</v>
      </c>
      <c r="H182" s="234" t="str">
        <f t="shared" si="18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7"/>
        <v>82367.28</v>
      </c>
      <c r="H183" s="234">
        <f t="shared" si="18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7"/>
        <v>0</v>
      </c>
      <c r="H184" s="234" t="str">
        <f t="shared" si="18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9">C186*(E186-D186)</f>
        <v>-29017.579999999998</v>
      </c>
      <c r="G186" s="40">
        <f t="shared" ref="G186:G215" si="20">D186*C186</f>
        <v>91417.900000000009</v>
      </c>
      <c r="H186" s="233">
        <f t="shared" ref="H186:H215" si="21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9"/>
        <v>-31836.35999999999</v>
      </c>
      <c r="G187" s="40">
        <f t="shared" si="20"/>
        <v>101483.62</v>
      </c>
      <c r="H187" s="233">
        <f t="shared" si="21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9"/>
        <v>-34009.06</v>
      </c>
      <c r="G188" s="40">
        <f t="shared" si="20"/>
        <v>109418.42</v>
      </c>
      <c r="H188" s="233">
        <f t="shared" si="21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9"/>
        <v>-34008.920000000006</v>
      </c>
      <c r="G189" s="40">
        <f t="shared" si="20"/>
        <v>101358.28000000001</v>
      </c>
      <c r="H189" s="233">
        <f t="shared" si="21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9"/>
        <v>-39575.879999999997</v>
      </c>
      <c r="G190" s="40">
        <f t="shared" si="20"/>
        <v>108716.71999999999</v>
      </c>
      <c r="H190" s="233">
        <f t="shared" si="21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9"/>
        <v>-38892.919999999991</v>
      </c>
      <c r="G191" s="40">
        <f t="shared" si="20"/>
        <v>110180.68</v>
      </c>
      <c r="H191" s="233">
        <f t="shared" si="21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9"/>
        <v>-39649.22</v>
      </c>
      <c r="G192" s="40">
        <f t="shared" si="20"/>
        <v>101232.94</v>
      </c>
      <c r="H192" s="233">
        <f t="shared" si="21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9"/>
        <v>-41303.94</v>
      </c>
      <c r="G193" s="40">
        <f t="shared" si="20"/>
        <v>94046.46</v>
      </c>
      <c r="H193" s="233">
        <f t="shared" si="21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9"/>
        <v>-42699.159999999996</v>
      </c>
      <c r="G194" s="40">
        <f t="shared" si="20"/>
        <v>101024.04</v>
      </c>
      <c r="H194" s="233">
        <f t="shared" si="21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9"/>
        <v>-47715.600000000006</v>
      </c>
      <c r="G195" s="40">
        <f t="shared" si="20"/>
        <v>107500.44</v>
      </c>
      <c r="H195" s="233">
        <f t="shared" si="21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9"/>
        <v>-46809.119999999995</v>
      </c>
      <c r="G196" s="40">
        <f t="shared" si="20"/>
        <v>113864.21999999999</v>
      </c>
      <c r="H196" s="233">
        <f t="shared" si="21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9"/>
        <v>-47694.16</v>
      </c>
      <c r="G197" s="40">
        <f t="shared" si="20"/>
        <v>126525.44</v>
      </c>
      <c r="H197" s="233">
        <f t="shared" si="21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9"/>
        <v>-48128</v>
      </c>
      <c r="G198" s="40">
        <f t="shared" si="20"/>
        <v>129280</v>
      </c>
      <c r="H198" s="233">
        <f t="shared" si="21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9"/>
        <v>-48155.4</v>
      </c>
      <c r="G199" s="40">
        <f t="shared" si="20"/>
        <v>113708.88</v>
      </c>
      <c r="H199" s="233">
        <f t="shared" si="21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9"/>
        <v>-42239.579999999994</v>
      </c>
      <c r="G200" s="40">
        <f t="shared" si="20"/>
        <v>100564.46</v>
      </c>
      <c r="H200" s="233">
        <f t="shared" si="21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9"/>
        <v>-42072.46</v>
      </c>
      <c r="G201" s="40">
        <f t="shared" si="20"/>
        <v>100397.34000000001</v>
      </c>
      <c r="H201" s="233">
        <f t="shared" si="21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9"/>
        <v>-45543.96</v>
      </c>
      <c r="G202" s="40">
        <f t="shared" si="20"/>
        <v>132958.98000000001</v>
      </c>
      <c r="H202" s="233">
        <f t="shared" si="21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9"/>
        <v>-45906.62000000001</v>
      </c>
      <c r="G203" s="40">
        <f t="shared" si="20"/>
        <v>158980.96</v>
      </c>
      <c r="H203" s="233">
        <f t="shared" si="21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9"/>
        <v>-51777.299999999996</v>
      </c>
      <c r="G204" s="40">
        <f t="shared" si="20"/>
        <v>171590.94</v>
      </c>
      <c r="H204" s="233">
        <f t="shared" si="21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9"/>
        <v>-49664.193999999989</v>
      </c>
      <c r="G205" s="40">
        <f t="shared" si="20"/>
        <v>158920.21399999998</v>
      </c>
      <c r="H205" s="233">
        <f t="shared" si="21"/>
        <v>-0.3125102386282968</v>
      </c>
      <c r="I205" s="40"/>
    </row>
    <row r="206" spans="2:9" x14ac:dyDescent="0.25">
      <c r="B206" s="195">
        <v>42374</v>
      </c>
      <c r="C206" s="449">
        <v>7678</v>
      </c>
      <c r="D206" s="450">
        <v>19.010000000000002</v>
      </c>
      <c r="E206" s="40">
        <v>12.76</v>
      </c>
      <c r="F206" s="40">
        <f t="shared" si="19"/>
        <v>-47987.500000000015</v>
      </c>
      <c r="G206" s="40">
        <f t="shared" si="20"/>
        <v>145958.78</v>
      </c>
      <c r="H206" s="233">
        <f t="shared" si="21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9"/>
        <v>-47702.966000000015</v>
      </c>
      <c r="G207" s="40">
        <f t="shared" si="20"/>
        <v>158434.24600000001</v>
      </c>
      <c r="H207" s="233">
        <f t="shared" si="21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9"/>
        <v>-60971.399999999987</v>
      </c>
      <c r="G208" s="40">
        <f t="shared" si="20"/>
        <v>170139.24</v>
      </c>
      <c r="H208" s="233">
        <f t="shared" si="21"/>
        <v>-0.35836177474402725</v>
      </c>
      <c r="I208" s="346"/>
    </row>
    <row r="209" spans="2:9" x14ac:dyDescent="0.25">
      <c r="B209" s="195">
        <v>42398</v>
      </c>
      <c r="C209" s="452">
        <v>9278</v>
      </c>
      <c r="D209" s="453">
        <v>17.93</v>
      </c>
      <c r="E209" s="40">
        <v>9.56</v>
      </c>
      <c r="F209" s="40">
        <f t="shared" si="19"/>
        <v>-77656.859999999986</v>
      </c>
      <c r="G209" s="40">
        <f t="shared" si="20"/>
        <v>166354.54</v>
      </c>
      <c r="H209" s="233">
        <f t="shared" si="21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9"/>
        <v>-85359.959999999992</v>
      </c>
      <c r="G210" s="40">
        <f t="shared" si="20"/>
        <v>169945.68</v>
      </c>
      <c r="H210" s="233">
        <f t="shared" si="21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9"/>
        <v>-100883.47199999999</v>
      </c>
      <c r="G211" s="40">
        <f t="shared" si="20"/>
        <v>169887.61199999999</v>
      </c>
      <c r="H211" s="233">
        <f t="shared" si="21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9"/>
        <v>-97651.02</v>
      </c>
      <c r="G212" s="40">
        <f t="shared" si="20"/>
        <v>169848.9</v>
      </c>
      <c r="H212" s="233">
        <f t="shared" si="21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9"/>
        <v>-97231.731999999989</v>
      </c>
      <c r="G213" s="40">
        <f t="shared" si="20"/>
        <v>165974.95199999999</v>
      </c>
      <c r="H213" s="233">
        <f t="shared" si="21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9"/>
        <v>-97234.865999999995</v>
      </c>
      <c r="G214" s="40">
        <f t="shared" si="20"/>
        <v>169723.08599999998</v>
      </c>
      <c r="H214" s="233">
        <f t="shared" si="21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9"/>
        <v>-104373.632</v>
      </c>
      <c r="G215" s="40">
        <f t="shared" si="20"/>
        <v>197776.17199999999</v>
      </c>
      <c r="H215" s="233">
        <f t="shared" si="21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9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9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22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22"/>
        <v>-94166.28</v>
      </c>
      <c r="G219" s="40">
        <f t="shared" ref="G219:G226" si="23">IF(C219=0, 0,D219*C219)</f>
        <v>165387.56</v>
      </c>
      <c r="H219" s="234">
        <f t="shared" ref="H219:H226" si="24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1">
        <v>19.245999999999999</v>
      </c>
      <c r="E220" s="40">
        <v>8</v>
      </c>
      <c r="F220" s="238">
        <f t="shared" si="22"/>
        <v>-91969.787999999986</v>
      </c>
      <c r="G220" s="40">
        <f t="shared" si="23"/>
        <v>157393.788</v>
      </c>
      <c r="H220" s="234">
        <f t="shared" si="24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22"/>
        <v>-91154.7</v>
      </c>
      <c r="G221" s="40">
        <f t="shared" si="23"/>
        <v>145246.5</v>
      </c>
      <c r="H221" s="234">
        <f t="shared" si="24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22"/>
        <v>-92238.461999999985</v>
      </c>
      <c r="G222" s="40">
        <f t="shared" si="23"/>
        <v>161141.78199999998</v>
      </c>
      <c r="H222" s="234">
        <f t="shared" si="24"/>
        <v>-0.57240562227368186</v>
      </c>
      <c r="I222" s="346"/>
    </row>
    <row r="223" spans="2:9" x14ac:dyDescent="0.25">
      <c r="B223" s="195">
        <v>42429</v>
      </c>
      <c r="C223" s="449">
        <v>7678</v>
      </c>
      <c r="D223" s="450">
        <v>19.876000000000001</v>
      </c>
      <c r="E223" s="40">
        <v>8.2100000000000009</v>
      </c>
      <c r="F223" s="238">
        <f t="shared" si="22"/>
        <v>-89571.54800000001</v>
      </c>
      <c r="G223" s="40">
        <f t="shared" si="23"/>
        <v>152607.92800000001</v>
      </c>
      <c r="H223" s="234">
        <f t="shared" si="24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22"/>
        <v>-89550.534</v>
      </c>
      <c r="G224" s="40">
        <f t="shared" si="23"/>
        <v>169006.91400000002</v>
      </c>
      <c r="H224" s="234">
        <f t="shared" si="24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22"/>
        <v>-89678.238000000012</v>
      </c>
      <c r="G225" s="40">
        <f t="shared" si="23"/>
        <v>165029.61800000002</v>
      </c>
      <c r="H225" s="234">
        <f t="shared" si="24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22"/>
        <v>-89511.821999999986</v>
      </c>
      <c r="G226" s="40">
        <f t="shared" si="23"/>
        <v>168968.20199999999</v>
      </c>
      <c r="H226" s="234">
        <f t="shared" si="24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5">C227*(E227-D227)</f>
        <v>-89632.347999999984</v>
      </c>
      <c r="G227" s="40">
        <f t="shared" ref="G227:G238" si="26">IF(C227=0, 0,D227*C227)</f>
        <v>164983.728</v>
      </c>
      <c r="H227" s="234">
        <f t="shared" ref="H227:H278" si="27">IF(C227=0, D227, (E227-D227)/D227)</f>
        <v>-0.54327992879394738</v>
      </c>
      <c r="I227" s="346" t="s">
        <v>198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5"/>
        <v>-93372.971999999994</v>
      </c>
      <c r="G228" s="40">
        <f t="shared" si="26"/>
        <v>172761.372</v>
      </c>
      <c r="H228" s="234">
        <f t="shared" si="27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5"/>
        <v>-91747.44</v>
      </c>
      <c r="G229" s="40">
        <f t="shared" si="26"/>
        <v>168784.32</v>
      </c>
      <c r="H229" s="234">
        <f t="shared" si="27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2">
        <v>18.405999999999999</v>
      </c>
      <c r="E230" s="40">
        <v>9.1</v>
      </c>
      <c r="F230" s="238">
        <f t="shared" si="25"/>
        <v>-80757.467999999993</v>
      </c>
      <c r="G230" s="40">
        <f t="shared" si="26"/>
        <v>159727.26799999998</v>
      </c>
      <c r="H230" s="234">
        <f t="shared" si="27"/>
        <v>-0.50559600130392257</v>
      </c>
      <c r="I230" s="346"/>
    </row>
    <row r="231" spans="2:9" x14ac:dyDescent="0.25">
      <c r="B231" s="195">
        <v>42432</v>
      </c>
      <c r="C231" s="456">
        <v>9278</v>
      </c>
      <c r="D231" s="457">
        <v>17.771999999999998</v>
      </c>
      <c r="E231" s="40">
        <v>9.9700000000000006</v>
      </c>
      <c r="F231" s="238">
        <f t="shared" si="25"/>
        <v>-72386.955999999976</v>
      </c>
      <c r="G231" s="40">
        <f t="shared" si="26"/>
        <v>164888.61599999998</v>
      </c>
      <c r="H231" s="234">
        <f t="shared" si="27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5"/>
        <v>-62830.615999999987</v>
      </c>
      <c r="G232" s="40">
        <f t="shared" si="26"/>
        <v>164888.61599999998</v>
      </c>
      <c r="H232" s="234">
        <f t="shared" si="27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5"/>
        <v>-66133.584000000003</v>
      </c>
      <c r="G233" s="40">
        <f t="shared" si="26"/>
        <v>164387.60399999999</v>
      </c>
      <c r="H233" s="234">
        <f t="shared" si="27"/>
        <v>-0.40230274297324753</v>
      </c>
      <c r="I233" s="346" t="s">
        <v>197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5"/>
        <v>-61160.576000000008</v>
      </c>
      <c r="G234" s="40">
        <f t="shared" si="26"/>
        <v>164331.93599999999</v>
      </c>
      <c r="H234" s="234">
        <f t="shared" si="27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2">
        <v>17.704999999999998</v>
      </c>
      <c r="E235" s="40">
        <v>11.45</v>
      </c>
      <c r="F235" s="238">
        <f t="shared" si="25"/>
        <v>-58033.889999999992</v>
      </c>
      <c r="G235" s="40">
        <f t="shared" si="26"/>
        <v>164266.99</v>
      </c>
      <c r="H235" s="234">
        <f t="shared" si="27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2">
        <v>18.734999999999999</v>
      </c>
      <c r="E236" s="40">
        <v>11.63</v>
      </c>
      <c r="F236" s="238">
        <f t="shared" si="25"/>
        <v>-56328.439999999988</v>
      </c>
      <c r="G236" s="40">
        <f t="shared" si="26"/>
        <v>148531.07999999999</v>
      </c>
      <c r="H236" s="234">
        <f t="shared" si="27"/>
        <v>-0.37923672271150249</v>
      </c>
      <c r="I236" s="360"/>
    </row>
    <row r="237" spans="2:9" x14ac:dyDescent="0.25">
      <c r="B237" s="195">
        <v>42450</v>
      </c>
      <c r="C237" s="456">
        <v>9278</v>
      </c>
      <c r="D237" s="457">
        <v>17.670000000000002</v>
      </c>
      <c r="E237" s="40">
        <v>11.43</v>
      </c>
      <c r="F237" s="238">
        <f t="shared" si="25"/>
        <v>-57894.720000000016</v>
      </c>
      <c r="G237" s="40">
        <f t="shared" si="26"/>
        <v>163942.26</v>
      </c>
      <c r="H237" s="234">
        <f t="shared" si="27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2">
        <v>17.428000000000001</v>
      </c>
      <c r="E238" s="40">
        <v>11.31</v>
      </c>
      <c r="F238" s="238">
        <f t="shared" si="25"/>
        <v>-58904.104000000007</v>
      </c>
      <c r="G238" s="40">
        <f t="shared" si="26"/>
        <v>167796.78400000001</v>
      </c>
      <c r="H238" s="234">
        <f t="shared" si="27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8">C239*(E239-D239)</f>
        <v>-69928.587000000014</v>
      </c>
      <c r="G239" s="40">
        <f t="shared" ref="G239:G278" si="29">IF(C239=0, 0,D239*C239)</f>
        <v>206559.20699999999</v>
      </c>
      <c r="H239" s="234">
        <f t="shared" si="27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8"/>
        <v>-66302.234199999992</v>
      </c>
      <c r="G240" s="40">
        <f t="shared" si="29"/>
        <v>185059.5742</v>
      </c>
      <c r="H240" s="234">
        <f t="shared" si="27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2">
        <v>17.311699999999998</v>
      </c>
      <c r="E241" s="40">
        <v>11.14</v>
      </c>
      <c r="F241" s="238">
        <f t="shared" si="28"/>
        <v>-59729.712599999977</v>
      </c>
      <c r="G241" s="40">
        <f t="shared" si="29"/>
        <v>167542.63259999998</v>
      </c>
      <c r="H241" s="234">
        <f t="shared" si="27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8"/>
        <v>-65233.308000000005</v>
      </c>
      <c r="G242" s="40">
        <f t="shared" si="29"/>
        <v>188202.64799999999</v>
      </c>
      <c r="H242" s="234">
        <f t="shared" si="27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8"/>
        <v>-64902.603600000009</v>
      </c>
      <c r="G243" s="40">
        <f t="shared" si="29"/>
        <v>167102.28360000002</v>
      </c>
      <c r="H243" s="234">
        <f t="shared" si="27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8"/>
        <v>-66452.265800000008</v>
      </c>
      <c r="G244" s="40">
        <f t="shared" si="29"/>
        <v>168143.46580000001</v>
      </c>
      <c r="H244" s="234">
        <f t="shared" si="27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8"/>
        <v>-64191.270599999982</v>
      </c>
      <c r="G245" s="40">
        <f t="shared" si="29"/>
        <v>167068.4106</v>
      </c>
      <c r="H245" s="234">
        <f t="shared" si="27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8"/>
        <v>-53072.044600000016</v>
      </c>
      <c r="G246" s="40">
        <f t="shared" si="29"/>
        <v>155298.88460000002</v>
      </c>
      <c r="H246" s="234">
        <f t="shared" si="27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8"/>
        <v>-54016.789200000007</v>
      </c>
      <c r="G247" s="40">
        <f t="shared" si="29"/>
        <v>166959.04920000001</v>
      </c>
      <c r="H247" s="234">
        <f t="shared" si="27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8"/>
        <v>-40694.080000000002</v>
      </c>
      <c r="G248" s="40">
        <f t="shared" si="29"/>
        <v>148852.48000000001</v>
      </c>
      <c r="H248" s="234">
        <f t="shared" si="27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8"/>
        <v>-41622.116400000006</v>
      </c>
      <c r="G249" s="40">
        <f t="shared" si="29"/>
        <v>161235.47640000001</v>
      </c>
      <c r="H249" s="234">
        <f t="shared" si="27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8"/>
        <v>-39713.673000000003</v>
      </c>
      <c r="G250" s="40">
        <f t="shared" si="29"/>
        <v>166592.253</v>
      </c>
      <c r="H250" s="234">
        <f t="shared" si="27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8"/>
        <v>-39679.2474</v>
      </c>
      <c r="G251" s="40">
        <f t="shared" si="29"/>
        <v>160002.82739999998</v>
      </c>
      <c r="H251" s="234">
        <f t="shared" si="27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8"/>
        <v>-40600.177800000019</v>
      </c>
      <c r="G252" s="40">
        <f t="shared" si="29"/>
        <v>166510.9578</v>
      </c>
      <c r="H252" s="234">
        <f t="shared" si="27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8"/>
        <v>-37192.92720000002</v>
      </c>
      <c r="G253" s="40">
        <f t="shared" si="29"/>
        <v>159811.00720000002</v>
      </c>
      <c r="H253" s="234">
        <f t="shared" si="27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8"/>
        <v>-28198.487200000018</v>
      </c>
      <c r="G254" s="40">
        <f t="shared" si="29"/>
        <v>159811.00720000002</v>
      </c>
      <c r="H254" s="234">
        <f t="shared" si="27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8"/>
        <v>-32939.072999999997</v>
      </c>
      <c r="G255" s="40">
        <f t="shared" si="29"/>
        <v>166785.81299999999</v>
      </c>
      <c r="H255" s="234">
        <f t="shared" si="27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8"/>
        <v>-27080.606799999998</v>
      </c>
      <c r="G256" s="40">
        <f t="shared" si="29"/>
        <v>159610.92679999999</v>
      </c>
      <c r="H256" s="234">
        <f t="shared" si="27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8"/>
        <v>-23278.161400000005</v>
      </c>
      <c r="G257" s="40">
        <f t="shared" si="29"/>
        <v>159479.6814</v>
      </c>
      <c r="H257" s="234">
        <f t="shared" si="27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8"/>
        <v>-27860.058600000004</v>
      </c>
      <c r="G258" s="40">
        <f t="shared" si="29"/>
        <v>166739.35860000001</v>
      </c>
      <c r="H258" s="234">
        <f t="shared" si="27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8"/>
        <v>-29897.277600000016</v>
      </c>
      <c r="G259" s="40">
        <f t="shared" si="29"/>
        <v>166260.29760000002</v>
      </c>
      <c r="H259" s="234">
        <f t="shared" si="27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8"/>
        <v>-34709.179199999977</v>
      </c>
      <c r="G260" s="40">
        <f t="shared" si="29"/>
        <v>165846.07919999998</v>
      </c>
      <c r="H260" s="234">
        <f t="shared" si="27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8"/>
        <v>-41926.063800000004</v>
      </c>
      <c r="G261" s="40">
        <f t="shared" si="29"/>
        <v>165707.6838</v>
      </c>
      <c r="H261" s="234">
        <f t="shared" si="27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8"/>
        <v>-48426.330400000006</v>
      </c>
      <c r="G262" s="40">
        <f t="shared" si="29"/>
        <v>190547.59040000002</v>
      </c>
      <c r="H262" s="234">
        <f t="shared" si="27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8"/>
        <v>-48374.515200000002</v>
      </c>
      <c r="G263" s="40">
        <f t="shared" si="29"/>
        <v>165187.97520000002</v>
      </c>
      <c r="H263" s="234">
        <f t="shared" si="27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8"/>
        <v>-54432.172800000015</v>
      </c>
      <c r="G264" s="40">
        <f t="shared" si="29"/>
        <v>176588.49280000001</v>
      </c>
      <c r="H264" s="234">
        <f t="shared" si="27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8"/>
        <v>-49378.123800000016</v>
      </c>
      <c r="G265" s="40">
        <f t="shared" si="29"/>
        <v>164933.44380000001</v>
      </c>
      <c r="H265" s="234">
        <f t="shared" si="27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8"/>
        <v>-45614.280400000011</v>
      </c>
      <c r="G266" s="40">
        <f t="shared" si="29"/>
        <v>177274.02040000001</v>
      </c>
      <c r="H266" s="234">
        <f t="shared" si="27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8"/>
        <v>-45519.5052</v>
      </c>
      <c r="G267" s="40">
        <f t="shared" si="29"/>
        <v>164849.2452</v>
      </c>
      <c r="H267" s="234">
        <f t="shared" si="27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8"/>
        <v>-45770.165399999983</v>
      </c>
      <c r="G268" s="40">
        <f t="shared" si="29"/>
        <v>164809.56539999999</v>
      </c>
      <c r="H268" s="234">
        <f t="shared" si="27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8"/>
        <v>-41109.240599999997</v>
      </c>
      <c r="G269" s="40">
        <f t="shared" si="29"/>
        <v>164794.08059999999</v>
      </c>
      <c r="H269" s="234">
        <f t="shared" si="27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8"/>
        <v>-37211.283199999991</v>
      </c>
      <c r="G270" s="40">
        <f t="shared" si="29"/>
        <v>158269.10319999998</v>
      </c>
      <c r="H270" s="234">
        <f t="shared" si="27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8"/>
        <v>-38770.067999999999</v>
      </c>
      <c r="G271" s="40">
        <f t="shared" si="29"/>
        <v>164777.628</v>
      </c>
      <c r="H271" s="234">
        <f t="shared" si="27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8"/>
        <v>-33653.890400000018</v>
      </c>
      <c r="G272" s="40">
        <f t="shared" si="29"/>
        <v>157924.0104</v>
      </c>
      <c r="H272" s="234">
        <f t="shared" si="27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8"/>
        <v>-37103.516399999986</v>
      </c>
      <c r="G273" s="40">
        <f t="shared" si="29"/>
        <v>164562.77639999997</v>
      </c>
      <c r="H273" s="234">
        <f t="shared" si="27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8"/>
        <v>-39676.8966</v>
      </c>
      <c r="G274" s="40">
        <f t="shared" si="29"/>
        <v>164523.09660000002</v>
      </c>
      <c r="H274" s="234">
        <f t="shared" si="27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8"/>
        <v>-35572.456799999993</v>
      </c>
      <c r="G275" s="40">
        <f t="shared" si="29"/>
        <v>164483.41680000001</v>
      </c>
      <c r="H275" s="234">
        <f t="shared" si="27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8"/>
        <v>-29514.401999999984</v>
      </c>
      <c r="G276" s="40">
        <f t="shared" si="29"/>
        <v>143679.28200000001</v>
      </c>
      <c r="H276" s="234">
        <f t="shared" si="27"/>
        <v>-0.20541863509590746</v>
      </c>
      <c r="I276" s="40"/>
    </row>
    <row r="277" spans="2:9" x14ac:dyDescent="0.25">
      <c r="B277" s="195">
        <v>42528</v>
      </c>
      <c r="C277" s="449">
        <v>7678</v>
      </c>
      <c r="D277" s="450">
        <v>17.759599999999999</v>
      </c>
      <c r="E277" s="40">
        <v>14.62</v>
      </c>
      <c r="F277" s="238">
        <f t="shared" si="28"/>
        <v>-24105.848799999996</v>
      </c>
      <c r="G277" s="40">
        <f t="shared" si="29"/>
        <v>136358.20879999999</v>
      </c>
      <c r="H277" s="234">
        <f t="shared" si="27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1">
        <v>17.5654</v>
      </c>
      <c r="E278" s="40">
        <v>14.53</v>
      </c>
      <c r="F278" s="238">
        <f t="shared" si="28"/>
        <v>-24823.50120000001</v>
      </c>
      <c r="G278" s="40">
        <f t="shared" si="29"/>
        <v>143649.8412</v>
      </c>
      <c r="H278" s="234">
        <f t="shared" si="27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30">C279*(E279-D279)</f>
        <v>-33713.287800000006</v>
      </c>
      <c r="G279" s="40">
        <f t="shared" ref="G279:G287" si="31">IF(C279=0, 0,D279*C279)</f>
        <v>154198.0478</v>
      </c>
      <c r="H279" s="234">
        <f t="shared" ref="H279:H287" si="32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2">
        <v>17.1052</v>
      </c>
      <c r="E280" s="40">
        <v>13.42</v>
      </c>
      <c r="F280" s="238">
        <f t="shared" si="30"/>
        <v>-34191.285600000003</v>
      </c>
      <c r="G280" s="40">
        <f t="shared" si="31"/>
        <v>158702.04560000001</v>
      </c>
      <c r="H280" s="234">
        <f t="shared" si="32"/>
        <v>-0.21544325702125669</v>
      </c>
      <c r="I280" s="204"/>
    </row>
    <row r="281" spans="2:9" x14ac:dyDescent="0.25">
      <c r="B281" s="195">
        <v>42532</v>
      </c>
      <c r="C281" s="452">
        <v>9278</v>
      </c>
      <c r="D281" s="453">
        <v>17.053000000000001</v>
      </c>
      <c r="E281" s="40">
        <v>13.42</v>
      </c>
      <c r="F281" s="238">
        <f t="shared" si="30"/>
        <v>-33706.974000000009</v>
      </c>
      <c r="G281" s="40">
        <f t="shared" si="31"/>
        <v>158217.734</v>
      </c>
      <c r="H281" s="234">
        <f t="shared" si="32"/>
        <v>-0.21304169354365804</v>
      </c>
      <c r="I281" s="204" t="s">
        <v>194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30"/>
        <v>-35317.9254</v>
      </c>
      <c r="G282" s="40">
        <f t="shared" si="31"/>
        <v>163357.86540000001</v>
      </c>
      <c r="H282" s="234">
        <f t="shared" si="32"/>
        <v>-0.21619972392220058</v>
      </c>
      <c r="I282" s="479" t="s">
        <v>257</v>
      </c>
    </row>
    <row r="283" spans="2:9" x14ac:dyDescent="0.25">
      <c r="B283" s="195">
        <v>42536</v>
      </c>
      <c r="C283" s="452">
        <v>9278</v>
      </c>
      <c r="D283" s="453">
        <v>17.027999999999999</v>
      </c>
      <c r="E283" s="40">
        <v>13.06</v>
      </c>
      <c r="F283" s="238">
        <f t="shared" si="30"/>
        <v>-36815.103999999985</v>
      </c>
      <c r="G283" s="40">
        <f t="shared" si="31"/>
        <v>157985.78399999999</v>
      </c>
      <c r="H283" s="234">
        <f t="shared" si="32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30"/>
        <v>-40329.610399999998</v>
      </c>
      <c r="G284" s="40">
        <f t="shared" si="31"/>
        <v>157881.87039999999</v>
      </c>
      <c r="H284" s="234">
        <f t="shared" si="32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30"/>
        <v>-35684.1158</v>
      </c>
      <c r="G285" s="40">
        <f t="shared" si="31"/>
        <v>157782.59580000001</v>
      </c>
      <c r="H285" s="234">
        <f t="shared" si="32"/>
        <v>-0.2261600249322302</v>
      </c>
      <c r="I285" s="204"/>
    </row>
    <row r="286" spans="2:9" x14ac:dyDescent="0.25">
      <c r="B286" s="195">
        <v>42541</v>
      </c>
      <c r="C286" s="449">
        <v>7678</v>
      </c>
      <c r="D286" s="450">
        <v>17.568000000000001</v>
      </c>
      <c r="E286" s="40">
        <v>14.48</v>
      </c>
      <c r="F286" s="238">
        <f t="shared" si="30"/>
        <v>-23709.664000000008</v>
      </c>
      <c r="G286" s="40">
        <f t="shared" si="31"/>
        <v>134887.10400000002</v>
      </c>
      <c r="H286" s="234">
        <f t="shared" si="32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30"/>
        <v>-19054.279999999995</v>
      </c>
      <c r="G287" s="40">
        <f t="shared" si="31"/>
        <v>121666.28</v>
      </c>
      <c r="H287" s="234">
        <f t="shared" si="32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3">C288*(E288-D288)</f>
        <v>-21366.37</v>
      </c>
      <c r="G288" s="40">
        <f t="shared" ref="G288:G296" si="34">IF(C288=0, 0,D288*C288)</f>
        <v>129041.37</v>
      </c>
      <c r="H288" s="234">
        <f t="shared" ref="H288:H296" si="35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3"/>
        <v>-17585.480000000014</v>
      </c>
      <c r="G289" s="40">
        <f t="shared" si="34"/>
        <v>121421.48000000001</v>
      </c>
      <c r="H289" s="234">
        <f t="shared" si="35"/>
        <v>-0.1448300580753917</v>
      </c>
      <c r="I289" s="204"/>
    </row>
    <row r="290" spans="2:9" x14ac:dyDescent="0.25">
      <c r="B290" s="195">
        <v>42545</v>
      </c>
      <c r="C290" s="449">
        <v>7678</v>
      </c>
      <c r="D290" s="450">
        <v>17.462</v>
      </c>
      <c r="E290" s="40">
        <v>14.41</v>
      </c>
      <c r="F290" s="238">
        <f t="shared" si="33"/>
        <v>-23433.255999999998</v>
      </c>
      <c r="G290" s="40">
        <f t="shared" si="34"/>
        <v>134073.236</v>
      </c>
      <c r="H290" s="234">
        <f t="shared" si="35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3"/>
        <v>-21154.320000000003</v>
      </c>
      <c r="G291" s="40">
        <f t="shared" si="34"/>
        <v>138785.16</v>
      </c>
      <c r="H291" s="234">
        <f t="shared" si="35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3"/>
        <v>-29477.467400000005</v>
      </c>
      <c r="G292" s="40">
        <f t="shared" si="34"/>
        <v>152116.9474</v>
      </c>
      <c r="H292" s="234">
        <f t="shared" si="35"/>
        <v>-0.19378161279089673</v>
      </c>
      <c r="I292" s="204"/>
    </row>
    <row r="293" spans="2:9" x14ac:dyDescent="0.25">
      <c r="B293" s="195">
        <v>42548</v>
      </c>
      <c r="C293" s="454">
        <v>9278</v>
      </c>
      <c r="D293" s="455">
        <v>16.834599999999998</v>
      </c>
      <c r="E293" s="40">
        <v>13.66</v>
      </c>
      <c r="F293" s="238">
        <f t="shared" si="33"/>
        <v>-29453.938799999982</v>
      </c>
      <c r="G293" s="40">
        <f t="shared" si="34"/>
        <v>156191.41879999998</v>
      </c>
      <c r="H293" s="234">
        <f t="shared" si="35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59">
        <v>17.124400000000001</v>
      </c>
      <c r="E294" s="40">
        <v>14.78</v>
      </c>
      <c r="F294" s="238">
        <f t="shared" si="33"/>
        <v>-19172.503200000017</v>
      </c>
      <c r="G294" s="40">
        <f t="shared" si="34"/>
        <v>140043.3432</v>
      </c>
      <c r="H294" s="234">
        <f t="shared" si="35"/>
        <v>-0.13690406671182651</v>
      </c>
      <c r="I294" s="480">
        <v>17</v>
      </c>
    </row>
    <row r="295" spans="2:9" x14ac:dyDescent="0.25">
      <c r="B295" s="195">
        <v>42552</v>
      </c>
      <c r="C295" s="461">
        <v>7678</v>
      </c>
      <c r="D295" s="471">
        <v>17.2315</v>
      </c>
      <c r="E295" s="40">
        <v>15.48</v>
      </c>
      <c r="F295" s="238">
        <f t="shared" si="33"/>
        <v>-13448.017</v>
      </c>
      <c r="G295" s="40">
        <f t="shared" si="34"/>
        <v>132303.45699999999</v>
      </c>
      <c r="H295" s="234">
        <f t="shared" si="35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3"/>
        <v>-12142.820000000009</v>
      </c>
      <c r="G296" s="40">
        <f t="shared" si="34"/>
        <v>126387.82</v>
      </c>
      <c r="H296" s="234">
        <f t="shared" si="35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6">C297*(E297-D297)</f>
        <v>-11873.480000000014</v>
      </c>
      <c r="G297" s="40">
        <f t="shared" ref="G297:G301" si="37">IF(C297=0, 0,D297*C297)</f>
        <v>118633.48000000001</v>
      </c>
      <c r="H297" s="234">
        <f t="shared" ref="H297:H301" si="38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6"/>
        <v>-11929.199999999995</v>
      </c>
      <c r="G298" s="40">
        <f t="shared" si="37"/>
        <v>106009.2</v>
      </c>
      <c r="H298" s="234">
        <f t="shared" si="38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59">
        <v>16.978899999999999</v>
      </c>
      <c r="E299" s="40">
        <v>14.72</v>
      </c>
      <c r="F299" s="238">
        <f t="shared" si="36"/>
        <v>-18473.284199999991</v>
      </c>
      <c r="G299" s="40">
        <f t="shared" si="37"/>
        <v>138853.4442</v>
      </c>
      <c r="H299" s="234">
        <f t="shared" si="38"/>
        <v>-0.13304159869013887</v>
      </c>
      <c r="I299" s="491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6"/>
        <v>-18423.393999999993</v>
      </c>
      <c r="G300" s="40">
        <f t="shared" si="37"/>
        <v>146163.554</v>
      </c>
      <c r="H300" s="234">
        <f t="shared" si="38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59">
        <v>16.960599999999999</v>
      </c>
      <c r="E301" s="40">
        <v>14.84</v>
      </c>
      <c r="F301" s="238">
        <f t="shared" si="36"/>
        <v>-17342.266799999998</v>
      </c>
      <c r="G301" s="40">
        <f t="shared" si="37"/>
        <v>138703.7868</v>
      </c>
      <c r="H301" s="234">
        <f t="shared" si="38"/>
        <v>-0.12503095409360515</v>
      </c>
      <c r="I301" s="501">
        <v>16.75</v>
      </c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9">C302*(E302-D302)</f>
        <v>-17312.610000000008</v>
      </c>
      <c r="G302" s="40">
        <f t="shared" ref="G302" si="40">IF(C302=0, 0,D302*C302)</f>
        <v>146094.13</v>
      </c>
      <c r="H302" s="234">
        <f t="shared" ref="H302" si="41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42">C303*(E303-D303)</f>
        <v>-16618.370000000006</v>
      </c>
      <c r="G303" s="40">
        <f t="shared" ref="G303" si="43">IF(C303=0, 0,D303*C303)</f>
        <v>146094.13</v>
      </c>
      <c r="H303" s="234">
        <f t="shared" ref="H303" si="44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5">C304*(E304-D304)</f>
        <v>-18614.310000000012</v>
      </c>
      <c r="G304" s="40">
        <f t="shared" ref="G304" si="46">IF(C304=0, 0,D304*C304)</f>
        <v>146094.13</v>
      </c>
      <c r="H304" s="234">
        <f t="shared" ref="H304" si="47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:F306" si="48">C305*(E305-D305)</f>
        <v>-10717.330000000011</v>
      </c>
      <c r="G305" s="40">
        <f t="shared" ref="G305:G306" si="49">IF(C305=0, 0,D305*C305)</f>
        <v>146094.13</v>
      </c>
      <c r="H305" s="234">
        <f t="shared" ref="H305:H306" si="50">IF(C305=0, D305, (E305-D305)/D305)</f>
        <v>-7.3359073359073421E-2</v>
      </c>
      <c r="I305" s="204"/>
    </row>
    <row r="306" spans="2:9" x14ac:dyDescent="0.25">
      <c r="B306" s="195">
        <v>42564</v>
      </c>
      <c r="C306" s="10">
        <v>8738</v>
      </c>
      <c r="D306" s="245">
        <v>16.816099999999999</v>
      </c>
      <c r="E306" s="40">
        <v>15.29</v>
      </c>
      <c r="F306" s="238">
        <f t="shared" si="48"/>
        <v>-13335.061799999996</v>
      </c>
      <c r="G306" s="40">
        <f t="shared" si="49"/>
        <v>146939.08179999999</v>
      </c>
      <c r="H306" s="234">
        <f t="shared" si="50"/>
        <v>-9.0752314745987453E-2</v>
      </c>
      <c r="I306" s="40"/>
    </row>
    <row r="307" spans="2:9" x14ac:dyDescent="0.25">
      <c r="B307" s="195">
        <v>42566</v>
      </c>
      <c r="C307" s="10">
        <v>8738</v>
      </c>
      <c r="D307" s="245">
        <v>16.816099999999999</v>
      </c>
      <c r="E307" s="40">
        <v>15.21</v>
      </c>
      <c r="F307" s="238">
        <f t="shared" ref="F307:F309" si="51">C307*(E307-D307)</f>
        <v>-14034.101799999982</v>
      </c>
      <c r="G307" s="40">
        <f t="shared" ref="G307:G309" si="52">IF(C307=0, 0,D307*C307)</f>
        <v>146939.08179999999</v>
      </c>
      <c r="H307" s="234">
        <f t="shared" ref="H307:H309" si="53">IF(C307=0, D307, (E307-D307)/D307)</f>
        <v>-9.5509660384988079E-2</v>
      </c>
      <c r="I307" s="40"/>
    </row>
    <row r="308" spans="2:9" x14ac:dyDescent="0.25">
      <c r="B308" s="195">
        <v>42570</v>
      </c>
      <c r="C308" s="10">
        <v>9138</v>
      </c>
      <c r="D308" s="245">
        <v>16.733499999999999</v>
      </c>
      <c r="E308" s="40">
        <v>14.75</v>
      </c>
      <c r="F308" s="238">
        <f t="shared" si="51"/>
        <v>-18125.222999999994</v>
      </c>
      <c r="G308" s="40">
        <f t="shared" si="52"/>
        <v>152910.723</v>
      </c>
      <c r="H308" s="234">
        <f t="shared" si="53"/>
        <v>-0.1185346759494427</v>
      </c>
      <c r="I308" s="40"/>
    </row>
    <row r="309" spans="2:9" x14ac:dyDescent="0.25">
      <c r="B309" s="195">
        <v>42571</v>
      </c>
      <c r="C309" s="10">
        <v>9138</v>
      </c>
      <c r="D309" s="245">
        <v>16.7227</v>
      </c>
      <c r="E309" s="40">
        <v>14.84</v>
      </c>
      <c r="F309" s="238">
        <f t="shared" si="51"/>
        <v>-17204.112599999997</v>
      </c>
      <c r="G309" s="40">
        <f t="shared" si="52"/>
        <v>152812.03260000001</v>
      </c>
      <c r="H309" s="234">
        <f t="shared" si="53"/>
        <v>-0.11258349429218965</v>
      </c>
      <c r="I309" s="40"/>
    </row>
    <row r="310" spans="2:9" x14ac:dyDescent="0.25">
      <c r="B310" s="195">
        <v>42572</v>
      </c>
      <c r="C310" s="10">
        <v>9138</v>
      </c>
      <c r="D310" s="245">
        <v>16.718900000000001</v>
      </c>
      <c r="E310" s="40">
        <v>14.42</v>
      </c>
      <c r="F310" s="238">
        <f t="shared" ref="F310" si="54">C310*(E310-D310)</f>
        <v>-21007.348200000015</v>
      </c>
      <c r="G310" s="40">
        <f t="shared" ref="G310" si="55">IF(C310=0, 0,D310*C310)</f>
        <v>152777.3082</v>
      </c>
      <c r="H310" s="234">
        <f t="shared" ref="H310" si="56">IF(C310=0, D310, (E310-D310)/D310)</f>
        <v>-0.13750306539305823</v>
      </c>
      <c r="I310" s="40"/>
    </row>
    <row r="311" spans="2:9" x14ac:dyDescent="0.25">
      <c r="B311" s="195">
        <v>42573</v>
      </c>
      <c r="C311" s="454">
        <v>9278</v>
      </c>
      <c r="D311" s="455">
        <v>16.679099999999998</v>
      </c>
      <c r="E311" s="40">
        <v>14.11</v>
      </c>
      <c r="F311" s="238">
        <f t="shared" ref="F311:F312" si="57">C311*(E311-D311)</f>
        <v>-23836.109799999987</v>
      </c>
      <c r="G311" s="40">
        <f t="shared" ref="G311:G312" si="58">IF(C311=0, 0,D311*C311)</f>
        <v>154748.68979999999</v>
      </c>
      <c r="H311" s="234">
        <f t="shared" ref="H311:H312" si="59">IF(C311=0, D311, (E311-D311)/D311)</f>
        <v>-0.15403109280476759</v>
      </c>
      <c r="I311" s="40"/>
    </row>
    <row r="312" spans="2:9" x14ac:dyDescent="0.25">
      <c r="B312" s="195">
        <v>42576</v>
      </c>
      <c r="C312" s="10">
        <v>9478</v>
      </c>
      <c r="D312" s="245">
        <v>16.613099999999999</v>
      </c>
      <c r="E312" s="40">
        <v>13.58</v>
      </c>
      <c r="F312" s="238">
        <f t="shared" si="57"/>
        <v>-28747.721799999992</v>
      </c>
      <c r="G312" s="40">
        <f t="shared" si="58"/>
        <v>157458.96179999999</v>
      </c>
      <c r="H312" s="234">
        <f t="shared" si="59"/>
        <v>-0.18257278894366491</v>
      </c>
      <c r="I312" s="40"/>
    </row>
    <row r="313" spans="2:9" x14ac:dyDescent="0.25">
      <c r="B313" s="195">
        <v>42577</v>
      </c>
      <c r="C313" s="454">
        <v>9278</v>
      </c>
      <c r="D313" s="455">
        <v>16.674199999999999</v>
      </c>
      <c r="E313" s="40">
        <v>13.78</v>
      </c>
      <c r="F313" s="238">
        <f t="shared" ref="F313:F314" si="60">C313*(E313-D313)</f>
        <v>-26852.387599999998</v>
      </c>
      <c r="G313" s="40">
        <f t="shared" ref="G313:G314" si="61">IF(C313=0, 0,D313*C313)</f>
        <v>154703.22759999998</v>
      </c>
      <c r="H313" s="234">
        <f t="shared" ref="H313:H314" si="62">IF(C313=0, D313, (E313-D313)/D313)</f>
        <v>-0.17357354475776948</v>
      </c>
      <c r="I313" s="238">
        <v>16.53</v>
      </c>
    </row>
    <row r="314" spans="2:9" x14ac:dyDescent="0.25">
      <c r="B314" s="195">
        <v>42578</v>
      </c>
      <c r="C314" s="10">
        <v>9478</v>
      </c>
      <c r="D314" s="245">
        <v>16.6004</v>
      </c>
      <c r="E314" s="40">
        <v>13.13</v>
      </c>
      <c r="F314" s="238">
        <f t="shared" si="60"/>
        <v>-32892.451199999996</v>
      </c>
      <c r="G314" s="40">
        <f t="shared" si="61"/>
        <v>157338.5912</v>
      </c>
      <c r="H314" s="234">
        <f t="shared" si="62"/>
        <v>-0.20905520348907253</v>
      </c>
      <c r="I314" s="40"/>
    </row>
    <row r="315" spans="2:9" x14ac:dyDescent="0.25">
      <c r="B315" s="195">
        <v>42580</v>
      </c>
      <c r="C315" s="10">
        <v>9478</v>
      </c>
      <c r="D315" s="245">
        <v>16.599</v>
      </c>
      <c r="E315" s="40">
        <v>13.64</v>
      </c>
      <c r="F315" s="238">
        <f t="shared" ref="F315:F318" si="63">C315*(E315-D315)</f>
        <v>-28045.401999999998</v>
      </c>
      <c r="G315" s="40">
        <f t="shared" ref="G315:G318" si="64">IF(C315=0, 0,D315*C315)</f>
        <v>157325.32200000001</v>
      </c>
      <c r="H315" s="234">
        <f t="shared" ref="H315:H318" si="65">IF(C315=0, D315, (E315-D315)/D315)</f>
        <v>-0.17826375082836313</v>
      </c>
      <c r="I315" s="40"/>
    </row>
    <row r="316" spans="2:9" x14ac:dyDescent="0.25">
      <c r="B316" s="195">
        <v>42580</v>
      </c>
      <c r="C316" s="454">
        <v>9278</v>
      </c>
      <c r="D316" s="455">
        <v>16.664000000000001</v>
      </c>
      <c r="E316" s="40">
        <v>13.64</v>
      </c>
      <c r="F316" s="238">
        <f t="shared" si="63"/>
        <v>-28056.67200000001</v>
      </c>
      <c r="G316" s="40">
        <f t="shared" si="64"/>
        <v>154608.592</v>
      </c>
      <c r="H316" s="234">
        <f t="shared" si="65"/>
        <v>-0.18146903504560732</v>
      </c>
      <c r="I316" s="238">
        <v>16.53</v>
      </c>
    </row>
    <row r="317" spans="2:9" x14ac:dyDescent="0.25">
      <c r="B317" s="195">
        <v>42583</v>
      </c>
      <c r="C317" s="10">
        <v>9478</v>
      </c>
      <c r="D317" s="245">
        <v>16.5871</v>
      </c>
      <c r="E317" s="40">
        <v>12.92</v>
      </c>
      <c r="F317" s="238">
        <f t="shared" si="63"/>
        <v>-34756.773799999995</v>
      </c>
      <c r="G317" s="40">
        <f t="shared" si="64"/>
        <v>157212.5338</v>
      </c>
      <c r="H317" s="234">
        <f t="shared" si="65"/>
        <v>-0.22108144280796521</v>
      </c>
      <c r="I317" s="40"/>
    </row>
    <row r="318" spans="2:9" x14ac:dyDescent="0.25">
      <c r="B318" s="195">
        <v>42584</v>
      </c>
      <c r="C318" s="10">
        <v>9678</v>
      </c>
      <c r="D318" s="245">
        <v>16.5063</v>
      </c>
      <c r="E318" s="40">
        <v>12.9</v>
      </c>
      <c r="F318" s="238">
        <f t="shared" si="63"/>
        <v>-34901.771399999991</v>
      </c>
      <c r="G318" s="40">
        <f t="shared" si="64"/>
        <v>159747.97140000001</v>
      </c>
      <c r="H318" s="234">
        <f t="shared" si="65"/>
        <v>-0.21848021664455386</v>
      </c>
      <c r="I318" s="40"/>
    </row>
    <row r="319" spans="2:9" x14ac:dyDescent="0.25">
      <c r="B319" s="195">
        <v>42585</v>
      </c>
      <c r="C319" s="10">
        <v>10078</v>
      </c>
      <c r="D319" s="245">
        <v>16.5063</v>
      </c>
      <c r="E319" s="40">
        <v>12.9</v>
      </c>
      <c r="F319" s="238">
        <f t="shared" ref="F319:F322" si="66">C319*(E319-D319)</f>
        <v>-36344.291399999995</v>
      </c>
      <c r="G319" s="40">
        <f t="shared" ref="G319:G322" si="67">IF(C319=0, 0,D319*C319)</f>
        <v>166350.4914</v>
      </c>
      <c r="H319" s="234">
        <f t="shared" ref="H319:H322" si="68">IF(C319=0, D319, (E319-D319)/D319)</f>
        <v>-0.21848021664455386</v>
      </c>
      <c r="I319" s="40"/>
    </row>
    <row r="320" spans="2:9" x14ac:dyDescent="0.25">
      <c r="B320" s="195">
        <v>42586</v>
      </c>
      <c r="C320" s="10">
        <v>9678</v>
      </c>
      <c r="D320" s="245">
        <v>16.489799999999999</v>
      </c>
      <c r="E320" s="40">
        <v>13.41</v>
      </c>
      <c r="F320" s="238">
        <f t="shared" si="66"/>
        <v>-29806.304399999986</v>
      </c>
      <c r="G320" s="40">
        <f t="shared" si="67"/>
        <v>159588.28439999997</v>
      </c>
      <c r="H320" s="234">
        <f t="shared" si="68"/>
        <v>-0.1867700032747516</v>
      </c>
      <c r="I320" s="40"/>
    </row>
    <row r="321" spans="2:9" x14ac:dyDescent="0.25">
      <c r="B321" s="195">
        <v>42586</v>
      </c>
      <c r="C321" s="454">
        <v>9278</v>
      </c>
      <c r="D321" s="455">
        <v>16.609200000000001</v>
      </c>
      <c r="E321" s="40">
        <v>13.66</v>
      </c>
      <c r="F321" s="238">
        <f t="shared" si="66"/>
        <v>-27362.67760000001</v>
      </c>
      <c r="G321" s="40">
        <f t="shared" si="67"/>
        <v>154100.15760000001</v>
      </c>
      <c r="H321" s="234">
        <f t="shared" si="68"/>
        <v>-0.17756424150470829</v>
      </c>
      <c r="I321" s="40"/>
    </row>
    <row r="322" spans="2:9" x14ac:dyDescent="0.25">
      <c r="B322" s="195">
        <v>42586</v>
      </c>
      <c r="C322" s="10">
        <v>9138</v>
      </c>
      <c r="D322" s="245">
        <v>16.6511</v>
      </c>
      <c r="E322" s="40">
        <v>13.87</v>
      </c>
      <c r="F322" s="238">
        <f t="shared" si="66"/>
        <v>-25413.691800000004</v>
      </c>
      <c r="G322" s="40">
        <f t="shared" si="67"/>
        <v>152157.7518</v>
      </c>
      <c r="H322" s="234">
        <f t="shared" si="68"/>
        <v>-0.1670219985466426</v>
      </c>
      <c r="I322" s="40"/>
    </row>
    <row r="323" spans="2:9" x14ac:dyDescent="0.25">
      <c r="B323" s="195"/>
      <c r="C323" s="10"/>
      <c r="D323" s="245"/>
      <c r="E323" s="40"/>
      <c r="F323" s="238"/>
      <c r="G323" s="40"/>
      <c r="H323" s="234"/>
      <c r="I323" s="40"/>
    </row>
    <row r="324" spans="2:9" x14ac:dyDescent="0.25">
      <c r="B324" s="195"/>
      <c r="C324" s="10"/>
      <c r="D324" s="245"/>
      <c r="E324" s="40"/>
      <c r="F324" s="238"/>
      <c r="G324" s="40"/>
      <c r="H324" s="234"/>
      <c r="I324" s="40"/>
    </row>
    <row r="325" spans="2:9" x14ac:dyDescent="0.25">
      <c r="B325" s="195"/>
      <c r="C325" s="10"/>
      <c r="D325" s="245"/>
      <c r="E325" s="40"/>
      <c r="F325" s="238"/>
      <c r="G325" s="40"/>
      <c r="H325" s="234"/>
      <c r="I325" s="40"/>
    </row>
    <row r="326" spans="2:9" x14ac:dyDescent="0.25">
      <c r="B326" s="195"/>
      <c r="C326" s="10"/>
      <c r="D326" s="245"/>
      <c r="E326" s="40"/>
      <c r="F326" s="238"/>
      <c r="G326" s="40"/>
      <c r="H326" s="234"/>
      <c r="I326" s="40"/>
    </row>
    <row r="327" spans="2:9" x14ac:dyDescent="0.25">
      <c r="B327" s="195"/>
      <c r="C327" s="10"/>
      <c r="D327" s="245"/>
      <c r="E327" s="40"/>
      <c r="F327" s="238"/>
      <c r="G327" s="40"/>
      <c r="H327" s="234"/>
      <c r="I327" s="40"/>
    </row>
    <row r="328" spans="2:9" x14ac:dyDescent="0.25">
      <c r="B328" s="195"/>
      <c r="C328" s="10"/>
      <c r="D328" s="245"/>
      <c r="E328" s="40"/>
      <c r="F328" s="238"/>
      <c r="G328" s="40"/>
      <c r="H328" s="234"/>
      <c r="I328" s="40"/>
    </row>
    <row r="329" spans="2:9" x14ac:dyDescent="0.25">
      <c r="B329" s="195"/>
      <c r="C329" s="10"/>
      <c r="D329" s="245"/>
      <c r="E329" s="40"/>
      <c r="F329" s="238"/>
      <c r="G329" s="40"/>
      <c r="H329" s="234"/>
      <c r="I329" s="40"/>
    </row>
  </sheetData>
  <mergeCells count="19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51:A152"/>
    <mergeCell ref="A126:A128"/>
    <mergeCell ref="A120:A122"/>
    <mergeCell ref="A113:A116"/>
    <mergeCell ref="G147:G150"/>
  </mergeCells>
  <conditionalFormatting sqref="F185:F329 H185:H329">
    <cfRule type="expression" dxfId="547" priority="26">
      <formula>F185&gt;0</formula>
    </cfRule>
    <cfRule type="expression" dxfId="546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45" priority="19">
      <formula>F178&gt;0</formula>
    </cfRule>
    <cfRule type="expression" dxfId="544" priority="20">
      <formula>F178&lt;0</formula>
    </cfRule>
  </conditionalFormatting>
  <conditionalFormatting sqref="H178:H184">
    <cfRule type="expression" dxfId="543" priority="15">
      <formula>H178&gt;0</formula>
    </cfRule>
    <cfRule type="expression" dxfId="542" priority="16">
      <formula>H178&lt;0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conditionalFormatting sqref="Q7">
    <cfRule type="expression" dxfId="539" priority="3">
      <formula>Q7&gt;0</formula>
    </cfRule>
    <cfRule type="expression" dxfId="53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17" activePane="bottomLeft" state="frozen"/>
      <selection activeCell="A2" sqref="A2"/>
      <selection pane="bottomLeft" activeCell="P54" sqref="P54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211</v>
      </c>
      <c r="B2" s="482">
        <v>42482</v>
      </c>
      <c r="C2" s="7">
        <v>80</v>
      </c>
      <c r="D2" s="44">
        <v>36.01</v>
      </c>
      <c r="E2" s="44">
        <v>0</v>
      </c>
      <c r="F2" s="44">
        <f t="shared" ref="F2:F11" si="0">D2*C2+E2</f>
        <v>2880.7999999999997</v>
      </c>
      <c r="G2" s="482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400</v>
      </c>
      <c r="T2" s="1"/>
      <c r="W2" s="133">
        <v>42587</v>
      </c>
      <c r="X2" s="10">
        <v>32.65</v>
      </c>
      <c r="Y2" s="10">
        <v>32.909999999999997</v>
      </c>
      <c r="Z2" s="10">
        <v>32.42</v>
      </c>
      <c r="AA2" s="10">
        <v>32.619999999999997</v>
      </c>
      <c r="AB2" s="95">
        <v>10261000</v>
      </c>
      <c r="AC2" s="10">
        <v>32.619999999999997</v>
      </c>
      <c r="AD2" s="2">
        <f>Y2-Z2</f>
        <v>0.48999999999999488</v>
      </c>
      <c r="AE2" s="138">
        <f>AC2/AC3-1</f>
        <v>2.1505376344086446E-3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81"/>
      <c r="H3" s="7"/>
      <c r="I3" s="44"/>
      <c r="J3" s="44"/>
      <c r="K3" s="44"/>
      <c r="L3" s="1" t="s">
        <v>552</v>
      </c>
      <c r="O3" s="11" t="s">
        <v>58</v>
      </c>
      <c r="Q3" s="80">
        <f>IF(Q2=0, Q4, (F18-K18-M18)/Q2)</f>
        <v>33.519675000000007</v>
      </c>
      <c r="T3" s="1"/>
      <c r="W3" s="133">
        <v>42586</v>
      </c>
      <c r="X3" s="10">
        <v>33.200000000000003</v>
      </c>
      <c r="Y3" s="10">
        <v>33.28</v>
      </c>
      <c r="Z3" s="10">
        <v>32.11</v>
      </c>
      <c r="AA3" s="10">
        <v>32.549999999999997</v>
      </c>
      <c r="AB3" s="95">
        <v>11924800</v>
      </c>
      <c r="AC3" s="10">
        <v>32.549999999999997</v>
      </c>
      <c r="AD3" s="2">
        <f t="shared" ref="AD3:AD66" si="1">Y3-Z3</f>
        <v>1.1700000000000017</v>
      </c>
      <c r="AE3" s="138">
        <f t="shared" ref="AE3:AE66" si="2">AC3/AC4-1</f>
        <v>-1.9578313253012181E-2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82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L4" t="s">
        <v>553</v>
      </c>
      <c r="O4" s="11" t="s">
        <v>66</v>
      </c>
      <c r="Q4" s="55">
        <v>32.31</v>
      </c>
      <c r="T4" s="163"/>
      <c r="W4" s="133">
        <v>42585</v>
      </c>
      <c r="X4" s="10">
        <v>32.69</v>
      </c>
      <c r="Y4" s="10">
        <v>33.53</v>
      </c>
      <c r="Z4" s="10">
        <v>32.64</v>
      </c>
      <c r="AA4" s="10">
        <v>33.200000000000003</v>
      </c>
      <c r="AB4" s="95">
        <v>10570800</v>
      </c>
      <c r="AC4" s="10">
        <v>33.200000000000003</v>
      </c>
      <c r="AD4" s="2">
        <f t="shared" si="1"/>
        <v>0.89000000000000057</v>
      </c>
      <c r="AE4" s="138">
        <f t="shared" si="2"/>
        <v>1.8092609628948209E-2</v>
      </c>
    </row>
    <row r="5" spans="1:31" x14ac:dyDescent="0.25">
      <c r="B5" s="482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82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12924</v>
      </c>
      <c r="W5" s="133">
        <v>42584</v>
      </c>
      <c r="X5" s="10">
        <v>33.450000000000003</v>
      </c>
      <c r="Y5" s="10">
        <v>33.799999999999997</v>
      </c>
      <c r="Z5" s="10">
        <v>32.49</v>
      </c>
      <c r="AA5" s="10">
        <v>32.61</v>
      </c>
      <c r="AB5" s="95">
        <v>18201300</v>
      </c>
      <c r="AC5" s="10">
        <v>32.61</v>
      </c>
      <c r="AD5" s="2">
        <f t="shared" si="1"/>
        <v>1.3099999999999952</v>
      </c>
      <c r="AE5" s="138">
        <f t="shared" si="2"/>
        <v>-4.1164363422522721E-2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"/>
      <c r="H6" s="185"/>
      <c r="I6" s="3"/>
      <c r="J6" s="3"/>
      <c r="K6" s="3"/>
      <c r="O6" s="11" t="s">
        <v>64</v>
      </c>
      <c r="Q6" s="2">
        <f>Q3*Q2</f>
        <v>13407.870000000003</v>
      </c>
      <c r="W6" s="133">
        <v>42583</v>
      </c>
      <c r="X6" s="10">
        <v>34.200000000000003</v>
      </c>
      <c r="Y6" s="10">
        <v>34.340000000000003</v>
      </c>
      <c r="Z6" s="10">
        <v>33.880000000000003</v>
      </c>
      <c r="AA6" s="10">
        <v>34.01</v>
      </c>
      <c r="AB6" s="95">
        <v>9603900</v>
      </c>
      <c r="AC6" s="10">
        <v>34.01</v>
      </c>
      <c r="AD6" s="2">
        <f t="shared" si="1"/>
        <v>0.46000000000000085</v>
      </c>
      <c r="AE6" s="138">
        <f t="shared" si="2"/>
        <v>-5.2646972799064162E-3</v>
      </c>
    </row>
    <row r="7" spans="1:31" x14ac:dyDescent="0.25">
      <c r="B7" s="1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188</v>
      </c>
      <c r="Q7" s="2">
        <f>Q10+Q8</f>
        <v>-483.87000000000262</v>
      </c>
      <c r="R7">
        <v>160</v>
      </c>
      <c r="W7" s="133">
        <v>42580</v>
      </c>
      <c r="X7" s="10">
        <v>34.299999999999997</v>
      </c>
      <c r="Y7" s="10">
        <v>34.4</v>
      </c>
      <c r="Z7" s="10">
        <v>33.81</v>
      </c>
      <c r="AA7" s="10">
        <v>34.19</v>
      </c>
      <c r="AB7" s="95">
        <v>17489800</v>
      </c>
      <c r="AC7" s="10">
        <v>34.19</v>
      </c>
      <c r="AD7" s="2">
        <f t="shared" si="1"/>
        <v>0.58999999999999631</v>
      </c>
      <c r="AE7" s="138">
        <f t="shared" si="2"/>
        <v>-6.1046511627906863E-3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192</v>
      </c>
      <c r="P8" s="34"/>
      <c r="Q8" s="2">
        <f>K18+M18-F18+Q2*Q4</f>
        <v>-483.87000000000262</v>
      </c>
      <c r="W8" s="133">
        <v>42579</v>
      </c>
      <c r="X8" s="10">
        <v>35.229999999999997</v>
      </c>
      <c r="Y8" s="10">
        <v>35.24</v>
      </c>
      <c r="Z8" s="10">
        <v>34.380000000000003</v>
      </c>
      <c r="AA8" s="10">
        <v>34.4</v>
      </c>
      <c r="AB8" s="95">
        <v>14357700</v>
      </c>
      <c r="AC8" s="10">
        <v>34.4</v>
      </c>
      <c r="AD8" s="2">
        <f t="shared" si="1"/>
        <v>0.85999999999999943</v>
      </c>
      <c r="AE8" s="138">
        <f t="shared" si="2"/>
        <v>-3.2892887264548865E-2</v>
      </c>
    </row>
    <row r="9" spans="1:31" x14ac:dyDescent="0.25">
      <c r="B9" s="1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231</v>
      </c>
      <c r="Q9" s="138">
        <f>IF(Q2=0, 0, Q8/Q6)</f>
        <v>-3.6088506228058786E-2</v>
      </c>
      <c r="W9" s="133">
        <v>42578</v>
      </c>
      <c r="X9" s="10">
        <v>36.32</v>
      </c>
      <c r="Y9" s="10">
        <v>36.369999999999997</v>
      </c>
      <c r="Z9" s="10">
        <v>35.54</v>
      </c>
      <c r="AA9" s="10">
        <v>35.57</v>
      </c>
      <c r="AB9" s="95">
        <v>6153000</v>
      </c>
      <c r="AC9" s="10">
        <v>35.57</v>
      </c>
      <c r="AD9" s="2">
        <f t="shared" si="1"/>
        <v>0.82999999999999829</v>
      </c>
      <c r="AE9" s="138">
        <f t="shared" si="2"/>
        <v>-2.3338824821526716E-2</v>
      </c>
    </row>
    <row r="10" spans="1:31" x14ac:dyDescent="0.25">
      <c r="B10" s="1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230</v>
      </c>
      <c r="P10" s="34"/>
      <c r="Q10" s="2">
        <f>M30</f>
        <v>0</v>
      </c>
      <c r="W10" s="133">
        <v>42577</v>
      </c>
      <c r="X10" s="10">
        <v>36.159999999999997</v>
      </c>
      <c r="Y10" s="10">
        <v>36.46</v>
      </c>
      <c r="Z10" s="10">
        <v>35.81</v>
      </c>
      <c r="AA10" s="10">
        <v>36.42</v>
      </c>
      <c r="AB10" s="95">
        <v>6946700</v>
      </c>
      <c r="AC10" s="10">
        <v>36.42</v>
      </c>
      <c r="AD10" s="2">
        <f t="shared" si="1"/>
        <v>0.64999999999999858</v>
      </c>
      <c r="AE10" s="138">
        <f t="shared" si="2"/>
        <v>1.7602682313495377E-2</v>
      </c>
    </row>
    <row r="11" spans="1:31" x14ac:dyDescent="0.25">
      <c r="B11" s="1">
        <v>42586</v>
      </c>
      <c r="C11" s="4">
        <v>100</v>
      </c>
      <c r="D11" s="2">
        <v>32.479999999999997</v>
      </c>
      <c r="E11" s="2">
        <v>0</v>
      </c>
      <c r="F11" s="2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1.47E-2</v>
      </c>
      <c r="W11" s="133">
        <v>42576</v>
      </c>
      <c r="X11" s="10">
        <v>35.729999999999997</v>
      </c>
      <c r="Y11" s="10">
        <v>35.79</v>
      </c>
      <c r="Z11" s="10">
        <v>35.42</v>
      </c>
      <c r="AA11" s="10">
        <v>35.79</v>
      </c>
      <c r="AB11" s="95">
        <v>5336900</v>
      </c>
      <c r="AC11" s="10">
        <v>35.79</v>
      </c>
      <c r="AD11" s="2">
        <f t="shared" si="1"/>
        <v>0.36999999999999744</v>
      </c>
      <c r="AE11" s="138">
        <f t="shared" si="2"/>
        <v>-5.2807115063924215E-3</v>
      </c>
    </row>
    <row r="12" spans="1:31" x14ac:dyDescent="0.25">
      <c r="H12" s="72"/>
      <c r="W12" s="133">
        <v>42573</v>
      </c>
      <c r="X12" s="10">
        <v>36.130000000000003</v>
      </c>
      <c r="Y12" s="10">
        <v>36.200000000000003</v>
      </c>
      <c r="Z12" s="10">
        <v>35.799999999999997</v>
      </c>
      <c r="AA12" s="10">
        <v>35.979999999999997</v>
      </c>
      <c r="AB12" s="95">
        <v>3264500</v>
      </c>
      <c r="AC12" s="10">
        <v>35.979999999999997</v>
      </c>
      <c r="AD12" s="2">
        <f t="shared" si="1"/>
        <v>0.40000000000000568</v>
      </c>
      <c r="AE12" s="138">
        <f t="shared" si="2"/>
        <v>5.5617352614012461E-4</v>
      </c>
    </row>
    <row r="13" spans="1:31" x14ac:dyDescent="0.25">
      <c r="H13" s="72"/>
      <c r="W13" s="133">
        <v>42572</v>
      </c>
      <c r="X13" s="10">
        <v>36.29</v>
      </c>
      <c r="Y13" s="10">
        <v>36.32</v>
      </c>
      <c r="Z13" s="10">
        <v>35.82</v>
      </c>
      <c r="AA13" s="10">
        <v>35.96</v>
      </c>
      <c r="AB13" s="95">
        <v>3705400</v>
      </c>
      <c r="AC13" s="10">
        <v>35.96</v>
      </c>
      <c r="AD13" s="2">
        <f t="shared" si="1"/>
        <v>0.5</v>
      </c>
      <c r="AE13" s="138">
        <f t="shared" si="2"/>
        <v>-1.2087912087912045E-2</v>
      </c>
    </row>
    <row r="14" spans="1:31" x14ac:dyDescent="0.25">
      <c r="H14" s="72"/>
      <c r="W14" s="133">
        <v>42571</v>
      </c>
      <c r="X14" s="10">
        <v>36.39</v>
      </c>
      <c r="Y14" s="10">
        <v>36.549999999999997</v>
      </c>
      <c r="Z14" s="10">
        <v>36.090000000000003</v>
      </c>
      <c r="AA14" s="10">
        <v>36.4</v>
      </c>
      <c r="AB14" s="95">
        <v>4127000</v>
      </c>
      <c r="AC14" s="10">
        <v>36.4</v>
      </c>
      <c r="AD14" s="2">
        <f t="shared" si="1"/>
        <v>0.45999999999999375</v>
      </c>
      <c r="AE14" s="138">
        <f t="shared" si="2"/>
        <v>5.2471692902511524E-3</v>
      </c>
    </row>
    <row r="15" spans="1:31" x14ac:dyDescent="0.25">
      <c r="H15" s="72"/>
      <c r="W15" s="133">
        <v>42570</v>
      </c>
      <c r="X15" s="10">
        <v>36.299999999999997</v>
      </c>
      <c r="Y15" s="10">
        <v>36.450000000000003</v>
      </c>
      <c r="Z15" s="10">
        <v>36.049999999999997</v>
      </c>
      <c r="AA15" s="10">
        <v>36.21</v>
      </c>
      <c r="AB15" s="95">
        <v>4820400</v>
      </c>
      <c r="AC15" s="10">
        <v>36.21</v>
      </c>
      <c r="AD15" s="2">
        <f t="shared" si="1"/>
        <v>0.40000000000000568</v>
      </c>
      <c r="AE15" s="138">
        <f t="shared" si="2"/>
        <v>-3.5773252614199613E-3</v>
      </c>
    </row>
    <row r="16" spans="1:31" x14ac:dyDescent="0.25">
      <c r="H16" s="72"/>
      <c r="W16" s="133">
        <v>42569</v>
      </c>
      <c r="X16" s="10">
        <v>36.69</v>
      </c>
      <c r="Y16" s="10">
        <v>36.85</v>
      </c>
      <c r="Z16" s="10">
        <v>36.299999999999997</v>
      </c>
      <c r="AA16" s="10">
        <v>36.340000000000003</v>
      </c>
      <c r="AB16" s="95">
        <v>8564000</v>
      </c>
      <c r="AC16" s="10">
        <v>36.340000000000003</v>
      </c>
      <c r="AD16" s="2">
        <f t="shared" si="1"/>
        <v>0.55000000000000426</v>
      </c>
      <c r="AE16" s="138">
        <f t="shared" si="2"/>
        <v>-1.0078997548351842E-2</v>
      </c>
    </row>
    <row r="17" spans="1:31" x14ac:dyDescent="0.25">
      <c r="W17" s="133">
        <v>42566</v>
      </c>
      <c r="X17" s="10">
        <v>37.049999999999997</v>
      </c>
      <c r="Y17" s="10">
        <v>37.26</v>
      </c>
      <c r="Z17" s="10">
        <v>36.44</v>
      </c>
      <c r="AA17" s="10">
        <v>36.71</v>
      </c>
      <c r="AB17" s="95">
        <v>7754100</v>
      </c>
      <c r="AC17" s="10">
        <v>36.71</v>
      </c>
      <c r="AD17" s="2">
        <f t="shared" si="1"/>
        <v>0.82000000000000028</v>
      </c>
      <c r="AE17" s="138">
        <f t="shared" si="2"/>
        <v>-1.5817694369973045E-2</v>
      </c>
    </row>
    <row r="18" spans="1:31" x14ac:dyDescent="0.25">
      <c r="A18" s="32" t="s">
        <v>81</v>
      </c>
      <c r="B18" s="14"/>
      <c r="C18" s="14">
        <f>SUM(C2:C11)</f>
        <v>580</v>
      </c>
      <c r="D18" s="18"/>
      <c r="E18" s="18"/>
      <c r="F18" s="18">
        <f>SUM(F2:F11)</f>
        <v>19970.830000000002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42565</v>
      </c>
      <c r="X18" s="10">
        <v>37.479999999999997</v>
      </c>
      <c r="Y18" s="10">
        <v>37.619999999999997</v>
      </c>
      <c r="Z18" s="10">
        <v>37.1</v>
      </c>
      <c r="AA18" s="10">
        <v>37.299999999999997</v>
      </c>
      <c r="AB18" s="95">
        <v>6840400</v>
      </c>
      <c r="AC18" s="10">
        <v>37.299999999999997</v>
      </c>
      <c r="AD18" s="2">
        <f t="shared" si="1"/>
        <v>0.51999999999999602</v>
      </c>
      <c r="AE18" s="138">
        <f t="shared" si="2"/>
        <v>-4.8025613660619415E-3</v>
      </c>
    </row>
    <row r="19" spans="1:31" ht="15.75" thickBot="1" x14ac:dyDescent="0.3">
      <c r="A19" s="363" t="s">
        <v>206</v>
      </c>
      <c r="B19" s="364"/>
      <c r="C19" s="365">
        <f>SumByColor($A$19,C2:C17)</f>
        <v>180</v>
      </c>
      <c r="D19" s="365"/>
      <c r="E19" s="365"/>
      <c r="F19" s="366">
        <f>SumByColor($A$19,F2:F17)</f>
        <v>6420</v>
      </c>
      <c r="G19" s="365"/>
      <c r="H19" s="365">
        <f>SumByColor($A$19,H2:H17)</f>
        <v>180</v>
      </c>
      <c r="I19" s="365"/>
      <c r="J19" s="365"/>
      <c r="K19" s="366">
        <f>SumByColor($A$19,K2:K17)</f>
        <v>6553</v>
      </c>
      <c r="L19" s="365"/>
      <c r="M19" s="366">
        <f t="shared" ref="M19" si="3">SumByColor($A$19,M2:M17)</f>
        <v>0</v>
      </c>
      <c r="W19" s="133">
        <v>42564</v>
      </c>
      <c r="X19" s="10">
        <v>37.340000000000003</v>
      </c>
      <c r="Y19" s="10">
        <v>37.64</v>
      </c>
      <c r="Z19" s="10">
        <v>37.159999999999997</v>
      </c>
      <c r="AA19" s="10">
        <v>37.479999999999997</v>
      </c>
      <c r="AB19" s="95">
        <v>5704700</v>
      </c>
      <c r="AC19" s="10">
        <v>37.479999999999997</v>
      </c>
      <c r="AD19" s="2">
        <f t="shared" si="1"/>
        <v>0.48000000000000398</v>
      </c>
      <c r="AE19" s="138">
        <f t="shared" si="2"/>
        <v>2.4070607114201614E-3</v>
      </c>
    </row>
    <row r="20" spans="1:31" x14ac:dyDescent="0.25">
      <c r="W20" s="133">
        <v>42563</v>
      </c>
      <c r="X20" s="10">
        <v>37.56</v>
      </c>
      <c r="Y20" s="10">
        <v>37.57</v>
      </c>
      <c r="Z20" s="10">
        <v>36.979999999999997</v>
      </c>
      <c r="AA20" s="10">
        <v>37.39</v>
      </c>
      <c r="AB20" s="95">
        <v>4572800</v>
      </c>
      <c r="AC20" s="10">
        <v>37.39</v>
      </c>
      <c r="AD20" s="2">
        <f t="shared" si="1"/>
        <v>0.59000000000000341</v>
      </c>
      <c r="AE20" s="138">
        <f t="shared" si="2"/>
        <v>-3.9957378795950627E-3</v>
      </c>
    </row>
    <row r="21" spans="1:31" x14ac:dyDescent="0.25">
      <c r="W21" s="133">
        <v>42562</v>
      </c>
      <c r="X21" s="10">
        <v>37.869999999999997</v>
      </c>
      <c r="Y21" s="10">
        <v>37.97</v>
      </c>
      <c r="Z21" s="10">
        <v>37.479999999999997</v>
      </c>
      <c r="AA21" s="10">
        <v>37.54</v>
      </c>
      <c r="AB21" s="95">
        <v>5871200</v>
      </c>
      <c r="AC21" s="10">
        <v>37.54</v>
      </c>
      <c r="AD21" s="2">
        <f t="shared" si="1"/>
        <v>0.49000000000000199</v>
      </c>
      <c r="AE21" s="138">
        <f t="shared" si="2"/>
        <v>-8.4521922873745936E-3</v>
      </c>
    </row>
    <row r="22" spans="1:31" x14ac:dyDescent="0.25">
      <c r="W22" s="133">
        <v>42559</v>
      </c>
      <c r="X22" s="10">
        <v>37.56</v>
      </c>
      <c r="Y22" s="10">
        <v>37.880000000000003</v>
      </c>
      <c r="Z22" s="10">
        <v>37.49</v>
      </c>
      <c r="AA22" s="10">
        <v>37.86</v>
      </c>
      <c r="AB22" s="95">
        <v>5792500</v>
      </c>
      <c r="AC22" s="10">
        <v>37.86</v>
      </c>
      <c r="AD22" s="2">
        <f t="shared" si="1"/>
        <v>0.39000000000000057</v>
      </c>
      <c r="AE22" s="138">
        <f t="shared" si="2"/>
        <v>1.4469453376205754E-2</v>
      </c>
    </row>
    <row r="23" spans="1:31" x14ac:dyDescent="0.25">
      <c r="W23" s="133">
        <v>42558</v>
      </c>
      <c r="X23" s="10">
        <v>37.51</v>
      </c>
      <c r="Y23" s="10">
        <v>37.72</v>
      </c>
      <c r="Z23" s="10">
        <v>37.19</v>
      </c>
      <c r="AA23" s="10">
        <v>37.32</v>
      </c>
      <c r="AB23" s="95">
        <v>8280600</v>
      </c>
      <c r="AC23" s="10">
        <v>37.32</v>
      </c>
      <c r="AD23" s="2">
        <f t="shared" si="1"/>
        <v>0.53000000000000114</v>
      </c>
      <c r="AE23" s="138">
        <f t="shared" si="2"/>
        <v>-6.9185737094198396E-3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37.31</v>
      </c>
      <c r="Y24" s="10">
        <v>37.65</v>
      </c>
      <c r="Z24" s="10">
        <v>37.28</v>
      </c>
      <c r="AA24" s="10">
        <v>37.58</v>
      </c>
      <c r="AB24" s="95">
        <v>9419300</v>
      </c>
      <c r="AC24" s="10">
        <v>37.58</v>
      </c>
      <c r="AD24" s="2">
        <f t="shared" si="1"/>
        <v>0.36999999999999744</v>
      </c>
      <c r="AE24" s="138">
        <f t="shared" si="2"/>
        <v>6.69702652022508E-3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3">
        <f t="shared" ref="H25:H38" si="6">(E25-D25)/D25</f>
        <v>-9.410323514672336E-3</v>
      </c>
      <c r="I25" s="40"/>
      <c r="W25" s="133">
        <v>42556</v>
      </c>
      <c r="X25" s="10">
        <v>36.6</v>
      </c>
      <c r="Y25" s="10">
        <v>37.4</v>
      </c>
      <c r="Z25" s="10">
        <v>36.549999999999997</v>
      </c>
      <c r="AA25" s="10">
        <v>37.33</v>
      </c>
      <c r="AB25" s="95">
        <v>8543400</v>
      </c>
      <c r="AC25" s="10">
        <v>37.33</v>
      </c>
      <c r="AD25" s="2">
        <f t="shared" si="1"/>
        <v>0.85000000000000142</v>
      </c>
      <c r="AE25" s="138">
        <f t="shared" si="2"/>
        <v>2.1340629274965828E-2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3">
        <f t="shared" si="6"/>
        <v>2.3720697143493622E-2</v>
      </c>
      <c r="I26" s="40"/>
      <c r="W26" s="133">
        <v>42552</v>
      </c>
      <c r="X26" s="10">
        <v>36.89</v>
      </c>
      <c r="Y26" s="10">
        <v>36.99</v>
      </c>
      <c r="Z26" s="10">
        <v>36.54</v>
      </c>
      <c r="AA26" s="10">
        <v>36.549999999999997</v>
      </c>
      <c r="AB26" s="95">
        <v>7121000</v>
      </c>
      <c r="AC26" s="10">
        <v>36.549999999999997</v>
      </c>
      <c r="AD26" s="2">
        <f t="shared" si="1"/>
        <v>0.45000000000000284</v>
      </c>
      <c r="AE26" s="138">
        <f t="shared" si="2"/>
        <v>-6.5235118238652356E-3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3">
        <f t="shared" si="6"/>
        <v>-3.8086753159975562E-2</v>
      </c>
      <c r="I27" s="40"/>
      <c r="W27" s="133">
        <v>42551</v>
      </c>
      <c r="X27" s="10">
        <v>36.450000000000003</v>
      </c>
      <c r="Y27" s="10">
        <v>36.79</v>
      </c>
      <c r="Z27" s="10">
        <v>36.03</v>
      </c>
      <c r="AA27" s="10">
        <v>36.79</v>
      </c>
      <c r="AB27" s="95">
        <v>10256300</v>
      </c>
      <c r="AC27" s="10">
        <v>36.79</v>
      </c>
      <c r="AD27" s="2">
        <f t="shared" si="1"/>
        <v>0.75999999999999801</v>
      </c>
      <c r="AE27" s="138">
        <f t="shared" si="2"/>
        <v>9.3278463648833743E-3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3">
        <f t="shared" si="6"/>
        <v>-2.9753839205058776E-2</v>
      </c>
      <c r="I28" s="40"/>
      <c r="W28" s="133">
        <v>42550</v>
      </c>
      <c r="X28" s="10">
        <v>36.35</v>
      </c>
      <c r="Y28" s="10">
        <v>36.65</v>
      </c>
      <c r="Z28" s="10">
        <v>36.24</v>
      </c>
      <c r="AA28" s="10">
        <v>36.450000000000003</v>
      </c>
      <c r="AB28" s="95">
        <v>7589500</v>
      </c>
      <c r="AC28" s="10">
        <v>36.450000000000003</v>
      </c>
      <c r="AD28" s="2">
        <f t="shared" si="1"/>
        <v>0.40999999999999659</v>
      </c>
      <c r="AE28" s="138">
        <f t="shared" si="2"/>
        <v>1.1095700416088983E-2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3">
        <f t="shared" si="6"/>
        <v>-5.8512915655772315E-3</v>
      </c>
      <c r="I29" s="40"/>
      <c r="W29" s="133">
        <v>42549</v>
      </c>
      <c r="X29" s="10">
        <v>36.81</v>
      </c>
      <c r="Y29" s="10">
        <v>37</v>
      </c>
      <c r="Z29" s="10">
        <v>35.880000000000003</v>
      </c>
      <c r="AA29" s="10">
        <v>36.049999999999997</v>
      </c>
      <c r="AB29" s="95">
        <v>11941500</v>
      </c>
      <c r="AC29" s="10">
        <v>36.049999999999997</v>
      </c>
      <c r="AD29" s="2">
        <f t="shared" si="1"/>
        <v>1.1199999999999974</v>
      </c>
      <c r="AE29" s="138">
        <f t="shared" si="2"/>
        <v>-1.5565264882577812E-2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3">
        <f t="shared" si="6"/>
        <v>1.5669678600022927E-2</v>
      </c>
      <c r="I30" s="40"/>
      <c r="W30" s="133">
        <v>42548</v>
      </c>
      <c r="X30" s="10">
        <v>34.880000000000003</v>
      </c>
      <c r="Y30" s="10">
        <v>36.869999999999997</v>
      </c>
      <c r="Z30" s="10">
        <v>34.75</v>
      </c>
      <c r="AA30" s="10">
        <v>36.619999999999997</v>
      </c>
      <c r="AB30" s="95">
        <v>19450000</v>
      </c>
      <c r="AC30" s="10">
        <v>36.619999999999997</v>
      </c>
      <c r="AD30" s="2">
        <f t="shared" si="1"/>
        <v>2.1199999999999974</v>
      </c>
      <c r="AE30" s="138">
        <f t="shared" si="2"/>
        <v>4.2117245304496231E-2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3">
        <f t="shared" si="6"/>
        <v>-9.150177284685914E-4</v>
      </c>
      <c r="I31" s="40"/>
      <c r="W31" s="133">
        <v>42545</v>
      </c>
      <c r="X31" s="10">
        <v>34</v>
      </c>
      <c r="Y31" s="10">
        <v>35.5</v>
      </c>
      <c r="Z31" s="10">
        <v>33.9</v>
      </c>
      <c r="AA31" s="10">
        <v>35.14</v>
      </c>
      <c r="AB31" s="95">
        <v>14689500</v>
      </c>
      <c r="AC31" s="10">
        <v>35.14</v>
      </c>
      <c r="AD31" s="2">
        <f t="shared" si="1"/>
        <v>1.6000000000000014</v>
      </c>
      <c r="AE31" s="138">
        <f t="shared" si="2"/>
        <v>1.3556388808768416E-2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3">
        <f t="shared" si="6"/>
        <v>3.0013249611152554E-2</v>
      </c>
      <c r="I32" s="40"/>
      <c r="W32" s="133">
        <v>42544</v>
      </c>
      <c r="X32" s="10">
        <v>34.54</v>
      </c>
      <c r="Y32" s="10">
        <v>34.67</v>
      </c>
      <c r="Z32" s="10">
        <v>34.35</v>
      </c>
      <c r="AA32" s="10">
        <v>34.67</v>
      </c>
      <c r="AB32" s="95">
        <v>8560700</v>
      </c>
      <c r="AC32" s="10">
        <v>34.67</v>
      </c>
      <c r="AD32" s="2">
        <f t="shared" si="1"/>
        <v>0.32000000000000028</v>
      </c>
      <c r="AE32" s="138">
        <f t="shared" si="2"/>
        <v>1.3150204558737721E-2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3">
        <f t="shared" si="6"/>
        <v>3.9478240794182211E-2</v>
      </c>
      <c r="I33" s="40"/>
      <c r="W33" s="133">
        <v>42543</v>
      </c>
      <c r="X33" s="10">
        <v>34.5</v>
      </c>
      <c r="Y33" s="10">
        <v>34.54</v>
      </c>
      <c r="Z33" s="10">
        <v>34.08</v>
      </c>
      <c r="AA33" s="10">
        <v>34.22</v>
      </c>
      <c r="AB33" s="95">
        <v>16952500</v>
      </c>
      <c r="AC33" s="10">
        <v>34.22</v>
      </c>
      <c r="AD33" s="2">
        <f t="shared" si="1"/>
        <v>0.46000000000000085</v>
      </c>
      <c r="AE33" s="138">
        <f t="shared" si="2"/>
        <v>-7.2526834928923201E-3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3">
        <f t="shared" si="6"/>
        <v>5.3907422371003176E-2</v>
      </c>
      <c r="I34" s="40"/>
      <c r="W34" s="133">
        <v>42542</v>
      </c>
      <c r="X34" s="10">
        <v>34.75</v>
      </c>
      <c r="Y34" s="10">
        <v>34.82</v>
      </c>
      <c r="Z34" s="10">
        <v>34.28</v>
      </c>
      <c r="AA34" s="10">
        <v>34.47</v>
      </c>
      <c r="AB34" s="95">
        <v>13322800</v>
      </c>
      <c r="AC34" s="10">
        <v>34.47</v>
      </c>
      <c r="AD34" s="2">
        <f t="shared" si="1"/>
        <v>0.53999999999999915</v>
      </c>
      <c r="AE34" s="138">
        <f t="shared" si="2"/>
        <v>-6.9144338807261008E-3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3">
        <f t="shared" si="6"/>
        <v>0.1968007282894951</v>
      </c>
      <c r="I35" s="40"/>
      <c r="W35" s="133">
        <v>42541</v>
      </c>
      <c r="X35" s="10">
        <v>35.299999999999997</v>
      </c>
      <c r="Y35" s="10">
        <v>35.67</v>
      </c>
      <c r="Z35" s="10">
        <v>34.71</v>
      </c>
      <c r="AA35" s="10">
        <v>34.71</v>
      </c>
      <c r="AB35" s="95">
        <v>9017900</v>
      </c>
      <c r="AC35" s="10">
        <v>34.71</v>
      </c>
      <c r="AD35" s="2">
        <f t="shared" si="1"/>
        <v>0.96000000000000085</v>
      </c>
      <c r="AE35" s="138">
        <f t="shared" si="2"/>
        <v>-1.3359863558840224E-2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3">
        <f t="shared" si="6"/>
        <v>6.1123822541823976E-2</v>
      </c>
      <c r="I36" s="40"/>
      <c r="W36" s="133">
        <v>42538</v>
      </c>
      <c r="X36" s="10">
        <v>35.369999999999997</v>
      </c>
      <c r="Y36" s="10">
        <v>35.5</v>
      </c>
      <c r="Z36" s="10">
        <v>34.520000000000003</v>
      </c>
      <c r="AA36" s="10">
        <v>35.18</v>
      </c>
      <c r="AB36" s="95">
        <v>16578200</v>
      </c>
      <c r="AC36" s="10">
        <v>35.18</v>
      </c>
      <c r="AD36" s="2">
        <f t="shared" si="1"/>
        <v>0.97999999999999687</v>
      </c>
      <c r="AE36" s="138">
        <f t="shared" si="2"/>
        <v>-8.1759233154778954E-3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3">
        <f t="shared" si="6"/>
        <v>3.1500742942050589E-2</v>
      </c>
      <c r="I37" s="40"/>
      <c r="W37" s="133">
        <v>42537</v>
      </c>
      <c r="X37" s="10">
        <v>36.979999999999997</v>
      </c>
      <c r="Y37" s="10">
        <v>36.979999999999997</v>
      </c>
      <c r="Z37" s="10">
        <v>35.35</v>
      </c>
      <c r="AA37" s="10">
        <v>35.47</v>
      </c>
      <c r="AB37" s="95">
        <v>19034000</v>
      </c>
      <c r="AC37" s="10">
        <v>35.47</v>
      </c>
      <c r="AD37" s="2">
        <f t="shared" si="1"/>
        <v>1.6299999999999955</v>
      </c>
      <c r="AE37" s="138">
        <f t="shared" si="2"/>
        <v>-6.720806496779641E-3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3">
        <f t="shared" si="6"/>
        <v>8.8164502421775148E-2</v>
      </c>
      <c r="I38" s="40"/>
      <c r="W38" s="133">
        <v>42536</v>
      </c>
      <c r="X38" s="10">
        <v>35.479999999999997</v>
      </c>
      <c r="Y38" s="10">
        <v>36.01</v>
      </c>
      <c r="Z38" s="10">
        <v>35.14</v>
      </c>
      <c r="AA38" s="10">
        <v>35.71</v>
      </c>
      <c r="AB38" s="95">
        <v>13499800</v>
      </c>
      <c r="AC38" s="10">
        <v>35.71</v>
      </c>
      <c r="AD38" s="2">
        <f t="shared" si="1"/>
        <v>0.86999999999999744</v>
      </c>
      <c r="AE38" s="138">
        <f t="shared" si="2"/>
        <v>-1.3982102908276506E-3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3">
        <f t="shared" ref="H39" si="9">(E39-D39)/D39</f>
        <v>0.10926217573470418</v>
      </c>
      <c r="I39" s="40"/>
      <c r="W39" s="133">
        <v>42535</v>
      </c>
      <c r="X39" s="10">
        <v>35.96</v>
      </c>
      <c r="Y39" s="10">
        <v>36.18</v>
      </c>
      <c r="Z39" s="10">
        <v>35.409999999999997</v>
      </c>
      <c r="AA39" s="10">
        <v>35.76</v>
      </c>
      <c r="AB39" s="95">
        <v>8839800</v>
      </c>
      <c r="AC39" s="10">
        <v>35.76</v>
      </c>
      <c r="AD39" s="2">
        <f t="shared" si="1"/>
        <v>0.77000000000000313</v>
      </c>
      <c r="AE39" s="138">
        <f t="shared" si="2"/>
        <v>-1.0514665190924255E-2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3">
        <f t="shared" ref="H40" si="12">(E40-D40)/D40</f>
        <v>0.12501114313731318</v>
      </c>
      <c r="I40" s="40"/>
      <c r="O40" s="525" t="s">
        <v>78</v>
      </c>
      <c r="P40" s="525"/>
      <c r="W40" s="133">
        <v>42534</v>
      </c>
      <c r="X40" s="10">
        <v>36.450000000000003</v>
      </c>
      <c r="Y40" s="10">
        <v>36.56</v>
      </c>
      <c r="Z40" s="10">
        <v>35.92</v>
      </c>
      <c r="AA40" s="10">
        <v>36.14</v>
      </c>
      <c r="AB40" s="95">
        <v>9025300</v>
      </c>
      <c r="AC40" s="10">
        <v>36.14</v>
      </c>
      <c r="AD40" s="2">
        <f t="shared" si="1"/>
        <v>0.64000000000000057</v>
      </c>
      <c r="AE40" s="138">
        <f t="shared" si="2"/>
        <v>-1.8201575658788438E-2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3">
        <f t="shared" ref="H41" si="15">(E41-D41)/D41</f>
        <v>0.11104507770481092</v>
      </c>
      <c r="I41" s="40"/>
      <c r="O41" s="83">
        <v>1.1000000000000001</v>
      </c>
      <c r="P41" s="83">
        <f>O41*$Q$4</f>
        <v>35.541000000000004</v>
      </c>
      <c r="Q41" s="2"/>
      <c r="W41" s="133">
        <v>42531</v>
      </c>
      <c r="X41" s="10">
        <v>36.380000000000003</v>
      </c>
      <c r="Y41" s="10">
        <v>37</v>
      </c>
      <c r="Z41" s="10">
        <v>36.17</v>
      </c>
      <c r="AA41" s="10">
        <v>36.81</v>
      </c>
      <c r="AB41" s="95">
        <v>7768800</v>
      </c>
      <c r="AC41" s="10">
        <v>36.81</v>
      </c>
      <c r="AD41" s="2">
        <f t="shared" si="1"/>
        <v>0.82999999999999829</v>
      </c>
      <c r="AE41" s="138">
        <f t="shared" si="2"/>
        <v>6.2875888463642671E-3</v>
      </c>
    </row>
    <row r="42" spans="2:31" ht="20.25" thickBot="1" x14ac:dyDescent="0.35">
      <c r="B42" s="195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3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35.217900000000007</v>
      </c>
      <c r="Q42" s="2"/>
      <c r="T42" s="91" t="s">
        <v>113</v>
      </c>
      <c r="W42" s="133">
        <v>42530</v>
      </c>
      <c r="X42" s="10">
        <v>36.5</v>
      </c>
      <c r="Y42" s="10">
        <v>36.799999999999997</v>
      </c>
      <c r="Z42" s="10">
        <v>36.32</v>
      </c>
      <c r="AA42" s="10">
        <v>36.58</v>
      </c>
      <c r="AB42" s="95">
        <v>7083500</v>
      </c>
      <c r="AC42" s="10">
        <v>36.58</v>
      </c>
      <c r="AD42" s="2">
        <f t="shared" si="1"/>
        <v>0.47999999999999687</v>
      </c>
      <c r="AE42" s="138">
        <f t="shared" si="2"/>
        <v>1.6429353778750766E-3</v>
      </c>
    </row>
    <row r="43" spans="2:31" ht="15.75" thickTop="1" x14ac:dyDescent="0.25">
      <c r="B43" s="195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3">
        <f t="shared" ref="H43" si="22">(E43-D43)/D43</f>
        <v>7.5981338959379613E-2</v>
      </c>
      <c r="I43" s="40"/>
      <c r="O43" s="83">
        <v>1.08</v>
      </c>
      <c r="P43" s="83">
        <f t="shared" si="19"/>
        <v>34.894800000000004</v>
      </c>
      <c r="Q43" s="2"/>
      <c r="T43" s="128" t="s">
        <v>98</v>
      </c>
      <c r="U43" s="98">
        <v>32.549999999999997</v>
      </c>
      <c r="W43" s="133">
        <v>42529</v>
      </c>
      <c r="X43" s="10">
        <v>36.31</v>
      </c>
      <c r="Y43" s="10">
        <v>36.700000000000003</v>
      </c>
      <c r="Z43" s="10">
        <v>36.17</v>
      </c>
      <c r="AA43" s="10">
        <v>36.520000000000003</v>
      </c>
      <c r="AB43" s="95">
        <v>5173000</v>
      </c>
      <c r="AC43" s="10">
        <v>36.520000000000003</v>
      </c>
      <c r="AD43" s="2">
        <f t="shared" si="1"/>
        <v>0.53000000000000114</v>
      </c>
      <c r="AE43" s="138">
        <f t="shared" si="2"/>
        <v>6.3378341140811756E-3</v>
      </c>
    </row>
    <row r="44" spans="2:31" x14ac:dyDescent="0.25">
      <c r="B44" s="195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3">
        <f t="shared" ref="H44" si="25">(E44-D44)/D44</f>
        <v>8.16271951980507E-2</v>
      </c>
      <c r="I44" s="40"/>
      <c r="O44" s="83">
        <v>1.07</v>
      </c>
      <c r="P44" s="83">
        <f t="shared" si="19"/>
        <v>34.571700000000007</v>
      </c>
      <c r="Q44" s="2"/>
      <c r="T44" s="93" t="s">
        <v>99</v>
      </c>
      <c r="U44" s="88">
        <v>32.65</v>
      </c>
      <c r="W44" s="133">
        <v>42528</v>
      </c>
      <c r="X44" s="10">
        <v>36.11</v>
      </c>
      <c r="Y44" s="10">
        <v>36.520000000000003</v>
      </c>
      <c r="Z44" s="10">
        <v>35.92</v>
      </c>
      <c r="AA44" s="10">
        <v>36.29</v>
      </c>
      <c r="AB44" s="95">
        <v>3577200</v>
      </c>
      <c r="AC44" s="10">
        <v>36.29</v>
      </c>
      <c r="AD44" s="2">
        <f t="shared" si="1"/>
        <v>0.60000000000000142</v>
      </c>
      <c r="AE44" s="138">
        <f t="shared" si="2"/>
        <v>7.4958356468628473E-3</v>
      </c>
    </row>
    <row r="45" spans="2:31" x14ac:dyDescent="0.25">
      <c r="B45" s="195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3">
        <f t="shared" ref="H45" si="28">(E45-D45)/D45</f>
        <v>6.8552580750601791E-2</v>
      </c>
      <c r="I45" s="40"/>
      <c r="O45" s="83">
        <v>1.06</v>
      </c>
      <c r="P45" s="83">
        <f t="shared" si="19"/>
        <v>34.248600000000003</v>
      </c>
      <c r="Q45" s="2"/>
      <c r="T45" s="93" t="s">
        <v>100</v>
      </c>
      <c r="U45" s="88" t="s">
        <v>505</v>
      </c>
      <c r="W45" s="133">
        <v>42527</v>
      </c>
      <c r="X45" s="10">
        <v>36.22</v>
      </c>
      <c r="Y45" s="10">
        <v>36.42</v>
      </c>
      <c r="Z45" s="10">
        <v>35.99</v>
      </c>
      <c r="AA45" s="10">
        <v>36.020000000000003</v>
      </c>
      <c r="AB45" s="95">
        <v>3684300</v>
      </c>
      <c r="AC45" s="10">
        <v>36.020000000000003</v>
      </c>
      <c r="AD45" s="2">
        <f t="shared" si="1"/>
        <v>0.42999999999999972</v>
      </c>
      <c r="AE45" s="138">
        <f t="shared" si="2"/>
        <v>-6.3448275862068026E-3</v>
      </c>
    </row>
    <row r="46" spans="2:31" x14ac:dyDescent="0.25">
      <c r="B46" s="195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3">
        <f t="shared" ref="H46" si="31">(E46-D46)/D46</f>
        <v>6.3501025168632833E-2</v>
      </c>
      <c r="I46" s="40"/>
      <c r="O46" s="83">
        <v>1.05</v>
      </c>
      <c r="P46" s="83">
        <f t="shared" si="19"/>
        <v>33.925500000000007</v>
      </c>
      <c r="Q46" s="2"/>
      <c r="T46" s="93" t="s">
        <v>101</v>
      </c>
      <c r="U46" s="88" t="s">
        <v>506</v>
      </c>
      <c r="W46" s="133">
        <v>42524</v>
      </c>
      <c r="X46" s="10">
        <v>36.200000000000003</v>
      </c>
      <c r="Y46" s="10">
        <v>36.35</v>
      </c>
      <c r="Z46" s="10">
        <v>36</v>
      </c>
      <c r="AA46" s="10">
        <v>36.25</v>
      </c>
      <c r="AB46" s="95">
        <v>4697100</v>
      </c>
      <c r="AC46" s="10">
        <v>36.25</v>
      </c>
      <c r="AD46" s="2">
        <f t="shared" si="1"/>
        <v>0.35000000000000142</v>
      </c>
      <c r="AE46" s="138">
        <f t="shared" si="2"/>
        <v>-5.2140504939626187E-3</v>
      </c>
    </row>
    <row r="47" spans="2:31" x14ac:dyDescent="0.25">
      <c r="B47" s="195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3">
        <f t="shared" ref="H47" si="34">(E47-D47)/D47</f>
        <v>8.222149585475301E-2</v>
      </c>
      <c r="I47" s="40"/>
      <c r="O47" s="83">
        <v>1.04</v>
      </c>
      <c r="P47" s="83">
        <f t="shared" si="19"/>
        <v>33.602400000000003</v>
      </c>
      <c r="Q47" s="2"/>
      <c r="T47" s="93" t="s">
        <v>102</v>
      </c>
      <c r="U47" s="88">
        <v>40.14</v>
      </c>
      <c r="W47" s="133">
        <v>42523</v>
      </c>
      <c r="X47" s="10">
        <v>36.299999999999997</v>
      </c>
      <c r="Y47" s="10">
        <v>36.520000000000003</v>
      </c>
      <c r="Z47" s="10">
        <v>36.090000000000003</v>
      </c>
      <c r="AA47" s="10">
        <v>36.44</v>
      </c>
      <c r="AB47" s="95">
        <v>5360700</v>
      </c>
      <c r="AC47" s="10">
        <v>36.44</v>
      </c>
      <c r="AD47" s="2">
        <f t="shared" si="1"/>
        <v>0.42999999999999972</v>
      </c>
      <c r="AE47" s="138">
        <f t="shared" si="2"/>
        <v>5.4914881932988102E-4</v>
      </c>
    </row>
    <row r="48" spans="2:31" x14ac:dyDescent="0.25">
      <c r="B48" s="195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3">
        <f t="shared" ref="H48" si="37">(E48-D48)/D48</f>
        <v>1.1586190672234263E-2</v>
      </c>
      <c r="I48" s="40"/>
      <c r="O48" s="83">
        <v>1.03</v>
      </c>
      <c r="P48" s="83">
        <f t="shared" si="19"/>
        <v>33.279300000000006</v>
      </c>
      <c r="Q48" s="2"/>
      <c r="T48" s="93" t="s">
        <v>103</v>
      </c>
      <c r="U48" s="88">
        <v>0.67461099999999996</v>
      </c>
      <c r="W48" s="133">
        <v>42522</v>
      </c>
      <c r="X48" s="10">
        <v>35.79</v>
      </c>
      <c r="Y48" s="10">
        <v>36.46</v>
      </c>
      <c r="Z48" s="10">
        <v>35.68</v>
      </c>
      <c r="AA48" s="10">
        <v>36.42</v>
      </c>
      <c r="AB48" s="95">
        <v>7869300</v>
      </c>
      <c r="AC48" s="10">
        <v>36.42</v>
      </c>
      <c r="AD48" s="2">
        <f t="shared" si="1"/>
        <v>0.78000000000000114</v>
      </c>
      <c r="AE48" s="138">
        <f t="shared" si="2"/>
        <v>1.8456375838926231E-2</v>
      </c>
    </row>
    <row r="49" spans="2:31" x14ac:dyDescent="0.25">
      <c r="B49" s="195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3">
        <f t="shared" ref="H49:H51" si="40">(E49-D49)/D49</f>
        <v>5.824899976465063E-3</v>
      </c>
      <c r="I49" s="40"/>
      <c r="O49" s="83">
        <v>1.02</v>
      </c>
      <c r="P49" s="83">
        <f t="shared" si="19"/>
        <v>32.956200000000003</v>
      </c>
      <c r="Q49" s="2"/>
      <c r="T49" s="93" t="s">
        <v>104</v>
      </c>
      <c r="U49" s="88" t="s">
        <v>261</v>
      </c>
      <c r="W49" s="133">
        <v>42521</v>
      </c>
      <c r="X49" s="10">
        <v>35.72</v>
      </c>
      <c r="Y49" s="10">
        <v>36.049999999999997</v>
      </c>
      <c r="Z49" s="10">
        <v>35.619999999999997</v>
      </c>
      <c r="AA49" s="10">
        <v>35.76</v>
      </c>
      <c r="AB49" s="95">
        <v>9953500</v>
      </c>
      <c r="AC49" s="10">
        <v>35.76</v>
      </c>
      <c r="AD49" s="2">
        <f t="shared" si="1"/>
        <v>0.42999999999999972</v>
      </c>
      <c r="AE49" s="138">
        <f t="shared" si="2"/>
        <v>1.4001680201622957E-3</v>
      </c>
    </row>
    <row r="50" spans="2:31" x14ac:dyDescent="0.25">
      <c r="B50" s="195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3">
        <f t="shared" si="40"/>
        <v>-3.7087344239059829E-2</v>
      </c>
      <c r="I50" s="40"/>
      <c r="O50" s="83">
        <v>1.01</v>
      </c>
      <c r="P50" s="83">
        <f t="shared" si="19"/>
        <v>32.633100000000006</v>
      </c>
      <c r="Q50" s="2"/>
      <c r="T50" s="93"/>
      <c r="U50" s="88"/>
      <c r="W50" s="133">
        <v>42517</v>
      </c>
      <c r="X50" s="10">
        <v>35.729999999999997</v>
      </c>
      <c r="Y50" s="10">
        <v>35.729999999999997</v>
      </c>
      <c r="Z50" s="10">
        <v>35.369999999999997</v>
      </c>
      <c r="AA50" s="10">
        <v>35.71</v>
      </c>
      <c r="AB50" s="95">
        <v>5271000</v>
      </c>
      <c r="AC50" s="10">
        <v>35.71</v>
      </c>
      <c r="AD50" s="2">
        <f t="shared" si="1"/>
        <v>0.35999999999999943</v>
      </c>
      <c r="AE50" s="138">
        <f t="shared" si="2"/>
        <v>3.3717336330429948E-3</v>
      </c>
    </row>
    <row r="51" spans="2:31" x14ac:dyDescent="0.25">
      <c r="B51" s="195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3">
        <f t="shared" si="40"/>
        <v>-2.8937947494033587E-2</v>
      </c>
      <c r="I51" s="40"/>
      <c r="O51" s="83">
        <v>1</v>
      </c>
      <c r="P51" s="83">
        <f t="shared" si="19"/>
        <v>32.31</v>
      </c>
      <c r="Q51" s="2"/>
      <c r="T51" s="93" t="s">
        <v>105</v>
      </c>
      <c r="U51" s="88" t="s">
        <v>507</v>
      </c>
      <c r="W51" s="133">
        <v>42516</v>
      </c>
      <c r="X51" s="10">
        <v>34.99</v>
      </c>
      <c r="Y51" s="10">
        <v>35.71</v>
      </c>
      <c r="Z51" s="10">
        <v>34.950000000000003</v>
      </c>
      <c r="AA51" s="10">
        <v>35.590000000000003</v>
      </c>
      <c r="AB51" s="95">
        <v>6631500</v>
      </c>
      <c r="AC51" s="10">
        <v>35.590000000000003</v>
      </c>
      <c r="AD51" s="2">
        <f t="shared" si="1"/>
        <v>0.75999999999999801</v>
      </c>
      <c r="AE51" s="138">
        <f t="shared" si="2"/>
        <v>1.8603319977103849E-2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9"/>
        <v>31.986900000000002</v>
      </c>
      <c r="Q52" s="2"/>
      <c r="T52" s="93" t="s">
        <v>106</v>
      </c>
      <c r="U52" s="88" t="s">
        <v>212</v>
      </c>
      <c r="W52" s="133">
        <v>42515</v>
      </c>
      <c r="X52" s="10">
        <v>35.549999999999997</v>
      </c>
      <c r="Y52" s="10">
        <v>35.69</v>
      </c>
      <c r="Z52" s="10">
        <v>34.83</v>
      </c>
      <c r="AA52" s="10">
        <v>34.94</v>
      </c>
      <c r="AB52" s="95">
        <v>6992700</v>
      </c>
      <c r="AC52" s="10">
        <v>34.94</v>
      </c>
      <c r="AD52" s="2">
        <f t="shared" si="1"/>
        <v>0.85999999999999943</v>
      </c>
      <c r="AE52" s="138">
        <f t="shared" si="2"/>
        <v>-1.6328828828829023E-2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9"/>
        <v>31.663800000000002</v>
      </c>
      <c r="Q53" s="2"/>
      <c r="T53" s="93" t="s">
        <v>107</v>
      </c>
      <c r="U53" s="90">
        <v>10343217</v>
      </c>
      <c r="W53" s="133">
        <v>42514</v>
      </c>
      <c r="X53" s="10">
        <v>34.82</v>
      </c>
      <c r="Y53" s="10">
        <v>35.549999999999997</v>
      </c>
      <c r="Z53" s="10">
        <v>34.79</v>
      </c>
      <c r="AA53" s="10">
        <v>35.520000000000003</v>
      </c>
      <c r="AB53" s="95">
        <v>7771600</v>
      </c>
      <c r="AC53" s="10">
        <v>35.520000000000003</v>
      </c>
      <c r="AD53" s="2">
        <f t="shared" si="1"/>
        <v>0.75999999999999801</v>
      </c>
      <c r="AE53" s="138">
        <f t="shared" si="2"/>
        <v>2.0689655172414056E-2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9"/>
        <v>31.340700000000002</v>
      </c>
      <c r="T54" s="93" t="s">
        <v>110</v>
      </c>
      <c r="U54" s="90">
        <v>8562330</v>
      </c>
      <c r="W54" s="133">
        <v>42513</v>
      </c>
      <c r="X54" s="10">
        <v>34.65</v>
      </c>
      <c r="Y54" s="10">
        <v>34.950000000000003</v>
      </c>
      <c r="Z54" s="10">
        <v>34.619999999999997</v>
      </c>
      <c r="AA54" s="10">
        <v>34.799999999999997</v>
      </c>
      <c r="AB54" s="95">
        <v>5940300</v>
      </c>
      <c r="AC54" s="10">
        <v>34.799999999999997</v>
      </c>
      <c r="AD54" s="2">
        <f t="shared" si="1"/>
        <v>0.3300000000000054</v>
      </c>
      <c r="AE54" s="138">
        <f t="shared" si="2"/>
        <v>5.199306759098743E-3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9"/>
        <v>31.017600000000002</v>
      </c>
      <c r="T55" s="93" t="s">
        <v>108</v>
      </c>
      <c r="U55" s="88" t="s">
        <v>508</v>
      </c>
      <c r="W55" s="133">
        <v>42510</v>
      </c>
      <c r="X55" s="10">
        <v>34.950000000000003</v>
      </c>
      <c r="Y55" s="10">
        <v>34.950000000000003</v>
      </c>
      <c r="Z55" s="10">
        <v>34.47</v>
      </c>
      <c r="AA55" s="10">
        <v>34.619999999999997</v>
      </c>
      <c r="AB55" s="95">
        <v>6173400</v>
      </c>
      <c r="AC55" s="10">
        <v>34.619999999999997</v>
      </c>
      <c r="AD55" s="2">
        <f t="shared" si="1"/>
        <v>0.48000000000000398</v>
      </c>
      <c r="AE55" s="138">
        <f t="shared" si="2"/>
        <v>-6.0292850990525393E-3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30.694500000000001</v>
      </c>
      <c r="T56" s="93" t="s">
        <v>111</v>
      </c>
      <c r="U56" s="88">
        <v>15.26</v>
      </c>
      <c r="W56" s="133">
        <v>42509</v>
      </c>
      <c r="X56" s="10">
        <v>34.49</v>
      </c>
      <c r="Y56" s="10">
        <v>34.909999999999997</v>
      </c>
      <c r="Z56" s="10">
        <v>34.299999999999997</v>
      </c>
      <c r="AA56" s="10">
        <v>34.83</v>
      </c>
      <c r="AB56" s="95">
        <v>8330400</v>
      </c>
      <c r="AC56" s="10">
        <v>34.83</v>
      </c>
      <c r="AD56" s="2">
        <f t="shared" si="1"/>
        <v>0.60999999999999943</v>
      </c>
      <c r="AE56" s="138">
        <f t="shared" si="2"/>
        <v>1.338376491125981E-2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30.371400000000001</v>
      </c>
      <c r="T57" s="93" t="s">
        <v>112</v>
      </c>
      <c r="U57" s="88">
        <v>2.14</v>
      </c>
      <c r="W57" s="133">
        <v>42508</v>
      </c>
      <c r="X57" s="10">
        <v>34.299999999999997</v>
      </c>
      <c r="Y57" s="10">
        <v>34.49</v>
      </c>
      <c r="Z57" s="10">
        <v>33.619999999999997</v>
      </c>
      <c r="AA57" s="10">
        <v>34.369999999999997</v>
      </c>
      <c r="AB57" s="95">
        <v>9784600</v>
      </c>
      <c r="AC57" s="10">
        <v>34.369999999999997</v>
      </c>
      <c r="AD57" s="2">
        <f t="shared" si="1"/>
        <v>0.87000000000000455</v>
      </c>
      <c r="AE57" s="138">
        <f t="shared" si="2"/>
        <v>-2.6117237376669378E-3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30.048300000000005</v>
      </c>
      <c r="T58" s="93" t="s">
        <v>109</v>
      </c>
      <c r="U58" s="88" t="s">
        <v>583</v>
      </c>
      <c r="W58" s="133">
        <v>42507</v>
      </c>
      <c r="X58" s="10">
        <v>34.64</v>
      </c>
      <c r="Y58" s="10">
        <v>34.82</v>
      </c>
      <c r="Z58" s="10">
        <v>34.31</v>
      </c>
      <c r="AA58" s="10">
        <v>34.46</v>
      </c>
      <c r="AB58" s="95">
        <v>5443900</v>
      </c>
      <c r="AC58" s="10">
        <v>34.46</v>
      </c>
      <c r="AD58" s="2">
        <f t="shared" si="1"/>
        <v>0.50999999999999801</v>
      </c>
      <c r="AE58" s="138">
        <f t="shared" si="2"/>
        <v>-8.6306098964326061E-3</v>
      </c>
    </row>
    <row r="59" spans="2:31" x14ac:dyDescent="0.25">
      <c r="O59" s="83">
        <v>0.92</v>
      </c>
      <c r="P59" s="83">
        <f t="shared" si="19"/>
        <v>29.725200000000005</v>
      </c>
      <c r="W59" s="133">
        <v>42506</v>
      </c>
      <c r="X59" s="10">
        <v>34.79</v>
      </c>
      <c r="Y59" s="10">
        <v>35.04</v>
      </c>
      <c r="Z59" s="10">
        <v>34.42</v>
      </c>
      <c r="AA59" s="10">
        <v>34.76</v>
      </c>
      <c r="AB59" s="95">
        <v>5932900</v>
      </c>
      <c r="AC59" s="10">
        <v>34.76</v>
      </c>
      <c r="AD59" s="2">
        <f t="shared" si="1"/>
        <v>0.61999999999999744</v>
      </c>
      <c r="AE59" s="138">
        <f t="shared" si="2"/>
        <v>-2.8686173264487191E-3</v>
      </c>
    </row>
    <row r="60" spans="2:31" x14ac:dyDescent="0.25">
      <c r="O60" s="83">
        <v>0.91</v>
      </c>
      <c r="P60" s="83">
        <f t="shared" si="19"/>
        <v>29.402100000000004</v>
      </c>
      <c r="W60" s="133">
        <v>42503</v>
      </c>
      <c r="X60" s="10">
        <v>34.72</v>
      </c>
      <c r="Y60" s="10">
        <v>35.200000000000003</v>
      </c>
      <c r="Z60" s="10">
        <v>34.69</v>
      </c>
      <c r="AA60" s="10">
        <v>34.86</v>
      </c>
      <c r="AB60" s="95">
        <v>6262900</v>
      </c>
      <c r="AC60" s="10">
        <v>34.86</v>
      </c>
      <c r="AD60" s="2">
        <f t="shared" si="1"/>
        <v>0.51000000000000512</v>
      </c>
      <c r="AE60" s="138">
        <f t="shared" si="2"/>
        <v>-8.5984522785897965E-4</v>
      </c>
    </row>
    <row r="61" spans="2:31" x14ac:dyDescent="0.25">
      <c r="O61" s="83">
        <v>0.9</v>
      </c>
      <c r="P61" s="83">
        <f t="shared" si="19"/>
        <v>29.079000000000004</v>
      </c>
      <c r="W61" s="133">
        <v>42502</v>
      </c>
      <c r="X61" s="10">
        <v>34.770000000000003</v>
      </c>
      <c r="Y61" s="10">
        <v>35.1</v>
      </c>
      <c r="Z61" s="10">
        <v>34.51</v>
      </c>
      <c r="AA61" s="10">
        <v>34.89</v>
      </c>
      <c r="AB61" s="95">
        <v>4972800</v>
      </c>
      <c r="AC61" s="10">
        <v>34.89</v>
      </c>
      <c r="AD61" s="2">
        <f t="shared" si="1"/>
        <v>0.59000000000000341</v>
      </c>
      <c r="AE61" s="138">
        <f t="shared" si="2"/>
        <v>5.1858254105445756E-3</v>
      </c>
    </row>
    <row r="62" spans="2:31" x14ac:dyDescent="0.25">
      <c r="W62" s="133">
        <v>42501</v>
      </c>
      <c r="X62" s="10">
        <v>34.979999999999997</v>
      </c>
      <c r="Y62" s="10">
        <v>35.19</v>
      </c>
      <c r="Z62" s="10">
        <v>34.700000000000003</v>
      </c>
      <c r="AA62" s="10">
        <v>34.71</v>
      </c>
      <c r="AB62" s="95">
        <v>5619600</v>
      </c>
      <c r="AC62" s="10">
        <v>34.71</v>
      </c>
      <c r="AD62" s="2">
        <f t="shared" si="1"/>
        <v>0.48999999999999488</v>
      </c>
      <c r="AE62" s="138" t="e">
        <f t="shared" si="2"/>
        <v>#DIV/0!</v>
      </c>
    </row>
    <row r="63" spans="2:31" x14ac:dyDescent="0.25">
      <c r="W63" s="133">
        <v>42501</v>
      </c>
      <c r="X63" s="10" t="s">
        <v>177</v>
      </c>
      <c r="Y63" s="10"/>
      <c r="Z63" s="10"/>
      <c r="AA63" s="10"/>
      <c r="AB63" s="95"/>
      <c r="AC63" s="10"/>
      <c r="AD63" s="2">
        <f t="shared" si="1"/>
        <v>0</v>
      </c>
      <c r="AE63" s="138">
        <f t="shared" si="2"/>
        <v>-1</v>
      </c>
    </row>
    <row r="64" spans="2:31" x14ac:dyDescent="0.25">
      <c r="W64" s="133">
        <v>42500</v>
      </c>
      <c r="X64" s="10">
        <v>35.44</v>
      </c>
      <c r="Y64" s="10">
        <v>35.57</v>
      </c>
      <c r="Z64" s="10">
        <v>34.97</v>
      </c>
      <c r="AA64" s="10">
        <v>35.24</v>
      </c>
      <c r="AB64" s="95">
        <v>7819500</v>
      </c>
      <c r="AC64" s="10">
        <v>35.14</v>
      </c>
      <c r="AD64" s="2">
        <f t="shared" si="1"/>
        <v>0.60000000000000142</v>
      </c>
      <c r="AE64" s="138">
        <f t="shared" si="2"/>
        <v>-1.6512734396865292E-2</v>
      </c>
    </row>
    <row r="65" spans="23:31" x14ac:dyDescent="0.25">
      <c r="W65" s="133">
        <v>42499</v>
      </c>
      <c r="X65" s="10">
        <v>34.799999999999997</v>
      </c>
      <c r="Y65" s="10">
        <v>35.89</v>
      </c>
      <c r="Z65" s="10">
        <v>34.56</v>
      </c>
      <c r="AA65" s="10">
        <v>35.840000000000003</v>
      </c>
      <c r="AB65" s="95">
        <v>8410100</v>
      </c>
      <c r="AC65" s="10">
        <v>35.729999999999997</v>
      </c>
      <c r="AD65" s="2">
        <f t="shared" si="1"/>
        <v>1.3299999999999983</v>
      </c>
      <c r="AE65" s="138">
        <f t="shared" si="2"/>
        <v>3.7155297532655895E-2</v>
      </c>
    </row>
    <row r="66" spans="23:31" x14ac:dyDescent="0.25">
      <c r="W66" s="133">
        <v>42496</v>
      </c>
      <c r="X66" s="10">
        <v>34.89</v>
      </c>
      <c r="Y66" s="10">
        <v>34.99</v>
      </c>
      <c r="Z66" s="10">
        <v>34.229999999999997</v>
      </c>
      <c r="AA66" s="10">
        <v>34.549999999999997</v>
      </c>
      <c r="AB66" s="95">
        <v>5042700</v>
      </c>
      <c r="AC66" s="10">
        <v>34.450000000000003</v>
      </c>
      <c r="AD66" s="2">
        <f t="shared" si="1"/>
        <v>0.76000000000000512</v>
      </c>
      <c r="AE66" s="138">
        <f t="shared" si="2"/>
        <v>-1.0626076967260145E-2</v>
      </c>
    </row>
    <row r="67" spans="23:31" x14ac:dyDescent="0.25">
      <c r="W67" s="133">
        <v>42495</v>
      </c>
      <c r="X67" s="10">
        <v>34.479999999999997</v>
      </c>
      <c r="Y67" s="10">
        <v>34.99</v>
      </c>
      <c r="Z67" s="10">
        <v>34.22</v>
      </c>
      <c r="AA67" s="10">
        <v>34.92</v>
      </c>
      <c r="AB67" s="95">
        <v>11364400</v>
      </c>
      <c r="AC67" s="10">
        <v>34.82</v>
      </c>
      <c r="AD67" s="2">
        <f>Y67-Z67</f>
        <v>0.77000000000000313</v>
      </c>
      <c r="AE67" s="138" t="e">
        <f>AC67/#REF!-1</f>
        <v>#REF!</v>
      </c>
    </row>
    <row r="68" spans="23:31" x14ac:dyDescent="0.25">
      <c r="W68" s="133">
        <v>42494</v>
      </c>
      <c r="X68" s="10">
        <v>35.03</v>
      </c>
      <c r="Y68" s="10">
        <v>35.08</v>
      </c>
      <c r="Z68" s="10">
        <v>34.19</v>
      </c>
      <c r="AA68" s="10">
        <v>35</v>
      </c>
      <c r="AB68" s="95">
        <v>8048200</v>
      </c>
      <c r="AC68" s="10">
        <v>34.9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37" priority="31">
      <formula>F29&gt;0</formula>
    </cfRule>
    <cfRule type="expression" dxfId="536" priority="32">
      <formula>F29&lt;0</formula>
    </cfRule>
  </conditionalFormatting>
  <conditionalFormatting sqref="F34:F47 F50:F58">
    <cfRule type="expression" dxfId="535" priority="27">
      <formula>F34&gt;0</formula>
    </cfRule>
    <cfRule type="expression" dxfId="534" priority="28">
      <formula>F34&lt;0</formula>
    </cfRule>
  </conditionalFormatting>
  <conditionalFormatting sqref="F34:F47 F50:F58">
    <cfRule type="expression" dxfId="533" priority="29">
      <formula>F34&gt;0</formula>
    </cfRule>
    <cfRule type="expression" dxfId="532" priority="30">
      <formula>F34&lt;0</formula>
    </cfRule>
  </conditionalFormatting>
  <conditionalFormatting sqref="H29:H47 H50:H58">
    <cfRule type="expression" dxfId="531" priority="25">
      <formula>H29&gt;0</formula>
    </cfRule>
    <cfRule type="expression" dxfId="530" priority="26">
      <formula>H29&lt;0</formula>
    </cfRule>
  </conditionalFormatting>
  <conditionalFormatting sqref="F25:F28">
    <cfRule type="expression" dxfId="529" priority="19">
      <formula>F25&gt;0</formula>
    </cfRule>
    <cfRule type="expression" dxfId="528" priority="20">
      <formula>F25&lt;0</formula>
    </cfRule>
  </conditionalFormatting>
  <conditionalFormatting sqref="H25:H28">
    <cfRule type="expression" dxfId="527" priority="17">
      <formula>H25&gt;0</formula>
    </cfRule>
    <cfRule type="expression" dxfId="526" priority="18">
      <formula>H25&lt;0</formula>
    </cfRule>
  </conditionalFormatting>
  <conditionalFormatting sqref="Q8">
    <cfRule type="expression" dxfId="525" priority="13">
      <formula>Q8&gt;0</formula>
    </cfRule>
    <cfRule type="expression" dxfId="524" priority="14">
      <formula>Q8&lt;0</formula>
    </cfRule>
  </conditionalFormatting>
  <conditionalFormatting sqref="Q7">
    <cfRule type="expression" dxfId="523" priority="15">
      <formula>Q7&gt;0</formula>
    </cfRule>
    <cfRule type="expression" dxfId="522" priority="16">
      <formula>Q7&lt;0</formula>
    </cfRule>
  </conditionalFormatting>
  <conditionalFormatting sqref="F48">
    <cfRule type="expression" dxfId="521" priority="9">
      <formula>F48&gt;0</formula>
    </cfRule>
    <cfRule type="expression" dxfId="520" priority="10">
      <formula>F48&lt;0</formula>
    </cfRule>
  </conditionalFormatting>
  <conditionalFormatting sqref="F48">
    <cfRule type="expression" dxfId="519" priority="11">
      <formula>F48&gt;0</formula>
    </cfRule>
    <cfRule type="expression" dxfId="518" priority="12">
      <formula>F48&lt;0</formula>
    </cfRule>
  </conditionalFormatting>
  <conditionalFormatting sqref="H48">
    <cfRule type="expression" dxfId="517" priority="7">
      <formula>H48&gt;0</formula>
    </cfRule>
    <cfRule type="expression" dxfId="516" priority="8">
      <formula>H48&lt;0</formula>
    </cfRule>
  </conditionalFormatting>
  <conditionalFormatting sqref="F49">
    <cfRule type="expression" dxfId="515" priority="3">
      <formula>F49&gt;0</formula>
    </cfRule>
    <cfRule type="expression" dxfId="514" priority="4">
      <formula>F49&lt;0</formula>
    </cfRule>
  </conditionalFormatting>
  <conditionalFormatting sqref="F49">
    <cfRule type="expression" dxfId="513" priority="5">
      <formula>F49&gt;0</formula>
    </cfRule>
    <cfRule type="expression" dxfId="512" priority="6">
      <formula>F49&lt;0</formula>
    </cfRule>
  </conditionalFormatting>
  <conditionalFormatting sqref="H49">
    <cfRule type="expression" dxfId="511" priority="1">
      <formula>H49&gt;0</formula>
    </cfRule>
    <cfRule type="expression" dxfId="510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213</v>
      </c>
      <c r="B2" s="482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2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"/>
      <c r="O2" s="11" t="s">
        <v>57</v>
      </c>
      <c r="Q2">
        <f>C18-H18</f>
        <v>250</v>
      </c>
      <c r="T2" s="1"/>
      <c r="W2" s="133">
        <v>42587</v>
      </c>
      <c r="X2" s="10">
        <v>12.16</v>
      </c>
      <c r="Y2" s="10">
        <v>12.26</v>
      </c>
      <c r="Z2" s="10">
        <v>12.16</v>
      </c>
      <c r="AA2" s="10">
        <v>12.19</v>
      </c>
      <c r="AB2" s="95">
        <v>31072500</v>
      </c>
      <c r="AC2" s="10">
        <v>12.19</v>
      </c>
      <c r="AD2" s="2">
        <f>Y2-Z2</f>
        <v>9.9999999999999645E-2</v>
      </c>
      <c r="AE2" s="138">
        <f>AC2/AC3-1</f>
        <v>9.1059602649006255E-3</v>
      </c>
    </row>
    <row r="3" spans="1:31" x14ac:dyDescent="0.25">
      <c r="A3" s="23" t="s">
        <v>71</v>
      </c>
      <c r="B3" s="482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2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2">
        <f>IF(Q2=0, Q4, (F18-K18-M18)/Q2)</f>
        <v>12.28632</v>
      </c>
      <c r="T3" s="1"/>
      <c r="W3" s="133">
        <v>42586</v>
      </c>
      <c r="X3" s="10">
        <v>12.12</v>
      </c>
      <c r="Y3" s="10">
        <v>12.23</v>
      </c>
      <c r="Z3" s="10">
        <v>12.05</v>
      </c>
      <c r="AA3" s="10">
        <v>12.08</v>
      </c>
      <c r="AB3" s="95">
        <v>38443200</v>
      </c>
      <c r="AC3" s="10">
        <v>12.08</v>
      </c>
      <c r="AD3" s="2">
        <f t="shared" ref="AD3:AD66" si="0">Y3-Z3</f>
        <v>0.17999999999999972</v>
      </c>
      <c r="AE3" s="138">
        <f t="shared" ref="AE3:AE66" si="1">AC3/AC4-1</f>
        <v>-4.1220115416323866E-3</v>
      </c>
    </row>
    <row r="4" spans="1:31" x14ac:dyDescent="0.25">
      <c r="B4" s="482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82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12.18</v>
      </c>
      <c r="T4" s="163"/>
      <c r="W4" s="133">
        <v>42585</v>
      </c>
      <c r="X4" s="10">
        <v>12.02</v>
      </c>
      <c r="Y4" s="10">
        <v>12.2</v>
      </c>
      <c r="Z4" s="10">
        <v>11.94</v>
      </c>
      <c r="AA4" s="10">
        <v>12.13</v>
      </c>
      <c r="AB4" s="95">
        <v>47323300</v>
      </c>
      <c r="AC4" s="10">
        <v>12.13</v>
      </c>
      <c r="AD4" s="2">
        <f t="shared" si="0"/>
        <v>0.25999999999999979</v>
      </c>
      <c r="AE4" s="138">
        <f t="shared" si="1"/>
        <v>1.5912897822445649E-2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3045</v>
      </c>
      <c r="W5" s="133">
        <v>42584</v>
      </c>
      <c r="X5" s="10">
        <v>12.35</v>
      </c>
      <c r="Y5" s="10">
        <v>12.36</v>
      </c>
      <c r="Z5" s="10">
        <v>11.9</v>
      </c>
      <c r="AA5" s="10">
        <v>11.94</v>
      </c>
      <c r="AB5" s="95">
        <v>101624900</v>
      </c>
      <c r="AC5" s="10">
        <v>11.94</v>
      </c>
      <c r="AD5" s="2">
        <f t="shared" si="0"/>
        <v>0.45999999999999908</v>
      </c>
      <c r="AE5" s="138">
        <f t="shared" si="1"/>
        <v>-4.3269230769230838E-2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42583</v>
      </c>
      <c r="X6" s="10">
        <v>12.61</v>
      </c>
      <c r="Y6" s="10">
        <v>12.62</v>
      </c>
      <c r="Z6" s="10">
        <v>12.4</v>
      </c>
      <c r="AA6" s="10">
        <v>12.48</v>
      </c>
      <c r="AB6" s="95">
        <v>51963100</v>
      </c>
      <c r="AC6" s="10">
        <v>12.48</v>
      </c>
      <c r="AD6" s="2">
        <f t="shared" si="0"/>
        <v>0.21999999999999886</v>
      </c>
      <c r="AE6" s="138">
        <f t="shared" si="1"/>
        <v>-1.4218009478672911E-2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188</v>
      </c>
      <c r="Q7" s="2">
        <f>Q10+Q8</f>
        <v>-26.579999999999927</v>
      </c>
      <c r="R7">
        <v>250</v>
      </c>
      <c r="W7" s="133">
        <v>42580</v>
      </c>
      <c r="X7" s="10">
        <v>12.61</v>
      </c>
      <c r="Y7" s="10">
        <v>12.88</v>
      </c>
      <c r="Z7" s="10">
        <v>12.6</v>
      </c>
      <c r="AA7" s="10">
        <v>12.66</v>
      </c>
      <c r="AB7" s="95">
        <v>59754100</v>
      </c>
      <c r="AC7" s="10">
        <v>12.66</v>
      </c>
      <c r="AD7" s="2">
        <f t="shared" si="0"/>
        <v>0.28000000000000114</v>
      </c>
      <c r="AE7" s="138">
        <f t="shared" si="1"/>
        <v>-3.9339103068450898E-3</v>
      </c>
    </row>
    <row r="8" spans="1:31" x14ac:dyDescent="0.25">
      <c r="H8" s="72"/>
      <c r="O8" s="11" t="s">
        <v>192</v>
      </c>
      <c r="P8" s="34"/>
      <c r="Q8" s="2">
        <f>K18+M18-F18+Q2*Q4</f>
        <v>-26.579999999999927</v>
      </c>
      <c r="W8" s="133">
        <v>42579</v>
      </c>
      <c r="X8" s="10">
        <v>12.78</v>
      </c>
      <c r="Y8" s="10">
        <v>12.86</v>
      </c>
      <c r="Z8" s="10">
        <v>12.45</v>
      </c>
      <c r="AA8" s="10">
        <v>12.71</v>
      </c>
      <c r="AB8" s="95">
        <v>142168600</v>
      </c>
      <c r="AC8" s="10">
        <v>12.71</v>
      </c>
      <c r="AD8" s="2">
        <f t="shared" si="0"/>
        <v>0.41000000000000014</v>
      </c>
      <c r="AE8" s="138">
        <f t="shared" si="1"/>
        <v>-8.1647398843930574E-2</v>
      </c>
    </row>
    <row r="9" spans="1:31" x14ac:dyDescent="0.25">
      <c r="H9" s="72"/>
      <c r="O9" s="11" t="s">
        <v>231</v>
      </c>
      <c r="Q9" s="138">
        <f>IF(Q2=0, 0, Q8/Q6)</f>
        <v>-8.6535268493739149E-3</v>
      </c>
      <c r="W9" s="133">
        <v>42578</v>
      </c>
      <c r="X9" s="10">
        <v>13.86</v>
      </c>
      <c r="Y9" s="10">
        <v>13.99</v>
      </c>
      <c r="Z9" s="10">
        <v>13.75</v>
      </c>
      <c r="AA9" s="10">
        <v>13.84</v>
      </c>
      <c r="AB9" s="95">
        <v>34625500</v>
      </c>
      <c r="AC9" s="10">
        <v>13.84</v>
      </c>
      <c r="AD9" s="2">
        <f t="shared" si="0"/>
        <v>0.24000000000000021</v>
      </c>
      <c r="AE9" s="138">
        <f t="shared" si="1"/>
        <v>-1.4430014430013571E-3</v>
      </c>
    </row>
    <row r="10" spans="1:31" x14ac:dyDescent="0.25">
      <c r="H10" s="72"/>
      <c r="O10" s="11" t="s">
        <v>230</v>
      </c>
      <c r="P10" s="34"/>
      <c r="Q10" s="2">
        <f>M32</f>
        <v>0</v>
      </c>
      <c r="W10" s="133">
        <v>42577</v>
      </c>
      <c r="X10" s="10">
        <v>13.73</v>
      </c>
      <c r="Y10" s="10">
        <v>13.88</v>
      </c>
      <c r="Z10" s="10">
        <v>13.69</v>
      </c>
      <c r="AA10" s="10">
        <v>13.86</v>
      </c>
      <c r="AB10" s="95">
        <v>28467200</v>
      </c>
      <c r="AC10" s="10">
        <v>13.86</v>
      </c>
      <c r="AD10" s="2">
        <f t="shared" si="0"/>
        <v>0.19000000000000128</v>
      </c>
      <c r="AE10" s="138" t="e">
        <f t="shared" si="1"/>
        <v>#DIV/0!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4.9700000000000001E-2</v>
      </c>
      <c r="W11" s="133">
        <v>42577</v>
      </c>
      <c r="X11" s="10" t="s">
        <v>185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31" x14ac:dyDescent="0.25">
      <c r="H12" s="72"/>
      <c r="W12" s="133">
        <v>42576</v>
      </c>
      <c r="X12" s="10">
        <v>13.86</v>
      </c>
      <c r="Y12" s="10">
        <v>13.95</v>
      </c>
      <c r="Z12" s="10">
        <v>13.76</v>
      </c>
      <c r="AA12" s="10">
        <v>13.83</v>
      </c>
      <c r="AB12" s="95">
        <v>26248500</v>
      </c>
      <c r="AC12" s="10">
        <v>13.68</v>
      </c>
      <c r="AD12" s="2">
        <f t="shared" si="0"/>
        <v>0.1899999999999995</v>
      </c>
      <c r="AE12" s="138">
        <f t="shared" si="1"/>
        <v>-7.3046018991962391E-4</v>
      </c>
    </row>
    <row r="13" spans="1:31" x14ac:dyDescent="0.25">
      <c r="H13" s="72"/>
      <c r="W13" s="133">
        <v>42573</v>
      </c>
      <c r="X13" s="10">
        <v>13.92</v>
      </c>
      <c r="Y13" s="10">
        <v>13.93</v>
      </c>
      <c r="Z13" s="10">
        <v>13.71</v>
      </c>
      <c r="AA13" s="10">
        <v>13.84</v>
      </c>
      <c r="AB13" s="95">
        <v>25134100</v>
      </c>
      <c r="AC13" s="10">
        <v>13.69</v>
      </c>
      <c r="AD13" s="2">
        <f t="shared" si="0"/>
        <v>0.21999999999999886</v>
      </c>
      <c r="AE13" s="138">
        <f t="shared" si="1"/>
        <v>-5.8097312999273454E-3</v>
      </c>
    </row>
    <row r="14" spans="1:31" x14ac:dyDescent="0.25">
      <c r="H14" s="72"/>
      <c r="W14" s="133">
        <v>42572</v>
      </c>
      <c r="X14" s="10">
        <v>13.87</v>
      </c>
      <c r="Y14" s="10">
        <v>14.04</v>
      </c>
      <c r="Z14" s="10">
        <v>13.86</v>
      </c>
      <c r="AA14" s="10">
        <v>13.92</v>
      </c>
      <c r="AB14" s="95">
        <v>40574400</v>
      </c>
      <c r="AC14" s="10">
        <v>13.77</v>
      </c>
      <c r="AD14" s="2">
        <f t="shared" si="0"/>
        <v>0.17999999999999972</v>
      </c>
      <c r="AE14" s="138">
        <f t="shared" si="1"/>
        <v>1.3245033112582849E-2</v>
      </c>
    </row>
    <row r="15" spans="1:31" x14ac:dyDescent="0.25">
      <c r="H15" s="72"/>
      <c r="W15" s="133">
        <v>42571</v>
      </c>
      <c r="X15" s="10">
        <v>13.61</v>
      </c>
      <c r="Y15" s="10">
        <v>13.78</v>
      </c>
      <c r="Z15" s="10">
        <v>13.56</v>
      </c>
      <c r="AA15" s="10">
        <v>13.74</v>
      </c>
      <c r="AB15" s="95">
        <v>22588900</v>
      </c>
      <c r="AC15" s="10">
        <v>13.59</v>
      </c>
      <c r="AD15" s="2">
        <f t="shared" si="0"/>
        <v>0.21999999999999886</v>
      </c>
      <c r="AE15" s="138">
        <f t="shared" si="1"/>
        <v>6.6666666666665986E-3</v>
      </c>
    </row>
    <row r="16" spans="1:31" x14ac:dyDescent="0.25">
      <c r="H16" s="72"/>
      <c r="W16" s="133">
        <v>42570</v>
      </c>
      <c r="X16" s="10">
        <v>13.56</v>
      </c>
      <c r="Y16" s="10">
        <v>13.72</v>
      </c>
      <c r="Z16" s="10">
        <v>13.5</v>
      </c>
      <c r="AA16" s="10">
        <v>13.65</v>
      </c>
      <c r="AB16" s="95">
        <v>26183400</v>
      </c>
      <c r="AC16" s="10">
        <v>13.5</v>
      </c>
      <c r="AD16" s="2">
        <f t="shared" si="0"/>
        <v>0.22000000000000064</v>
      </c>
      <c r="AE16" s="138">
        <f t="shared" si="1"/>
        <v>0</v>
      </c>
    </row>
    <row r="17" spans="1:31" x14ac:dyDescent="0.25">
      <c r="H17" s="72"/>
      <c r="W17" s="133">
        <v>42569</v>
      </c>
      <c r="X17" s="10">
        <v>13.56</v>
      </c>
      <c r="Y17" s="10">
        <v>13.68</v>
      </c>
      <c r="Z17" s="10">
        <v>13.42</v>
      </c>
      <c r="AA17" s="10">
        <v>13.65</v>
      </c>
      <c r="AB17" s="95">
        <v>22545800</v>
      </c>
      <c r="AC17" s="10">
        <v>13.5</v>
      </c>
      <c r="AD17" s="2">
        <f t="shared" si="0"/>
        <v>0.25999999999999979</v>
      </c>
      <c r="AE17" s="138">
        <f t="shared" si="1"/>
        <v>5.9612518628913147E-3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42566</v>
      </c>
      <c r="X18" s="10">
        <v>13.63</v>
      </c>
      <c r="Y18" s="10">
        <v>13.67</v>
      </c>
      <c r="Z18" s="10">
        <v>13.53</v>
      </c>
      <c r="AA18" s="10">
        <v>13.57</v>
      </c>
      <c r="AB18" s="95">
        <v>19546300</v>
      </c>
      <c r="AC18" s="10">
        <v>13.42</v>
      </c>
      <c r="AD18" s="2">
        <f t="shared" si="0"/>
        <v>0.14000000000000057</v>
      </c>
      <c r="AE18" s="138">
        <f t="shared" si="1"/>
        <v>-1.4880952380952328E-3</v>
      </c>
    </row>
    <row r="19" spans="1:31" ht="15.75" thickBot="1" x14ac:dyDescent="0.3">
      <c r="A19" s="363" t="s">
        <v>206</v>
      </c>
      <c r="B19" s="364"/>
      <c r="C19" s="365">
        <f>SumByColor($A$19,C2:C17)</f>
        <v>250</v>
      </c>
      <c r="D19" s="365"/>
      <c r="E19" s="365"/>
      <c r="F19" s="366">
        <f>SumByColor($A$19,F2:F17)</f>
        <v>3326</v>
      </c>
      <c r="G19" s="365"/>
      <c r="H19" s="365">
        <f>SumByColor($A$19,H2:H17)</f>
        <v>250</v>
      </c>
      <c r="I19" s="365"/>
      <c r="J19" s="365"/>
      <c r="K19" s="366">
        <f>SumByColor($A$19,K2:K17)</f>
        <v>3356</v>
      </c>
      <c r="L19" s="365"/>
      <c r="M19" s="366">
        <f t="shared" ref="M19" si="2">SumByColor($A$19,M2:M17)</f>
        <v>0</v>
      </c>
      <c r="W19" s="133">
        <v>42565</v>
      </c>
      <c r="X19" s="10">
        <v>13.57</v>
      </c>
      <c r="Y19" s="10">
        <v>13.7</v>
      </c>
      <c r="Z19" s="10">
        <v>13.55</v>
      </c>
      <c r="AA19" s="10">
        <v>13.59</v>
      </c>
      <c r="AB19" s="95">
        <v>31803000</v>
      </c>
      <c r="AC19" s="10">
        <v>13.44</v>
      </c>
      <c r="AD19" s="2">
        <f t="shared" si="0"/>
        <v>0.14999999999999858</v>
      </c>
      <c r="AE19" s="138">
        <f t="shared" si="1"/>
        <v>8.2520630157538744E-3</v>
      </c>
    </row>
    <row r="20" spans="1:31" x14ac:dyDescent="0.25">
      <c r="W20" s="133">
        <v>42564</v>
      </c>
      <c r="X20" s="10">
        <v>13.49</v>
      </c>
      <c r="Y20" s="10">
        <v>13.51</v>
      </c>
      <c r="Z20" s="10">
        <v>13.31</v>
      </c>
      <c r="AA20" s="10">
        <v>13.48</v>
      </c>
      <c r="AB20" s="95">
        <v>26779800</v>
      </c>
      <c r="AC20" s="10">
        <v>13.33</v>
      </c>
      <c r="AD20" s="2">
        <f t="shared" si="0"/>
        <v>0.19999999999999929</v>
      </c>
      <c r="AE20" s="138">
        <f t="shared" si="1"/>
        <v>2.2556390977443996E-3</v>
      </c>
    </row>
    <row r="21" spans="1:31" x14ac:dyDescent="0.25">
      <c r="W21" s="133">
        <v>42563</v>
      </c>
      <c r="X21" s="10">
        <v>13.38</v>
      </c>
      <c r="Y21" s="10">
        <v>13.54</v>
      </c>
      <c r="Z21" s="10">
        <v>13.38</v>
      </c>
      <c r="AA21" s="10">
        <v>13.45</v>
      </c>
      <c r="AB21" s="95">
        <v>31320100</v>
      </c>
      <c r="AC21" s="10">
        <v>13.3</v>
      </c>
      <c r="AD21" s="2">
        <f t="shared" si="0"/>
        <v>0.15999999999999837</v>
      </c>
      <c r="AE21" s="138">
        <f t="shared" si="1"/>
        <v>1.2947448591013044E-2</v>
      </c>
    </row>
    <row r="22" spans="1:31" x14ac:dyDescent="0.25">
      <c r="W22" s="133">
        <v>42562</v>
      </c>
      <c r="X22" s="10">
        <v>13.17</v>
      </c>
      <c r="Y22" s="10">
        <v>13.33</v>
      </c>
      <c r="Z22" s="10">
        <v>13.13</v>
      </c>
      <c r="AA22" s="10">
        <v>13.27</v>
      </c>
      <c r="AB22" s="95">
        <v>28626300</v>
      </c>
      <c r="AC22" s="10">
        <v>13.13</v>
      </c>
      <c r="AD22" s="2">
        <f t="shared" si="0"/>
        <v>0.19999999999999929</v>
      </c>
      <c r="AE22" s="138">
        <f t="shared" si="1"/>
        <v>1.3899613899613916E-2</v>
      </c>
    </row>
    <row r="23" spans="1:31" x14ac:dyDescent="0.25">
      <c r="W23" s="133">
        <v>42559</v>
      </c>
      <c r="X23" s="10">
        <v>12.89</v>
      </c>
      <c r="Y23" s="10">
        <v>13.17</v>
      </c>
      <c r="Z23" s="10">
        <v>12.89</v>
      </c>
      <c r="AA23" s="10">
        <v>13.09</v>
      </c>
      <c r="AB23" s="95">
        <v>45945200</v>
      </c>
      <c r="AC23" s="10">
        <v>12.95</v>
      </c>
      <c r="AD23" s="2">
        <f t="shared" si="0"/>
        <v>0.27999999999999936</v>
      </c>
      <c r="AE23" s="138">
        <f t="shared" si="1"/>
        <v>2.6962727993655733E-2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42558</v>
      </c>
      <c r="X24" s="10">
        <v>12.57</v>
      </c>
      <c r="Y24" s="10">
        <v>12.84</v>
      </c>
      <c r="Z24" s="10">
        <v>12.57</v>
      </c>
      <c r="AA24" s="10">
        <v>12.75</v>
      </c>
      <c r="AB24" s="95">
        <v>33473000</v>
      </c>
      <c r="AC24" s="10">
        <v>12.61</v>
      </c>
      <c r="AD24" s="2">
        <f t="shared" si="0"/>
        <v>0.26999999999999957</v>
      </c>
      <c r="AE24" s="138">
        <f t="shared" si="1"/>
        <v>1.4481094127111849E-2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42557</v>
      </c>
      <c r="X25" s="10">
        <v>12.32</v>
      </c>
      <c r="Y25" s="10">
        <v>12.58</v>
      </c>
      <c r="Z25" s="10">
        <v>12.21</v>
      </c>
      <c r="AA25" s="10">
        <v>12.57</v>
      </c>
      <c r="AB25" s="95">
        <v>35091200</v>
      </c>
      <c r="AC25" s="10">
        <v>12.43</v>
      </c>
      <c r="AD25" s="2">
        <f t="shared" si="0"/>
        <v>0.36999999999999922</v>
      </c>
      <c r="AE25" s="138">
        <f t="shared" si="1"/>
        <v>1.3039934800326058E-2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42556</v>
      </c>
      <c r="X26" s="10">
        <v>12.57</v>
      </c>
      <c r="Y26" s="10">
        <v>12.59</v>
      </c>
      <c r="Z26" s="10">
        <v>12.31</v>
      </c>
      <c r="AA26" s="10">
        <v>12.4</v>
      </c>
      <c r="AB26" s="95">
        <v>30243300</v>
      </c>
      <c r="AC26" s="10">
        <v>12.27</v>
      </c>
      <c r="AD26" s="2">
        <f t="shared" si="0"/>
        <v>0.27999999999999936</v>
      </c>
      <c r="AE26" s="138">
        <f t="shared" si="1"/>
        <v>-2.4642289348171698E-2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42552</v>
      </c>
      <c r="X27" s="10">
        <v>12.88</v>
      </c>
      <c r="Y27" s="10">
        <v>12.89</v>
      </c>
      <c r="Z27" s="10">
        <v>12.69</v>
      </c>
      <c r="AA27" s="10">
        <v>12.72</v>
      </c>
      <c r="AB27" s="95">
        <v>45067800</v>
      </c>
      <c r="AC27" s="10">
        <v>12.58</v>
      </c>
      <c r="AD27" s="2">
        <f t="shared" si="0"/>
        <v>0.20000000000000107</v>
      </c>
      <c r="AE27" s="138">
        <f t="shared" si="1"/>
        <v>1.2067578439259874E-2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42551</v>
      </c>
      <c r="X28" s="10">
        <v>12.56</v>
      </c>
      <c r="Y28" s="10">
        <v>12.57</v>
      </c>
      <c r="Z28" s="10">
        <v>12.26</v>
      </c>
      <c r="AA28" s="10">
        <v>12.57</v>
      </c>
      <c r="AB28" s="95">
        <v>44983800</v>
      </c>
      <c r="AC28" s="10">
        <v>12.43</v>
      </c>
      <c r="AD28" s="2">
        <f t="shared" si="0"/>
        <v>0.3100000000000005</v>
      </c>
      <c r="AE28" s="138">
        <f t="shared" si="1"/>
        <v>1.6116035455278066E-3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42550</v>
      </c>
      <c r="X29" s="10">
        <v>12.49</v>
      </c>
      <c r="Y29" s="10">
        <v>12.58</v>
      </c>
      <c r="Z29" s="10">
        <v>12.36</v>
      </c>
      <c r="AA29" s="10">
        <v>12.55</v>
      </c>
      <c r="AB29" s="95">
        <v>31937900</v>
      </c>
      <c r="AC29" s="10">
        <v>12.41</v>
      </c>
      <c r="AD29" s="2">
        <f t="shared" si="0"/>
        <v>0.22000000000000064</v>
      </c>
      <c r="AE29" s="138">
        <f t="shared" si="1"/>
        <v>1.2234910277324706E-2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42549</v>
      </c>
      <c r="X30" s="10">
        <v>12.42</v>
      </c>
      <c r="Y30" s="10">
        <v>12.44</v>
      </c>
      <c r="Z30" s="10">
        <v>12.21</v>
      </c>
      <c r="AA30" s="10">
        <v>12.39</v>
      </c>
      <c r="AB30" s="95">
        <v>40640400</v>
      </c>
      <c r="AC30" s="10">
        <v>12.26</v>
      </c>
      <c r="AD30" s="2">
        <f t="shared" si="0"/>
        <v>0.22999999999999865</v>
      </c>
      <c r="AE30" s="138">
        <f t="shared" si="1"/>
        <v>1.9118869492934287E-2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42548</v>
      </c>
      <c r="X31" s="10">
        <v>12.43</v>
      </c>
      <c r="Y31" s="10">
        <v>12.43</v>
      </c>
      <c r="Z31" s="10">
        <v>12</v>
      </c>
      <c r="AA31" s="10">
        <v>12.16</v>
      </c>
      <c r="AB31" s="95">
        <v>52731800</v>
      </c>
      <c r="AC31" s="10">
        <v>12.03</v>
      </c>
      <c r="AD31" s="2">
        <f t="shared" si="0"/>
        <v>0.42999999999999972</v>
      </c>
      <c r="AE31" s="138">
        <f t="shared" si="1"/>
        <v>-2.8271405492730328E-2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42545</v>
      </c>
      <c r="X32" s="10">
        <v>12.79</v>
      </c>
      <c r="Y32" s="10">
        <v>12.91</v>
      </c>
      <c r="Z32" s="10">
        <v>12.45</v>
      </c>
      <c r="AA32" s="10">
        <v>12.52</v>
      </c>
      <c r="AB32" s="95">
        <v>96887300</v>
      </c>
      <c r="AC32" s="10">
        <v>12.38</v>
      </c>
      <c r="AD32" s="2">
        <f t="shared" si="0"/>
        <v>0.46000000000000085</v>
      </c>
      <c r="AE32" s="138">
        <f t="shared" si="1"/>
        <v>-6.5660377358490507E-2</v>
      </c>
    </row>
    <row r="33" spans="2:31" x14ac:dyDescent="0.25">
      <c r="B33" s="195">
        <v>42545</v>
      </c>
      <c r="C33" s="461">
        <v>250</v>
      </c>
      <c r="D33" s="463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42544</v>
      </c>
      <c r="X33" s="10">
        <v>13.29</v>
      </c>
      <c r="Y33" s="10">
        <v>13.41</v>
      </c>
      <c r="Z33" s="10">
        <v>13.28</v>
      </c>
      <c r="AA33" s="10">
        <v>13.4</v>
      </c>
      <c r="AB33" s="95">
        <v>24579700</v>
      </c>
      <c r="AC33" s="10">
        <v>13.25</v>
      </c>
      <c r="AD33" s="2">
        <f t="shared" si="0"/>
        <v>0.13000000000000078</v>
      </c>
      <c r="AE33" s="138">
        <f t="shared" si="1"/>
        <v>1.6104294478527681E-2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42543</v>
      </c>
      <c r="X34" s="10">
        <v>13.23</v>
      </c>
      <c r="Y34" s="10">
        <v>13.31</v>
      </c>
      <c r="Z34" s="10">
        <v>13.15</v>
      </c>
      <c r="AA34" s="10">
        <v>13.18</v>
      </c>
      <c r="AB34" s="95">
        <v>20666600</v>
      </c>
      <c r="AC34" s="10">
        <v>13.04</v>
      </c>
      <c r="AD34" s="2">
        <f t="shared" si="0"/>
        <v>0.16000000000000014</v>
      </c>
      <c r="AE34" s="138">
        <f t="shared" si="1"/>
        <v>-3.0581039755351869E-3</v>
      </c>
    </row>
    <row r="35" spans="2:31" x14ac:dyDescent="0.25">
      <c r="B35" s="195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42542</v>
      </c>
      <c r="X35" s="10">
        <v>13.44</v>
      </c>
      <c r="Y35" s="10">
        <v>13.44</v>
      </c>
      <c r="Z35" s="10">
        <v>13.18</v>
      </c>
      <c r="AA35" s="10">
        <v>13.22</v>
      </c>
      <c r="AB35" s="95">
        <v>36721800</v>
      </c>
      <c r="AC35" s="10">
        <v>13.08</v>
      </c>
      <c r="AD35" s="2">
        <f t="shared" si="0"/>
        <v>0.25999999999999979</v>
      </c>
      <c r="AE35" s="138">
        <f t="shared" si="1"/>
        <v>-1.4318010550112947E-2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238">
        <v>11.5</v>
      </c>
      <c r="W36" s="133">
        <v>42541</v>
      </c>
      <c r="X36" s="10">
        <v>13.39</v>
      </c>
      <c r="Y36" s="10">
        <v>13.55</v>
      </c>
      <c r="Z36" s="10">
        <v>13.39</v>
      </c>
      <c r="AA36" s="10">
        <v>13.42</v>
      </c>
      <c r="AB36" s="95">
        <v>29666700</v>
      </c>
      <c r="AC36" s="10">
        <v>13.27</v>
      </c>
      <c r="AD36" s="2">
        <f t="shared" si="0"/>
        <v>0.16000000000000014</v>
      </c>
      <c r="AE36" s="138">
        <f t="shared" si="1"/>
        <v>1.1432926829268331E-2</v>
      </c>
    </row>
    <row r="37" spans="2:31" x14ac:dyDescent="0.25">
      <c r="B37" s="195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3">
        <f t="shared" si="11"/>
        <v>8.2551534877784216E-2</v>
      </c>
      <c r="I37" s="238"/>
      <c r="W37" s="133">
        <v>42538</v>
      </c>
      <c r="X37" s="10">
        <v>13.16</v>
      </c>
      <c r="Y37" s="10">
        <v>13.4</v>
      </c>
      <c r="Z37" s="10">
        <v>13.15</v>
      </c>
      <c r="AA37" s="10">
        <v>13.26</v>
      </c>
      <c r="AB37" s="95">
        <v>37364900</v>
      </c>
      <c r="AC37" s="10">
        <v>13.12</v>
      </c>
      <c r="AD37" s="2">
        <f t="shared" si="0"/>
        <v>0.25</v>
      </c>
      <c r="AE37" s="138">
        <f t="shared" si="1"/>
        <v>1.0785824345146189E-2</v>
      </c>
    </row>
    <row r="38" spans="2:31" x14ac:dyDescent="0.25">
      <c r="B38" s="195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3">
        <f t="shared" ref="H38" si="14">(E38-D38)/D38</f>
        <v>8.8933563086348894E-2</v>
      </c>
      <c r="I38" s="40"/>
      <c r="W38" s="133">
        <v>42537</v>
      </c>
      <c r="X38" s="10">
        <v>12.93</v>
      </c>
      <c r="Y38" s="10">
        <v>13.14</v>
      </c>
      <c r="Z38" s="10">
        <v>12.85</v>
      </c>
      <c r="AA38" s="10">
        <v>13.12</v>
      </c>
      <c r="AB38" s="95">
        <v>26581200</v>
      </c>
      <c r="AC38" s="10">
        <v>12.98</v>
      </c>
      <c r="AD38" s="2">
        <f t="shared" si="0"/>
        <v>0.29000000000000092</v>
      </c>
      <c r="AE38" s="138">
        <f t="shared" si="1"/>
        <v>8.5470085470087387E-3</v>
      </c>
    </row>
    <row r="39" spans="2:31" x14ac:dyDescent="0.25">
      <c r="B39" s="195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3">
        <f t="shared" ref="H39" si="17">(E39-D39)/D39</f>
        <v>9.6113344820984159E-2</v>
      </c>
      <c r="I39" s="40"/>
      <c r="W39" s="133">
        <v>42536</v>
      </c>
      <c r="X39" s="10">
        <v>12.91</v>
      </c>
      <c r="Y39" s="10">
        <v>13.16</v>
      </c>
      <c r="Z39" s="10">
        <v>12.88</v>
      </c>
      <c r="AA39" s="10">
        <v>13.01</v>
      </c>
      <c r="AB39" s="95">
        <v>25829700</v>
      </c>
      <c r="AC39" s="10">
        <v>12.87</v>
      </c>
      <c r="AD39" s="2">
        <f t="shared" si="0"/>
        <v>0.27999999999999936</v>
      </c>
      <c r="AE39" s="138">
        <f t="shared" si="1"/>
        <v>1.3385826771653564E-2</v>
      </c>
    </row>
    <row r="40" spans="2:31" ht="20.25" thickBot="1" x14ac:dyDescent="0.35">
      <c r="B40" s="195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3">
        <f t="shared" ref="H40" si="20">(E40-D40)/D40</f>
        <v>0.11047290829025466</v>
      </c>
      <c r="I40" s="40"/>
      <c r="O40" s="525" t="s">
        <v>78</v>
      </c>
      <c r="P40" s="525"/>
      <c r="W40" s="133">
        <v>42535</v>
      </c>
      <c r="X40" s="10">
        <v>12.99</v>
      </c>
      <c r="Y40" s="10">
        <v>13.07</v>
      </c>
      <c r="Z40" s="10">
        <v>12.76</v>
      </c>
      <c r="AA40" s="10">
        <v>12.84</v>
      </c>
      <c r="AB40" s="95">
        <v>30546000</v>
      </c>
      <c r="AC40" s="10">
        <v>12.7</v>
      </c>
      <c r="AD40" s="2">
        <f t="shared" si="0"/>
        <v>0.3100000000000005</v>
      </c>
      <c r="AE40" s="138">
        <f t="shared" si="1"/>
        <v>-1.0903426791277315E-2</v>
      </c>
    </row>
    <row r="41" spans="2:31" ht="15.75" thickTop="1" x14ac:dyDescent="0.25">
      <c r="B41" s="195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3">
        <f t="shared" ref="H41:H42" si="23">(E41-D41)/D41</f>
        <v>0.10249537302954884</v>
      </c>
      <c r="I41" s="40"/>
      <c r="O41" s="83">
        <v>1.1000000000000001</v>
      </c>
      <c r="P41" s="83">
        <f>O41*$Q$4</f>
        <v>13.398000000000001</v>
      </c>
      <c r="Q41" s="2"/>
      <c r="W41" s="133">
        <v>42534</v>
      </c>
      <c r="X41" s="10">
        <v>13.07</v>
      </c>
      <c r="Y41" s="10">
        <v>13.13</v>
      </c>
      <c r="Z41" s="10">
        <v>12.96</v>
      </c>
      <c r="AA41" s="10">
        <v>12.98</v>
      </c>
      <c r="AB41" s="95">
        <v>20745800</v>
      </c>
      <c r="AC41" s="10">
        <v>12.84</v>
      </c>
      <c r="AD41" s="2">
        <f t="shared" si="0"/>
        <v>0.16999999999999993</v>
      </c>
      <c r="AE41" s="138">
        <f t="shared" si="1"/>
        <v>-9.2592592592593004E-3</v>
      </c>
    </row>
    <row r="42" spans="2:31" ht="20.25" thickBot="1" x14ac:dyDescent="0.35">
      <c r="B42" s="195">
        <v>42577</v>
      </c>
      <c r="C42" s="461">
        <v>250</v>
      </c>
      <c r="D42" s="463">
        <v>12.2836</v>
      </c>
      <c r="E42" s="40">
        <v>13.86</v>
      </c>
      <c r="F42" s="40">
        <f t="shared" si="21"/>
        <v>394.09999999999991</v>
      </c>
      <c r="G42" s="40">
        <f t="shared" si="22"/>
        <v>3070.9</v>
      </c>
      <c r="H42" s="233">
        <f t="shared" si="23"/>
        <v>0.12833371324367446</v>
      </c>
      <c r="I42" s="502" t="s">
        <v>351</v>
      </c>
      <c r="O42" s="83">
        <v>1.0900000000000001</v>
      </c>
      <c r="P42" s="83">
        <f t="shared" ref="P42:P61" si="24">O42*$Q$4</f>
        <v>13.276200000000001</v>
      </c>
      <c r="Q42" s="2"/>
      <c r="T42" s="91" t="s">
        <v>113</v>
      </c>
      <c r="W42" s="133">
        <v>42531</v>
      </c>
      <c r="X42" s="10">
        <v>13.17</v>
      </c>
      <c r="Y42" s="10">
        <v>13.25</v>
      </c>
      <c r="Z42" s="10">
        <v>13.05</v>
      </c>
      <c r="AA42" s="10">
        <v>13.1</v>
      </c>
      <c r="AB42" s="95">
        <v>27382700</v>
      </c>
      <c r="AC42" s="10">
        <v>12.96</v>
      </c>
      <c r="AD42" s="2">
        <f t="shared" si="0"/>
        <v>0.19999999999999929</v>
      </c>
      <c r="AE42" s="138">
        <f t="shared" si="1"/>
        <v>-1.2195121951219412E-2</v>
      </c>
    </row>
    <row r="43" spans="2:31" ht="15.75" thickTop="1" x14ac:dyDescent="0.25">
      <c r="B43" s="195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3">
        <f t="shared" ref="H43" si="27">(E43-D43)/D43</f>
        <v>3.4485565223053335E-2</v>
      </c>
      <c r="I43" s="40"/>
      <c r="O43" s="83">
        <v>1.08</v>
      </c>
      <c r="P43" s="83">
        <f t="shared" si="24"/>
        <v>13.154400000000001</v>
      </c>
      <c r="Q43" s="2"/>
      <c r="T43" s="128" t="s">
        <v>98</v>
      </c>
      <c r="U43" s="98">
        <v>12.08</v>
      </c>
      <c r="W43" s="133">
        <v>42530</v>
      </c>
      <c r="X43" s="10">
        <v>13.26</v>
      </c>
      <c r="Y43" s="10">
        <v>13.3</v>
      </c>
      <c r="Z43" s="10">
        <v>13.14</v>
      </c>
      <c r="AA43" s="10">
        <v>13.26</v>
      </c>
      <c r="AB43" s="95">
        <v>19873800</v>
      </c>
      <c r="AC43" s="10">
        <v>13.12</v>
      </c>
      <c r="AD43" s="2">
        <f t="shared" si="0"/>
        <v>0.16000000000000014</v>
      </c>
      <c r="AE43" s="138">
        <f t="shared" si="1"/>
        <v>-7.5642965204236745E-3</v>
      </c>
    </row>
    <row r="44" spans="2:31" x14ac:dyDescent="0.25">
      <c r="B44" s="195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3">
        <f t="shared" ref="H44" si="30">(E44-D44)/D44</f>
        <v>-2.8185865557572347E-2</v>
      </c>
      <c r="I44" s="40"/>
      <c r="O44" s="83">
        <v>1.07</v>
      </c>
      <c r="P44" s="83">
        <f t="shared" si="24"/>
        <v>13.0326</v>
      </c>
      <c r="Q44" s="2"/>
      <c r="T44" s="93" t="s">
        <v>99</v>
      </c>
      <c r="U44" s="88">
        <v>12.16</v>
      </c>
      <c r="W44" s="133">
        <v>42529</v>
      </c>
      <c r="X44" s="10">
        <v>13.45</v>
      </c>
      <c r="Y44" s="10">
        <v>13.49</v>
      </c>
      <c r="Z44" s="10">
        <v>13.35</v>
      </c>
      <c r="AA44" s="10">
        <v>13.36</v>
      </c>
      <c r="AB44" s="95">
        <v>18084800</v>
      </c>
      <c r="AC44" s="10">
        <v>13.22</v>
      </c>
      <c r="AD44" s="2">
        <f t="shared" si="0"/>
        <v>0.14000000000000057</v>
      </c>
      <c r="AE44" s="138">
        <f t="shared" si="1"/>
        <v>-7.5585789871501774E-4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24"/>
        <v>12.9108</v>
      </c>
      <c r="Q45" s="2"/>
      <c r="T45" s="93" t="s">
        <v>100</v>
      </c>
      <c r="U45" s="88" t="s">
        <v>377</v>
      </c>
      <c r="W45" s="133">
        <v>42528</v>
      </c>
      <c r="X45" s="10">
        <v>13.23</v>
      </c>
      <c r="Y45" s="10">
        <v>13.45</v>
      </c>
      <c r="Z45" s="10">
        <v>13.18</v>
      </c>
      <c r="AA45" s="10">
        <v>13.38</v>
      </c>
      <c r="AB45" s="95">
        <v>27656900</v>
      </c>
      <c r="AC45" s="10">
        <v>13.23</v>
      </c>
      <c r="AD45" s="2">
        <f t="shared" si="0"/>
        <v>0.26999999999999957</v>
      </c>
      <c r="AE45" s="138">
        <f t="shared" si="1"/>
        <v>1.4570552147239457E-2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24"/>
        <v>12.789</v>
      </c>
      <c r="Q46" s="2"/>
      <c r="T46" s="93" t="s">
        <v>101</v>
      </c>
      <c r="U46" s="88" t="s">
        <v>378</v>
      </c>
      <c r="W46" s="133">
        <v>42527</v>
      </c>
      <c r="X46" s="10">
        <v>13.08</v>
      </c>
      <c r="Y46" s="10">
        <v>13.21</v>
      </c>
      <c r="Z46" s="10">
        <v>13.04</v>
      </c>
      <c r="AA46" s="10">
        <v>13.18</v>
      </c>
      <c r="AB46" s="95">
        <v>25588700</v>
      </c>
      <c r="AC46" s="10">
        <v>13.04</v>
      </c>
      <c r="AD46" s="2">
        <f t="shared" si="0"/>
        <v>0.17000000000000171</v>
      </c>
      <c r="AE46" s="138">
        <f t="shared" si="1"/>
        <v>1.0852713178294504E-2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24"/>
        <v>12.667199999999999</v>
      </c>
      <c r="Q47" s="2"/>
      <c r="T47" s="93" t="s">
        <v>102</v>
      </c>
      <c r="U47" s="88">
        <v>13.53</v>
      </c>
      <c r="W47" s="133">
        <v>42524</v>
      </c>
      <c r="X47" s="10">
        <v>13.14</v>
      </c>
      <c r="Y47" s="10">
        <v>13.14</v>
      </c>
      <c r="Z47" s="10">
        <v>12.9</v>
      </c>
      <c r="AA47" s="10">
        <v>13.04</v>
      </c>
      <c r="AB47" s="95">
        <v>39850700</v>
      </c>
      <c r="AC47" s="10">
        <v>12.9</v>
      </c>
      <c r="AD47" s="2">
        <f t="shared" si="0"/>
        <v>0.24000000000000021</v>
      </c>
      <c r="AE47" s="138">
        <f t="shared" si="1"/>
        <v>-1.3006885998469775E-2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24"/>
        <v>12.545400000000001</v>
      </c>
      <c r="Q48" s="2"/>
      <c r="T48" s="93" t="s">
        <v>103</v>
      </c>
      <c r="U48" s="88">
        <v>1.2128399999999999</v>
      </c>
      <c r="W48" s="133">
        <v>42523</v>
      </c>
      <c r="X48" s="10">
        <v>13.09</v>
      </c>
      <c r="Y48" s="10">
        <v>13.32</v>
      </c>
      <c r="Z48" s="10">
        <v>13.05</v>
      </c>
      <c r="AA48" s="10">
        <v>13.21</v>
      </c>
      <c r="AB48" s="95">
        <v>41614600</v>
      </c>
      <c r="AC48" s="10">
        <v>13.07</v>
      </c>
      <c r="AD48" s="2">
        <f t="shared" si="0"/>
        <v>0.26999999999999957</v>
      </c>
      <c r="AE48" s="138">
        <f t="shared" si="1"/>
        <v>7.7101002313029188E-3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24"/>
        <v>12.4236</v>
      </c>
      <c r="Q49" s="2"/>
      <c r="T49" s="93" t="s">
        <v>104</v>
      </c>
      <c r="U49" s="88" t="s">
        <v>353</v>
      </c>
      <c r="W49" s="133">
        <v>42522</v>
      </c>
      <c r="X49" s="10">
        <v>13.43</v>
      </c>
      <c r="Y49" s="10">
        <v>13.44</v>
      </c>
      <c r="Z49" s="10">
        <v>12.97</v>
      </c>
      <c r="AA49" s="10">
        <v>13.11</v>
      </c>
      <c r="AB49" s="95">
        <v>58219600</v>
      </c>
      <c r="AC49" s="10">
        <v>12.97</v>
      </c>
      <c r="AD49" s="2">
        <f t="shared" si="0"/>
        <v>0.46999999999999886</v>
      </c>
      <c r="AE49" s="138">
        <f t="shared" si="1"/>
        <v>-2.7736131934032904E-2</v>
      </c>
    </row>
    <row r="50" spans="2:31" x14ac:dyDescent="0.25">
      <c r="O50" s="83">
        <v>1.01</v>
      </c>
      <c r="P50" s="83">
        <f t="shared" si="24"/>
        <v>12.3018</v>
      </c>
      <c r="Q50" s="2"/>
      <c r="T50" s="93"/>
      <c r="U50" s="88"/>
      <c r="W50" s="133">
        <v>42521</v>
      </c>
      <c r="X50" s="10">
        <v>13.49</v>
      </c>
      <c r="Y50" s="10">
        <v>13.56</v>
      </c>
      <c r="Z50" s="10">
        <v>13.4</v>
      </c>
      <c r="AA50" s="10">
        <v>13.49</v>
      </c>
      <c r="AB50" s="95">
        <v>26096000</v>
      </c>
      <c r="AC50" s="10">
        <v>13.34</v>
      </c>
      <c r="AD50" s="2">
        <f t="shared" si="0"/>
        <v>0.16000000000000014</v>
      </c>
      <c r="AE50" s="138">
        <f t="shared" si="1"/>
        <v>3.0075187969924588E-3</v>
      </c>
    </row>
    <row r="51" spans="2:31" x14ac:dyDescent="0.25">
      <c r="O51" s="83">
        <v>1</v>
      </c>
      <c r="P51" s="83">
        <f t="shared" si="24"/>
        <v>12.18</v>
      </c>
      <c r="Q51" s="2"/>
      <c r="T51" s="93" t="s">
        <v>105</v>
      </c>
      <c r="U51" s="88" t="s">
        <v>379</v>
      </c>
      <c r="W51" s="133">
        <v>42517</v>
      </c>
      <c r="X51" s="10">
        <v>13.48</v>
      </c>
      <c r="Y51" s="10">
        <v>13.54</v>
      </c>
      <c r="Z51" s="10">
        <v>13.4</v>
      </c>
      <c r="AA51" s="10">
        <v>13.45</v>
      </c>
      <c r="AB51" s="95">
        <v>17263300</v>
      </c>
      <c r="AC51" s="10">
        <v>13.3</v>
      </c>
      <c r="AD51" s="2">
        <f t="shared" si="0"/>
        <v>0.13999999999999879</v>
      </c>
      <c r="AE51" s="138">
        <f t="shared" si="1"/>
        <v>-7.513148009015147E-4</v>
      </c>
    </row>
    <row r="52" spans="2:31" x14ac:dyDescent="0.25">
      <c r="O52" s="83">
        <v>0.99</v>
      </c>
      <c r="P52" s="83">
        <f t="shared" si="24"/>
        <v>12.058199999999999</v>
      </c>
      <c r="Q52" s="2"/>
      <c r="T52" s="93" t="s">
        <v>106</v>
      </c>
      <c r="U52" s="88" t="s">
        <v>218</v>
      </c>
      <c r="W52" s="133">
        <v>42516</v>
      </c>
      <c r="X52" s="10">
        <v>13.59</v>
      </c>
      <c r="Y52" s="10">
        <v>13.68</v>
      </c>
      <c r="Z52" s="10">
        <v>13.37</v>
      </c>
      <c r="AA52" s="10">
        <v>13.46</v>
      </c>
      <c r="AB52" s="95">
        <v>18369900</v>
      </c>
      <c r="AC52" s="10">
        <v>13.31</v>
      </c>
      <c r="AD52" s="2">
        <f t="shared" si="0"/>
        <v>0.3100000000000005</v>
      </c>
      <c r="AE52" s="138">
        <f t="shared" si="1"/>
        <v>-4.48765893792058E-3</v>
      </c>
    </row>
    <row r="53" spans="2:31" x14ac:dyDescent="0.25">
      <c r="O53" s="83">
        <v>0.98</v>
      </c>
      <c r="P53" s="83">
        <f t="shared" si="24"/>
        <v>11.936399999999999</v>
      </c>
      <c r="Q53" s="2"/>
      <c r="T53" s="93" t="s">
        <v>107</v>
      </c>
      <c r="U53" s="90">
        <v>31219542</v>
      </c>
      <c r="W53" s="133">
        <v>42515</v>
      </c>
      <c r="X53" s="10">
        <v>13.33</v>
      </c>
      <c r="Y53" s="10">
        <v>13.6</v>
      </c>
      <c r="Z53" s="10">
        <v>13.33</v>
      </c>
      <c r="AA53" s="10">
        <v>13.52</v>
      </c>
      <c r="AB53" s="95">
        <v>26188300</v>
      </c>
      <c r="AC53" s="10">
        <v>13.37</v>
      </c>
      <c r="AD53" s="2">
        <f t="shared" si="0"/>
        <v>0.26999999999999957</v>
      </c>
      <c r="AE53" s="138">
        <f t="shared" si="1"/>
        <v>1.6730038022813698E-2</v>
      </c>
    </row>
    <row r="54" spans="2:31" x14ac:dyDescent="0.25">
      <c r="O54" s="83">
        <v>0.97</v>
      </c>
      <c r="P54" s="83">
        <f t="shared" si="24"/>
        <v>11.814599999999999</v>
      </c>
      <c r="T54" s="93" t="s">
        <v>110</v>
      </c>
      <c r="U54" s="90">
        <v>34252000</v>
      </c>
      <c r="W54" s="133">
        <v>42514</v>
      </c>
      <c r="X54" s="10">
        <v>13.16</v>
      </c>
      <c r="Y54" s="10">
        <v>13.3</v>
      </c>
      <c r="Z54" s="10">
        <v>13.16</v>
      </c>
      <c r="AA54" s="10">
        <v>13.29</v>
      </c>
      <c r="AB54" s="95">
        <v>19721600</v>
      </c>
      <c r="AC54" s="10">
        <v>13.15</v>
      </c>
      <c r="AD54" s="2">
        <f t="shared" si="0"/>
        <v>0.14000000000000057</v>
      </c>
      <c r="AE54" s="138">
        <f t="shared" si="1"/>
        <v>1.2317167051578037E-2</v>
      </c>
    </row>
    <row r="55" spans="2:31" x14ac:dyDescent="0.25">
      <c r="O55" s="83">
        <v>0.96</v>
      </c>
      <c r="P55" s="83">
        <f t="shared" si="24"/>
        <v>11.6928</v>
      </c>
      <c r="T55" s="93" t="s">
        <v>108</v>
      </c>
      <c r="U55" s="88" t="s">
        <v>380</v>
      </c>
      <c r="W55" s="133">
        <v>42513</v>
      </c>
      <c r="X55" s="10">
        <v>13.14</v>
      </c>
      <c r="Y55" s="10">
        <v>13.2</v>
      </c>
      <c r="Z55" s="10">
        <v>13.11</v>
      </c>
      <c r="AA55" s="10">
        <v>13.13</v>
      </c>
      <c r="AB55" s="95">
        <v>16234300</v>
      </c>
      <c r="AC55" s="10">
        <v>12.99</v>
      </c>
      <c r="AD55" s="2">
        <f t="shared" si="0"/>
        <v>8.9999999999999858E-2</v>
      </c>
      <c r="AE55" s="138">
        <f t="shared" si="1"/>
        <v>-4.5977011494253706E-3</v>
      </c>
    </row>
    <row r="56" spans="2:31" x14ac:dyDescent="0.25">
      <c r="O56" s="83">
        <v>0.95</v>
      </c>
      <c r="P56" s="83">
        <f t="shared" si="24"/>
        <v>11.571</v>
      </c>
      <c r="T56" s="93" t="s">
        <v>111</v>
      </c>
      <c r="U56" s="88">
        <v>5.75</v>
      </c>
      <c r="W56" s="133">
        <v>42510</v>
      </c>
      <c r="X56" s="10">
        <v>13.15</v>
      </c>
      <c r="Y56" s="10">
        <v>13.26</v>
      </c>
      <c r="Z56" s="10">
        <v>13.13</v>
      </c>
      <c r="AA56" s="10">
        <v>13.19</v>
      </c>
      <c r="AB56" s="95">
        <v>19465000</v>
      </c>
      <c r="AC56" s="10">
        <v>13.05</v>
      </c>
      <c r="AD56" s="2">
        <f t="shared" si="0"/>
        <v>0.12999999999999901</v>
      </c>
      <c r="AE56" s="138">
        <f t="shared" si="1"/>
        <v>7.7220077220079286E-3</v>
      </c>
    </row>
    <row r="57" spans="2:31" x14ac:dyDescent="0.25">
      <c r="O57" s="83">
        <v>0.94</v>
      </c>
      <c r="P57" s="83">
        <f t="shared" si="24"/>
        <v>11.449199999999999</v>
      </c>
      <c r="T57" s="93" t="s">
        <v>112</v>
      </c>
      <c r="U57" s="88">
        <v>2.12</v>
      </c>
      <c r="W57" s="133">
        <v>42509</v>
      </c>
      <c r="X57" s="10">
        <v>13.1</v>
      </c>
      <c r="Y57" s="10">
        <v>13.2</v>
      </c>
      <c r="Z57" s="10">
        <v>13.02</v>
      </c>
      <c r="AA57" s="10">
        <v>13.09</v>
      </c>
      <c r="AB57" s="95">
        <v>24117800</v>
      </c>
      <c r="AC57" s="10">
        <v>12.95</v>
      </c>
      <c r="AD57" s="2">
        <f t="shared" si="0"/>
        <v>0.17999999999999972</v>
      </c>
      <c r="AE57" s="138">
        <f t="shared" si="1"/>
        <v>-5.3763440860215006E-3</v>
      </c>
    </row>
    <row r="58" spans="2:31" x14ac:dyDescent="0.25">
      <c r="O58" s="83">
        <v>0.93</v>
      </c>
      <c r="P58" s="83">
        <f t="shared" si="24"/>
        <v>11.327400000000001</v>
      </c>
      <c r="T58" s="93" t="s">
        <v>109</v>
      </c>
      <c r="U58" s="88" t="s">
        <v>558</v>
      </c>
      <c r="W58" s="133">
        <v>42508</v>
      </c>
      <c r="X58" s="10">
        <v>13.12</v>
      </c>
      <c r="Y58" s="10">
        <v>13.34</v>
      </c>
      <c r="Z58" s="10">
        <v>13.05</v>
      </c>
      <c r="AA58" s="10">
        <v>13.16</v>
      </c>
      <c r="AB58" s="95">
        <v>23509700</v>
      </c>
      <c r="AC58" s="10">
        <v>13.02</v>
      </c>
      <c r="AD58" s="2">
        <f t="shared" si="0"/>
        <v>0.28999999999999915</v>
      </c>
      <c r="AE58" s="138">
        <f t="shared" si="1"/>
        <v>1.5384615384614886E-3</v>
      </c>
    </row>
    <row r="59" spans="2:31" x14ac:dyDescent="0.25">
      <c r="O59" s="83">
        <v>0.92</v>
      </c>
      <c r="P59" s="83">
        <f t="shared" si="24"/>
        <v>11.2056</v>
      </c>
      <c r="W59" s="133">
        <v>42507</v>
      </c>
      <c r="X59" s="10">
        <v>13.14</v>
      </c>
      <c r="Y59" s="10">
        <v>13.31</v>
      </c>
      <c r="Z59" s="10">
        <v>13.07</v>
      </c>
      <c r="AA59" s="10">
        <v>13.14</v>
      </c>
      <c r="AB59" s="95">
        <v>34165300</v>
      </c>
      <c r="AC59" s="10">
        <v>13</v>
      </c>
      <c r="AD59" s="2">
        <f t="shared" si="0"/>
        <v>0.24000000000000021</v>
      </c>
      <c r="AE59" s="138">
        <f t="shared" si="1"/>
        <v>-1.365705614567525E-2</v>
      </c>
    </row>
    <row r="60" spans="2:31" x14ac:dyDescent="0.25">
      <c r="O60" s="83">
        <v>0.91</v>
      </c>
      <c r="P60" s="83">
        <f t="shared" si="24"/>
        <v>11.0838</v>
      </c>
      <c r="W60" s="133">
        <v>42506</v>
      </c>
      <c r="X60" s="10">
        <v>13.22</v>
      </c>
      <c r="Y60" s="10">
        <v>13.38</v>
      </c>
      <c r="Z60" s="10">
        <v>13.21</v>
      </c>
      <c r="AA60" s="10">
        <v>13.32</v>
      </c>
      <c r="AB60" s="95">
        <v>21262700</v>
      </c>
      <c r="AC60" s="10">
        <v>13.18</v>
      </c>
      <c r="AD60" s="2">
        <f t="shared" si="0"/>
        <v>0.16999999999999993</v>
      </c>
      <c r="AE60" s="138">
        <f t="shared" si="1"/>
        <v>7.6452599388379117E-3</v>
      </c>
    </row>
    <row r="61" spans="2:31" x14ac:dyDescent="0.25">
      <c r="O61" s="83">
        <v>0.9</v>
      </c>
      <c r="P61" s="83">
        <f t="shared" si="24"/>
        <v>10.962</v>
      </c>
      <c r="W61" s="133">
        <v>42503</v>
      </c>
      <c r="X61" s="10">
        <v>13.34</v>
      </c>
      <c r="Y61" s="10">
        <v>13.52</v>
      </c>
      <c r="Z61" s="10">
        <v>13.17</v>
      </c>
      <c r="AA61" s="10">
        <v>13.22</v>
      </c>
      <c r="AB61" s="95">
        <v>27481900</v>
      </c>
      <c r="AC61" s="10">
        <v>13.08</v>
      </c>
      <c r="AD61" s="2">
        <f t="shared" si="0"/>
        <v>0.34999999999999964</v>
      </c>
      <c r="AE61" s="138">
        <f t="shared" si="1"/>
        <v>-9.8410295230886291E-3</v>
      </c>
    </row>
    <row r="62" spans="2:31" x14ac:dyDescent="0.25">
      <c r="W62" s="133">
        <v>42502</v>
      </c>
      <c r="X62" s="10">
        <v>13.4</v>
      </c>
      <c r="Y62" s="10">
        <v>13.47</v>
      </c>
      <c r="Z62" s="10">
        <v>13.17</v>
      </c>
      <c r="AA62" s="10">
        <v>13.35</v>
      </c>
      <c r="AB62" s="95">
        <v>24784300</v>
      </c>
      <c r="AC62" s="10">
        <v>13.21</v>
      </c>
      <c r="AD62" s="2">
        <f t="shared" si="0"/>
        <v>0.30000000000000071</v>
      </c>
      <c r="AE62" s="138">
        <f t="shared" si="1"/>
        <v>2.2761760242793194E-3</v>
      </c>
    </row>
    <row r="63" spans="2:31" x14ac:dyDescent="0.25">
      <c r="W63" s="133">
        <v>42501</v>
      </c>
      <c r="X63" s="10">
        <v>13.44</v>
      </c>
      <c r="Y63" s="10">
        <v>13.54</v>
      </c>
      <c r="Z63" s="10">
        <v>13.3</v>
      </c>
      <c r="AA63" s="10">
        <v>13.32</v>
      </c>
      <c r="AB63" s="95">
        <v>20229600</v>
      </c>
      <c r="AC63" s="10">
        <v>13.18</v>
      </c>
      <c r="AD63" s="2">
        <f t="shared" si="0"/>
        <v>0.23999999999999844</v>
      </c>
      <c r="AE63" s="138">
        <f t="shared" si="1"/>
        <v>-1.199400299850073E-2</v>
      </c>
    </row>
    <row r="64" spans="2:31" x14ac:dyDescent="0.25">
      <c r="W64" s="133">
        <v>42500</v>
      </c>
      <c r="X64" s="10">
        <v>13.38</v>
      </c>
      <c r="Y64" s="10">
        <v>13.52</v>
      </c>
      <c r="Z64" s="10">
        <v>13.38</v>
      </c>
      <c r="AA64" s="10">
        <v>13.49</v>
      </c>
      <c r="AB64" s="95">
        <v>23583400</v>
      </c>
      <c r="AC64" s="10">
        <v>13.34</v>
      </c>
      <c r="AD64" s="2">
        <f t="shared" si="0"/>
        <v>0.13999999999999879</v>
      </c>
      <c r="AE64" s="138">
        <f t="shared" si="1"/>
        <v>1.2139605462822445E-2</v>
      </c>
    </row>
    <row r="65" spans="23:31" x14ac:dyDescent="0.25">
      <c r="W65" s="133">
        <v>42499</v>
      </c>
      <c r="X65" s="10">
        <v>13.42</v>
      </c>
      <c r="Y65" s="10">
        <v>13.5</v>
      </c>
      <c r="Z65" s="10">
        <v>13.28</v>
      </c>
      <c r="AA65" s="10">
        <v>13.32</v>
      </c>
      <c r="AB65" s="95">
        <v>21602000</v>
      </c>
      <c r="AC65" s="10">
        <v>13.18</v>
      </c>
      <c r="AD65" s="2">
        <f t="shared" si="0"/>
        <v>0.22000000000000064</v>
      </c>
      <c r="AE65" s="138">
        <f t="shared" si="1"/>
        <v>-8.2768999247554431E-3</v>
      </c>
    </row>
    <row r="66" spans="23:31" x14ac:dyDescent="0.25">
      <c r="W66" s="133">
        <v>42496</v>
      </c>
      <c r="X66" s="10">
        <v>13.26</v>
      </c>
      <c r="Y66" s="10">
        <v>13.48</v>
      </c>
      <c r="Z66" s="10">
        <v>13.24</v>
      </c>
      <c r="AA66" s="10">
        <v>13.44</v>
      </c>
      <c r="AB66" s="95">
        <v>23284500</v>
      </c>
      <c r="AC66" s="10">
        <v>13.29</v>
      </c>
      <c r="AD66" s="2">
        <f t="shared" si="0"/>
        <v>0.24000000000000021</v>
      </c>
      <c r="AE66" s="138">
        <f t="shared" si="1"/>
        <v>8.3459787556903198E-3</v>
      </c>
    </row>
    <row r="67" spans="23:31" x14ac:dyDescent="0.25">
      <c r="W67" s="133">
        <v>42495</v>
      </c>
      <c r="X67" s="10">
        <v>13.35</v>
      </c>
      <c r="Y67" s="10">
        <v>13.43</v>
      </c>
      <c r="Z67" s="10">
        <v>13.22</v>
      </c>
      <c r="AA67" s="10">
        <v>13.32</v>
      </c>
      <c r="AB67" s="95">
        <v>23838100</v>
      </c>
      <c r="AC67" s="10">
        <v>13.18</v>
      </c>
      <c r="AD67" s="2">
        <f>Y67-Z67</f>
        <v>0.20999999999999908</v>
      </c>
      <c r="AE67" s="138" t="e">
        <f>AC67/#REF!-1</f>
        <v>#REF!</v>
      </c>
    </row>
    <row r="68" spans="23:31" x14ac:dyDescent="0.25">
      <c r="W68" s="133">
        <v>42494</v>
      </c>
      <c r="X68" s="10">
        <v>13.29</v>
      </c>
      <c r="Y68" s="10">
        <v>13.38</v>
      </c>
      <c r="Z68" s="10">
        <v>13.14</v>
      </c>
      <c r="AA68" s="10">
        <v>13.31</v>
      </c>
      <c r="AB68" s="95">
        <v>28895000</v>
      </c>
      <c r="AC68" s="10">
        <v>13.17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09" priority="25">
      <formula>F30&gt;0</formula>
    </cfRule>
    <cfRule type="expression" dxfId="508" priority="26">
      <formula>F30&lt;0</formula>
    </cfRule>
  </conditionalFormatting>
  <conditionalFormatting sqref="F34:F42 F46:F49">
    <cfRule type="expression" dxfId="507" priority="21">
      <formula>F34&gt;0</formula>
    </cfRule>
    <cfRule type="expression" dxfId="506" priority="22">
      <formula>F34&lt;0</formula>
    </cfRule>
  </conditionalFormatting>
  <conditionalFormatting sqref="F34:F42 F46:F49">
    <cfRule type="expression" dxfId="505" priority="23">
      <formula>F34&gt;0</formula>
    </cfRule>
    <cfRule type="expression" dxfId="504" priority="24">
      <formula>F34&lt;0</formula>
    </cfRule>
  </conditionalFormatting>
  <conditionalFormatting sqref="H30:H42 H46:H49">
    <cfRule type="expression" dxfId="503" priority="19">
      <formula>H30&gt;0</formula>
    </cfRule>
    <cfRule type="expression" dxfId="502" priority="20">
      <formula>H30&lt;0</formula>
    </cfRule>
  </conditionalFormatting>
  <conditionalFormatting sqref="F25:F29">
    <cfRule type="expression" dxfId="501" priority="13">
      <formula>F25&gt;0</formula>
    </cfRule>
    <cfRule type="expression" dxfId="500" priority="14">
      <formula>F25&lt;0</formula>
    </cfRule>
  </conditionalFormatting>
  <conditionalFormatting sqref="H25:H29">
    <cfRule type="expression" dxfId="499" priority="11">
      <formula>H25&gt;0</formula>
    </cfRule>
    <cfRule type="expression" dxfId="498" priority="12">
      <formula>H25&lt;0</formula>
    </cfRule>
  </conditionalFormatting>
  <conditionalFormatting sqref="Q7">
    <cfRule type="expression" dxfId="497" priority="9">
      <formula>Q7&gt;0</formula>
    </cfRule>
    <cfRule type="expression" dxfId="496" priority="10">
      <formula>Q7&lt;0</formula>
    </cfRule>
  </conditionalFormatting>
  <conditionalFormatting sqref="Q8">
    <cfRule type="expression" dxfId="495" priority="7">
      <formula>Q8&gt;0</formula>
    </cfRule>
    <cfRule type="expression" dxfId="494" priority="8">
      <formula>Q8&lt;0</formula>
    </cfRule>
  </conditionalFormatting>
  <conditionalFormatting sqref="F43:F45">
    <cfRule type="expression" dxfId="493" priority="3">
      <formula>F43&gt;0</formula>
    </cfRule>
    <cfRule type="expression" dxfId="492" priority="4">
      <formula>F43&lt;0</formula>
    </cfRule>
  </conditionalFormatting>
  <conditionalFormatting sqref="F43:F45">
    <cfRule type="expression" dxfId="491" priority="5">
      <formula>F43&gt;0</formula>
    </cfRule>
    <cfRule type="expression" dxfId="490" priority="6">
      <formula>F43&lt;0</formula>
    </cfRule>
  </conditionalFormatting>
  <conditionalFormatting sqref="H43:H45">
    <cfRule type="expression" dxfId="489" priority="1">
      <formula>H43&gt;0</formula>
    </cfRule>
    <cfRule type="expression" dxfId="488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44"/>
  <sheetViews>
    <sheetView workbookViewId="0">
      <pane ySplit="1" topLeftCell="A35" activePane="bottomLeft" state="frozen"/>
      <selection activeCell="A2" sqref="A2"/>
      <selection pane="bottomLeft" activeCell="M18" sqref="M18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3000</v>
      </c>
      <c r="T2" s="158"/>
      <c r="U2" s="34" t="s">
        <v>297</v>
      </c>
      <c r="W2" s="123">
        <v>42587</v>
      </c>
      <c r="X2" s="41">
        <v>12.98</v>
      </c>
      <c r="Y2" s="41">
        <v>13.14</v>
      </c>
      <c r="Z2" s="41">
        <v>12.86</v>
      </c>
      <c r="AA2" s="41">
        <v>13.01</v>
      </c>
      <c r="AB2" s="104">
        <v>4086700</v>
      </c>
      <c r="AC2" s="9">
        <v>13.01</v>
      </c>
      <c r="AD2" s="2">
        <f>Y2-Z2</f>
        <v>0.28000000000000114</v>
      </c>
      <c r="AE2" s="138">
        <f>AC2/AC3-1</f>
        <v>3.0840400925211675E-3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(F80-K80)/Q2)</f>
        <v>21.26006666666667</v>
      </c>
      <c r="W3" s="123">
        <v>42586</v>
      </c>
      <c r="X3" s="41">
        <v>13.5</v>
      </c>
      <c r="Y3" s="41">
        <v>13.54</v>
      </c>
      <c r="Z3" s="41">
        <v>12.85</v>
      </c>
      <c r="AA3" s="41">
        <v>12.97</v>
      </c>
      <c r="AB3" s="104">
        <v>5593000</v>
      </c>
      <c r="AC3" s="9">
        <v>12.97</v>
      </c>
      <c r="AD3" s="2">
        <f t="shared" ref="AD3:AD66" si="1">Y3-Z3</f>
        <v>0.6899999999999995</v>
      </c>
      <c r="AE3" s="138">
        <f t="shared" ref="AE3:AE66" si="2">AC3/AC4-1</f>
        <v>-4.0680473372781023E-2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13.09</v>
      </c>
      <c r="T4" s="1"/>
      <c r="W4" s="123">
        <v>42585</v>
      </c>
      <c r="X4" s="41">
        <v>13.5</v>
      </c>
      <c r="Y4" s="41">
        <v>13.56</v>
      </c>
      <c r="Z4" s="41">
        <v>13.23</v>
      </c>
      <c r="AA4" s="41">
        <v>13.52</v>
      </c>
      <c r="AB4" s="104">
        <v>3517800</v>
      </c>
      <c r="AC4" s="9">
        <v>13.52</v>
      </c>
      <c r="AD4" s="2">
        <f t="shared" si="1"/>
        <v>0.33000000000000007</v>
      </c>
      <c r="AE4" s="138">
        <f t="shared" si="2"/>
        <v>5.2044609665427011E-3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39270</v>
      </c>
      <c r="T5" s="1"/>
      <c r="W5" s="123">
        <v>42584</v>
      </c>
      <c r="X5" s="41">
        <v>13.29</v>
      </c>
      <c r="Y5" s="41">
        <v>13.5</v>
      </c>
      <c r="Z5" s="41">
        <v>13.2</v>
      </c>
      <c r="AA5" s="41">
        <v>13.45</v>
      </c>
      <c r="AB5" s="104">
        <v>5455800</v>
      </c>
      <c r="AC5" s="9">
        <v>13.45</v>
      </c>
      <c r="AD5" s="2">
        <f t="shared" si="1"/>
        <v>0.30000000000000071</v>
      </c>
      <c r="AE5" s="138">
        <f t="shared" si="2"/>
        <v>1.4892032762472418E-3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63780.200000000012</v>
      </c>
      <c r="W6" s="123">
        <v>42583</v>
      </c>
      <c r="X6" s="41">
        <v>13.67</v>
      </c>
      <c r="Y6" s="41">
        <v>13.73</v>
      </c>
      <c r="Z6" s="41">
        <v>13.35</v>
      </c>
      <c r="AA6" s="41">
        <v>13.43</v>
      </c>
      <c r="AB6" s="104">
        <v>5610200</v>
      </c>
      <c r="AC6" s="9">
        <v>13.43</v>
      </c>
      <c r="AD6" s="2">
        <f t="shared" si="1"/>
        <v>0.38000000000000078</v>
      </c>
      <c r="AE6" s="138">
        <f t="shared" si="2"/>
        <v>-2.2561863173216956E-2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188</v>
      </c>
      <c r="Q7" s="2">
        <f>Q10+Q8</f>
        <v>-24510.200000000012</v>
      </c>
      <c r="R7">
        <v>1000</v>
      </c>
      <c r="W7" s="123">
        <v>42580</v>
      </c>
      <c r="X7" s="41">
        <v>14.38</v>
      </c>
      <c r="Y7" s="41">
        <v>14.38</v>
      </c>
      <c r="Z7" s="41">
        <v>13.2</v>
      </c>
      <c r="AA7" s="41">
        <v>13.74</v>
      </c>
      <c r="AB7" s="104">
        <v>13198000</v>
      </c>
      <c r="AC7" s="9">
        <v>13.74</v>
      </c>
      <c r="AD7" s="2">
        <f t="shared" si="1"/>
        <v>1.1800000000000015</v>
      </c>
      <c r="AE7" s="138">
        <f t="shared" si="2"/>
        <v>-3.4434293745607913E-2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192</v>
      </c>
      <c r="P8" s="34"/>
      <c r="Q8" s="2">
        <f>K80+M80-F80+Q2*Q4</f>
        <v>-24510.200000000012</v>
      </c>
      <c r="R8" s="166"/>
      <c r="W8" s="123">
        <v>42579</v>
      </c>
      <c r="X8" s="41">
        <v>14.06</v>
      </c>
      <c r="Y8" s="41">
        <v>14.43</v>
      </c>
      <c r="Z8" s="41">
        <v>13.96</v>
      </c>
      <c r="AA8" s="41">
        <v>14.23</v>
      </c>
      <c r="AB8" s="104">
        <v>3115600</v>
      </c>
      <c r="AC8" s="9">
        <v>14.23</v>
      </c>
      <c r="AD8" s="2">
        <f t="shared" si="1"/>
        <v>0.46999999999999886</v>
      </c>
      <c r="AE8" s="138">
        <f t="shared" si="2"/>
        <v>1.2091038406827792E-2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231</v>
      </c>
      <c r="Q9" s="138">
        <f>IF(Q2=0, 0, Q8/Q6)</f>
        <v>-0.38429167672726028</v>
      </c>
      <c r="W9" s="123">
        <v>42578</v>
      </c>
      <c r="X9" s="41">
        <v>14.79</v>
      </c>
      <c r="Y9" s="41">
        <v>14.87</v>
      </c>
      <c r="Z9" s="41">
        <v>14.02</v>
      </c>
      <c r="AA9" s="41">
        <v>14.06</v>
      </c>
      <c r="AB9" s="104">
        <v>4290300</v>
      </c>
      <c r="AC9" s="9">
        <v>14.06</v>
      </c>
      <c r="AD9" s="2">
        <f t="shared" si="1"/>
        <v>0.84999999999999964</v>
      </c>
      <c r="AE9" s="138">
        <f t="shared" si="2"/>
        <v>-4.6779661016949081E-2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230</v>
      </c>
      <c r="P10" s="34"/>
      <c r="Q10" s="2">
        <v>0</v>
      </c>
      <c r="W10" s="123">
        <v>42577</v>
      </c>
      <c r="X10" s="41">
        <v>14.95</v>
      </c>
      <c r="Y10" s="41">
        <v>14.95</v>
      </c>
      <c r="Z10" s="41">
        <v>14.64</v>
      </c>
      <c r="AA10" s="41">
        <v>14.75</v>
      </c>
      <c r="AB10" s="104">
        <v>4581300</v>
      </c>
      <c r="AC10" s="9">
        <v>14.75</v>
      </c>
      <c r="AD10" s="2">
        <f t="shared" si="1"/>
        <v>0.30999999999999872</v>
      </c>
      <c r="AE10" s="138">
        <f t="shared" si="2"/>
        <v>4.0844111640572223E-3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42576</v>
      </c>
      <c r="X11" s="41">
        <v>14.71</v>
      </c>
      <c r="Y11" s="41">
        <v>14.9</v>
      </c>
      <c r="Z11" s="41">
        <v>14.67</v>
      </c>
      <c r="AA11" s="41">
        <v>14.69</v>
      </c>
      <c r="AB11" s="104">
        <v>1580000</v>
      </c>
      <c r="AC11" s="9">
        <v>14.69</v>
      </c>
      <c r="AD11" s="2">
        <f t="shared" si="1"/>
        <v>0.23000000000000043</v>
      </c>
      <c r="AE11" s="138">
        <f t="shared" si="2"/>
        <v>-4.7425474254743083E-3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42573</v>
      </c>
      <c r="X12" s="41">
        <v>14.68</v>
      </c>
      <c r="Y12" s="41">
        <v>14.95</v>
      </c>
      <c r="Z12" s="41">
        <v>14.57</v>
      </c>
      <c r="AA12" s="41">
        <v>14.76</v>
      </c>
      <c r="AB12" s="104">
        <v>1871600</v>
      </c>
      <c r="AC12" s="9">
        <v>14.76</v>
      </c>
      <c r="AD12" s="2">
        <f t="shared" si="1"/>
        <v>0.37999999999999901</v>
      </c>
      <c r="AE12" s="138">
        <f t="shared" si="2"/>
        <v>8.8858509911140526E-3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42572</v>
      </c>
      <c r="X13" s="41">
        <v>14.46</v>
      </c>
      <c r="Y13" s="41">
        <v>14.9</v>
      </c>
      <c r="Z13" s="41">
        <v>14.46</v>
      </c>
      <c r="AA13" s="41">
        <v>14.63</v>
      </c>
      <c r="AB13" s="104">
        <v>3784600</v>
      </c>
      <c r="AC13" s="9">
        <v>14.63</v>
      </c>
      <c r="AD13" s="2">
        <f t="shared" si="1"/>
        <v>0.4399999999999995</v>
      </c>
      <c r="AE13" s="138">
        <f t="shared" si="2"/>
        <v>1.3860013860014009E-2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5"/>
      <c r="H14" s="7"/>
      <c r="I14" s="79"/>
      <c r="J14" s="44"/>
      <c r="K14" s="44"/>
      <c r="W14" s="123">
        <v>42571</v>
      </c>
      <c r="X14" s="41">
        <v>14.55</v>
      </c>
      <c r="Y14" s="41">
        <v>14.72</v>
      </c>
      <c r="Z14" s="41">
        <v>14.25</v>
      </c>
      <c r="AA14" s="41">
        <v>14.43</v>
      </c>
      <c r="AB14" s="104">
        <v>3895900</v>
      </c>
      <c r="AC14" s="9">
        <v>14.43</v>
      </c>
      <c r="AD14" s="2">
        <f t="shared" si="1"/>
        <v>0.47000000000000064</v>
      </c>
      <c r="AE14" s="138">
        <f t="shared" si="2"/>
        <v>-4.1407867494824835E-3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5"/>
      <c r="H15" s="82"/>
      <c r="I15" s="79"/>
      <c r="J15" s="44"/>
      <c r="K15" s="44"/>
      <c r="V15" s="2"/>
      <c r="W15" s="123">
        <v>42570</v>
      </c>
      <c r="X15" s="41">
        <v>14.97</v>
      </c>
      <c r="Y15" s="41">
        <v>15.03</v>
      </c>
      <c r="Z15" s="41">
        <v>14.38</v>
      </c>
      <c r="AA15" s="41">
        <v>14.49</v>
      </c>
      <c r="AB15" s="104">
        <v>4010800</v>
      </c>
      <c r="AC15" s="9">
        <v>14.49</v>
      </c>
      <c r="AD15" s="2">
        <f t="shared" si="1"/>
        <v>0.64999999999999858</v>
      </c>
      <c r="AE15" s="138">
        <f t="shared" si="2"/>
        <v>-3.076923076923066E-2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5"/>
      <c r="H16" s="82"/>
      <c r="I16" s="79"/>
      <c r="J16" s="44"/>
      <c r="K16" s="44"/>
      <c r="V16" s="2"/>
      <c r="W16" s="123">
        <v>42569</v>
      </c>
      <c r="X16" s="41">
        <v>14.92</v>
      </c>
      <c r="Y16" s="41">
        <v>14.98</v>
      </c>
      <c r="Z16" s="41">
        <v>14.86</v>
      </c>
      <c r="AA16" s="41">
        <v>14.95</v>
      </c>
      <c r="AB16" s="104">
        <v>1613100</v>
      </c>
      <c r="AC16" s="9">
        <v>14.95</v>
      </c>
      <c r="AD16" s="2">
        <f t="shared" si="1"/>
        <v>0.12000000000000099</v>
      </c>
      <c r="AE16" s="138">
        <f t="shared" si="2"/>
        <v>2.0107238605897582E-3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5"/>
      <c r="H17" s="82"/>
      <c r="I17" s="79"/>
      <c r="J17" s="44"/>
      <c r="K17" s="44"/>
      <c r="V17" s="2"/>
      <c r="W17" s="123">
        <v>42566</v>
      </c>
      <c r="X17" s="41">
        <v>15.03</v>
      </c>
      <c r="Y17" s="41">
        <v>15.08</v>
      </c>
      <c r="Z17" s="41">
        <v>14.86</v>
      </c>
      <c r="AA17" s="41">
        <v>14.92</v>
      </c>
      <c r="AB17" s="104">
        <v>1353300</v>
      </c>
      <c r="AC17" s="9">
        <v>14.92</v>
      </c>
      <c r="AD17" s="2">
        <f t="shared" si="1"/>
        <v>0.22000000000000064</v>
      </c>
      <c r="AE17" s="138">
        <f t="shared" si="2"/>
        <v>-5.3333333333333011E-3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5"/>
      <c r="H18" s="82"/>
      <c r="I18" s="79"/>
      <c r="J18" s="44"/>
      <c r="K18" s="44"/>
      <c r="V18" s="2"/>
      <c r="W18" s="123">
        <v>42565</v>
      </c>
      <c r="X18" s="41">
        <v>15.02</v>
      </c>
      <c r="Y18" s="41">
        <v>15.11</v>
      </c>
      <c r="Z18" s="41">
        <v>14.84</v>
      </c>
      <c r="AA18" s="41">
        <v>15</v>
      </c>
      <c r="AB18" s="104">
        <v>2145600</v>
      </c>
      <c r="AC18" s="9">
        <v>15</v>
      </c>
      <c r="AD18" s="2">
        <f t="shared" si="1"/>
        <v>0.26999999999999957</v>
      </c>
      <c r="AE18" s="138">
        <f t="shared" si="2"/>
        <v>-1.3315579227696217E-3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5"/>
      <c r="H19" s="82"/>
      <c r="I19" s="79"/>
      <c r="J19" s="44"/>
      <c r="K19" s="44"/>
      <c r="W19" s="123">
        <v>42564</v>
      </c>
      <c r="X19" s="41">
        <v>15.04</v>
      </c>
      <c r="Y19" s="41">
        <v>15.09</v>
      </c>
      <c r="Z19" s="41">
        <v>14.81</v>
      </c>
      <c r="AA19" s="41">
        <v>15.02</v>
      </c>
      <c r="AB19" s="104">
        <v>1867100</v>
      </c>
      <c r="AC19" s="9">
        <v>15.02</v>
      </c>
      <c r="AD19" s="2">
        <f t="shared" si="1"/>
        <v>0.27999999999999936</v>
      </c>
      <c r="AE19" s="138">
        <f t="shared" si="2"/>
        <v>2.6702269692924219E-3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42563</v>
      </c>
      <c r="X20" s="41">
        <v>14.81</v>
      </c>
      <c r="Y20" s="41">
        <v>15.12</v>
      </c>
      <c r="Z20" s="41">
        <v>14.81</v>
      </c>
      <c r="AA20" s="41">
        <v>14.98</v>
      </c>
      <c r="AB20" s="104">
        <v>3502200</v>
      </c>
      <c r="AC20" s="9">
        <v>14.98</v>
      </c>
      <c r="AD20" s="2">
        <f t="shared" si="1"/>
        <v>0.30999999999999872</v>
      </c>
      <c r="AE20" s="138">
        <f t="shared" si="2"/>
        <v>1.6972165648336812E-2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42562</v>
      </c>
      <c r="X21" s="41">
        <v>14.51</v>
      </c>
      <c r="Y21" s="41">
        <v>14.76</v>
      </c>
      <c r="Z21" s="41">
        <v>14.5</v>
      </c>
      <c r="AA21" s="41">
        <v>14.73</v>
      </c>
      <c r="AB21" s="104">
        <v>1911100</v>
      </c>
      <c r="AC21" s="9">
        <v>14.73</v>
      </c>
      <c r="AD21" s="2">
        <f t="shared" si="1"/>
        <v>0.25999999999999979</v>
      </c>
      <c r="AE21" s="138">
        <f t="shared" si="2"/>
        <v>1.5161957270847681E-2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42559</v>
      </c>
      <c r="X22" s="41">
        <v>14.33</v>
      </c>
      <c r="Y22" s="41">
        <v>14.52</v>
      </c>
      <c r="Z22" s="41">
        <v>14.25</v>
      </c>
      <c r="AA22" s="41">
        <v>14.51</v>
      </c>
      <c r="AB22" s="104">
        <v>4171200</v>
      </c>
      <c r="AC22" s="9">
        <v>14.51</v>
      </c>
      <c r="AD22" s="2">
        <f t="shared" si="1"/>
        <v>0.26999999999999957</v>
      </c>
      <c r="AE22" s="138">
        <f t="shared" si="2"/>
        <v>1.9676739283204459E-2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42558</v>
      </c>
      <c r="X23" s="41">
        <v>14.34</v>
      </c>
      <c r="Y23" s="41">
        <v>14.54</v>
      </c>
      <c r="Z23" s="41">
        <v>14.12</v>
      </c>
      <c r="AA23" s="41">
        <v>14.23</v>
      </c>
      <c r="AB23" s="104">
        <v>1888700</v>
      </c>
      <c r="AC23" s="9">
        <v>14.23</v>
      </c>
      <c r="AD23" s="2">
        <f t="shared" si="1"/>
        <v>0.41999999999999993</v>
      </c>
      <c r="AE23" s="138">
        <f t="shared" si="2"/>
        <v>-6.9783670621074156E-3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42557</v>
      </c>
      <c r="X24" s="41">
        <v>14.28</v>
      </c>
      <c r="Y24" s="41">
        <v>14.47</v>
      </c>
      <c r="Z24" s="41">
        <v>14.17</v>
      </c>
      <c r="AA24" s="41">
        <v>14.33</v>
      </c>
      <c r="AB24" s="104">
        <v>3976500</v>
      </c>
      <c r="AC24" s="9">
        <v>14.33</v>
      </c>
      <c r="AD24" s="2">
        <f t="shared" si="1"/>
        <v>0.30000000000000071</v>
      </c>
      <c r="AE24" s="138">
        <f t="shared" si="2"/>
        <v>1.3976240391333494E-3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42556</v>
      </c>
      <c r="X25" s="41">
        <v>14.61</v>
      </c>
      <c r="Y25" s="41">
        <v>14.61</v>
      </c>
      <c r="Z25" s="41">
        <v>14.1</v>
      </c>
      <c r="AA25" s="41">
        <v>14.31</v>
      </c>
      <c r="AB25" s="104">
        <v>3317600</v>
      </c>
      <c r="AC25" s="9">
        <v>14.31</v>
      </c>
      <c r="AD25" s="2">
        <f t="shared" si="1"/>
        <v>0.50999999999999979</v>
      </c>
      <c r="AE25" s="138">
        <f t="shared" si="2"/>
        <v>-2.7192386131883128E-2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42552</v>
      </c>
      <c r="X26" s="41">
        <v>14.81</v>
      </c>
      <c r="Y26" s="41">
        <v>14.92</v>
      </c>
      <c r="Z26" s="41">
        <v>14.6</v>
      </c>
      <c r="AA26" s="41">
        <v>14.71</v>
      </c>
      <c r="AB26" s="104">
        <v>2653300</v>
      </c>
      <c r="AC26" s="9">
        <v>14.71</v>
      </c>
      <c r="AD26" s="2">
        <f t="shared" si="1"/>
        <v>0.32000000000000028</v>
      </c>
      <c r="AE26" s="138">
        <f t="shared" si="2"/>
        <v>-2.7118644067796183E-3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42551</v>
      </c>
      <c r="X27" s="41">
        <v>14.58</v>
      </c>
      <c r="Y27" s="41">
        <v>14.79</v>
      </c>
      <c r="Z27" s="41">
        <v>14.35</v>
      </c>
      <c r="AA27" s="41">
        <v>14.75</v>
      </c>
      <c r="AB27" s="104">
        <v>2825100</v>
      </c>
      <c r="AC27" s="9">
        <v>14.75</v>
      </c>
      <c r="AD27" s="2">
        <f t="shared" si="1"/>
        <v>0.4399999999999995</v>
      </c>
      <c r="AE27" s="138">
        <f t="shared" si="2"/>
        <v>1.1659807956104329E-2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42550</v>
      </c>
      <c r="X28" s="41">
        <v>14.44</v>
      </c>
      <c r="Y28" s="41">
        <v>14.98</v>
      </c>
      <c r="Z28" s="41">
        <v>14.44</v>
      </c>
      <c r="AA28" s="41">
        <v>14.58</v>
      </c>
      <c r="AB28" s="104">
        <v>4448000</v>
      </c>
      <c r="AC28" s="9">
        <v>14.58</v>
      </c>
      <c r="AD28" s="2">
        <f t="shared" si="1"/>
        <v>0.54000000000000092</v>
      </c>
      <c r="AE28" s="138">
        <f t="shared" si="2"/>
        <v>2.5316455696202445E-2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42549</v>
      </c>
      <c r="X29" s="41">
        <v>13.52</v>
      </c>
      <c r="Y29" s="41">
        <v>14.28</v>
      </c>
      <c r="Z29" s="41">
        <v>13.52</v>
      </c>
      <c r="AA29" s="41">
        <v>14.22</v>
      </c>
      <c r="AB29" s="104">
        <v>4617200</v>
      </c>
      <c r="AC29" s="9">
        <v>14.22</v>
      </c>
      <c r="AD29" s="2">
        <f t="shared" si="1"/>
        <v>0.75999999999999979</v>
      </c>
      <c r="AE29" s="138">
        <f t="shared" si="2"/>
        <v>6.0402684563758413E-2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36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42548</v>
      </c>
      <c r="X30" s="41">
        <v>13.56</v>
      </c>
      <c r="Y30" s="41">
        <v>13.6</v>
      </c>
      <c r="Z30" s="41">
        <v>13.22</v>
      </c>
      <c r="AA30" s="41">
        <v>13.41</v>
      </c>
      <c r="AB30" s="104">
        <v>4363200</v>
      </c>
      <c r="AC30" s="9">
        <v>13.41</v>
      </c>
      <c r="AD30" s="2">
        <f t="shared" si="1"/>
        <v>0.37999999999999901</v>
      </c>
      <c r="AE30" s="138">
        <f t="shared" si="2"/>
        <v>-2.1167883211678729E-2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36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42545</v>
      </c>
      <c r="X31" s="41">
        <v>13.8</v>
      </c>
      <c r="Y31" s="41">
        <v>13.84</v>
      </c>
      <c r="Z31" s="41">
        <v>13.5</v>
      </c>
      <c r="AA31" s="41">
        <v>13.7</v>
      </c>
      <c r="AB31" s="104">
        <v>5813000</v>
      </c>
      <c r="AC31" s="9">
        <v>13.7</v>
      </c>
      <c r="AD31" s="2">
        <f t="shared" si="1"/>
        <v>0.33999999999999986</v>
      </c>
      <c r="AE31" s="138">
        <f t="shared" si="2"/>
        <v>-3.3850493653032498E-2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36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42544</v>
      </c>
      <c r="X32" s="41">
        <v>13.97</v>
      </c>
      <c r="Y32" s="41">
        <v>14.2</v>
      </c>
      <c r="Z32" s="41">
        <v>13.88</v>
      </c>
      <c r="AA32" s="41">
        <v>14.18</v>
      </c>
      <c r="AB32" s="104">
        <v>3124500</v>
      </c>
      <c r="AC32" s="9">
        <v>14.18</v>
      </c>
      <c r="AD32" s="2">
        <f t="shared" si="1"/>
        <v>0.31999999999999851</v>
      </c>
      <c r="AE32" s="138">
        <f t="shared" si="2"/>
        <v>2.8281363306744023E-2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36"/>
      <c r="H33" s="185">
        <v>200</v>
      </c>
      <c r="I33" s="243">
        <v>12.77</v>
      </c>
      <c r="J33" s="3">
        <v>0</v>
      </c>
      <c r="K33" s="3">
        <f t="shared" ref="K33:K45" si="6">H33*I33-J33</f>
        <v>2554</v>
      </c>
      <c r="Q33" s="2"/>
      <c r="W33" s="123">
        <v>42543</v>
      </c>
      <c r="X33" s="41">
        <v>14.14</v>
      </c>
      <c r="Y33" s="41">
        <v>14.16</v>
      </c>
      <c r="Z33" s="41">
        <v>13.75</v>
      </c>
      <c r="AA33" s="41">
        <v>13.79</v>
      </c>
      <c r="AB33" s="104">
        <v>4122400</v>
      </c>
      <c r="AC33" s="9">
        <v>13.79</v>
      </c>
      <c r="AD33" s="2">
        <f t="shared" si="1"/>
        <v>0.41000000000000014</v>
      </c>
      <c r="AE33" s="138">
        <f t="shared" si="2"/>
        <v>-2.2678951098511702E-2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36"/>
      <c r="H34" s="185">
        <v>200</v>
      </c>
      <c r="I34" s="243">
        <v>12.77</v>
      </c>
      <c r="J34" s="3">
        <v>0</v>
      </c>
      <c r="K34" s="3">
        <f t="shared" si="6"/>
        <v>2554</v>
      </c>
      <c r="W34" s="123">
        <v>42542</v>
      </c>
      <c r="X34" s="41">
        <v>14.13</v>
      </c>
      <c r="Y34" s="41">
        <v>14.25</v>
      </c>
      <c r="Z34" s="41">
        <v>13.9</v>
      </c>
      <c r="AA34" s="41">
        <v>14.11</v>
      </c>
      <c r="AB34" s="104">
        <v>3132600</v>
      </c>
      <c r="AC34" s="9">
        <v>14.11</v>
      </c>
      <c r="AD34" s="2">
        <f t="shared" si="1"/>
        <v>0.34999999999999964</v>
      </c>
      <c r="AE34" s="138">
        <f t="shared" si="2"/>
        <v>-2.1216407355022504E-3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36"/>
      <c r="H35" s="185">
        <v>200</v>
      </c>
      <c r="I35" s="243">
        <v>12.77</v>
      </c>
      <c r="J35" s="3">
        <v>0</v>
      </c>
      <c r="K35" s="3">
        <f t="shared" si="6"/>
        <v>2554</v>
      </c>
      <c r="W35" s="123">
        <v>42541</v>
      </c>
      <c r="X35" s="41">
        <v>14.26</v>
      </c>
      <c r="Y35" s="41">
        <v>14.69</v>
      </c>
      <c r="Z35" s="41">
        <v>14.09</v>
      </c>
      <c r="AA35" s="41">
        <v>14.14</v>
      </c>
      <c r="AB35" s="104">
        <v>4080200</v>
      </c>
      <c r="AC35" s="9">
        <v>14.14</v>
      </c>
      <c r="AD35" s="2">
        <f t="shared" si="1"/>
        <v>0.59999999999999964</v>
      </c>
      <c r="AE35" s="138">
        <f t="shared" si="2"/>
        <v>-7.0224719101122934E-3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36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42538</v>
      </c>
      <c r="X36" s="41">
        <v>13.81</v>
      </c>
      <c r="Y36" s="41">
        <v>14.26</v>
      </c>
      <c r="Z36" s="41">
        <v>13.76</v>
      </c>
      <c r="AA36" s="41">
        <v>14.24</v>
      </c>
      <c r="AB36" s="104">
        <v>3710400</v>
      </c>
      <c r="AC36" s="9">
        <v>14.24</v>
      </c>
      <c r="AD36" s="2">
        <f t="shared" si="1"/>
        <v>0.5</v>
      </c>
      <c r="AE36" s="138">
        <f t="shared" si="2"/>
        <v>3.5636363636363688E-2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8" si="7">C37*D37+E37</f>
        <v>2994.95</v>
      </c>
      <c r="G37" s="536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42537</v>
      </c>
      <c r="X37" s="41">
        <v>13.37</v>
      </c>
      <c r="Y37" s="41">
        <v>13.86</v>
      </c>
      <c r="Z37" s="41">
        <v>13.32</v>
      </c>
      <c r="AA37" s="41">
        <v>13.75</v>
      </c>
      <c r="AB37" s="104">
        <v>3775800</v>
      </c>
      <c r="AC37" s="9">
        <v>13.75</v>
      </c>
      <c r="AD37" s="2">
        <f t="shared" si="1"/>
        <v>0.53999999999999915</v>
      </c>
      <c r="AE37" s="138">
        <f t="shared" si="2"/>
        <v>1.4011799410029502E-2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36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42536</v>
      </c>
      <c r="X38" s="41">
        <v>13.81</v>
      </c>
      <c r="Y38" s="41">
        <v>13.96</v>
      </c>
      <c r="Z38" s="41">
        <v>13.53</v>
      </c>
      <c r="AA38" s="41">
        <v>13.56</v>
      </c>
      <c r="AB38" s="104">
        <v>3352400</v>
      </c>
      <c r="AC38" s="9">
        <v>13.56</v>
      </c>
      <c r="AD38" s="2">
        <f t="shared" si="1"/>
        <v>0.43000000000000149</v>
      </c>
      <c r="AE38" s="138">
        <f t="shared" si="2"/>
        <v>-2.3054755043227737E-2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36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42535</v>
      </c>
      <c r="X39" s="41">
        <v>14.24</v>
      </c>
      <c r="Y39" s="41">
        <v>14.37</v>
      </c>
      <c r="Z39" s="41">
        <v>13.62</v>
      </c>
      <c r="AA39" s="41">
        <v>13.88</v>
      </c>
      <c r="AB39" s="104">
        <v>7535700</v>
      </c>
      <c r="AC39" s="9">
        <v>13.88</v>
      </c>
      <c r="AD39" s="2">
        <f t="shared" si="1"/>
        <v>0.75</v>
      </c>
      <c r="AE39" s="138">
        <f t="shared" si="2"/>
        <v>-2.5964912280701746E-2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36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42534</v>
      </c>
      <c r="X40" s="41">
        <v>14.34</v>
      </c>
      <c r="Y40" s="41">
        <v>14.58</v>
      </c>
      <c r="Z40" s="41">
        <v>14.13</v>
      </c>
      <c r="AA40" s="41">
        <v>14.25</v>
      </c>
      <c r="AB40" s="104">
        <v>6731700</v>
      </c>
      <c r="AC40" s="9">
        <v>14.25</v>
      </c>
      <c r="AD40" s="2">
        <f t="shared" si="1"/>
        <v>0.44999999999999929</v>
      </c>
      <c r="AE40" s="138">
        <f t="shared" si="2"/>
        <v>-1.7918676774638209E-2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36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42531</v>
      </c>
      <c r="X41" s="41">
        <v>15.28</v>
      </c>
      <c r="Y41" s="41">
        <v>15.38</v>
      </c>
      <c r="Z41" s="41">
        <v>14.48</v>
      </c>
      <c r="AA41" s="41">
        <v>14.51</v>
      </c>
      <c r="AB41" s="104">
        <v>6048400</v>
      </c>
      <c r="AC41" s="9">
        <v>14.51</v>
      </c>
      <c r="AD41" s="2">
        <f t="shared" si="1"/>
        <v>0.90000000000000036</v>
      </c>
      <c r="AE41" s="138">
        <f t="shared" si="2"/>
        <v>-6.9871794871794846E-2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36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42530</v>
      </c>
      <c r="X42" s="41">
        <v>15.63</v>
      </c>
      <c r="Y42" s="41">
        <v>15.73</v>
      </c>
      <c r="Z42" s="41">
        <v>15.43</v>
      </c>
      <c r="AA42" s="41">
        <v>15.6</v>
      </c>
      <c r="AB42" s="104">
        <v>2905600</v>
      </c>
      <c r="AC42" s="9">
        <v>15.6</v>
      </c>
      <c r="AD42" s="2">
        <f t="shared" si="1"/>
        <v>0.30000000000000071</v>
      </c>
      <c r="AE42" s="138">
        <f t="shared" si="2"/>
        <v>-1.5772870662460581E-2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36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14.399000000000001</v>
      </c>
      <c r="T43" s="108" t="s">
        <v>98</v>
      </c>
      <c r="U43" s="106">
        <v>12.97</v>
      </c>
      <c r="W43" s="123">
        <v>42529</v>
      </c>
      <c r="X43" s="41">
        <v>15.98</v>
      </c>
      <c r="Y43" s="41">
        <v>16.07</v>
      </c>
      <c r="Z43" s="41">
        <v>15.83</v>
      </c>
      <c r="AA43" s="41">
        <v>15.85</v>
      </c>
      <c r="AB43" s="104">
        <v>2208300</v>
      </c>
      <c r="AC43" s="9">
        <v>15.85</v>
      </c>
      <c r="AD43" s="2">
        <f t="shared" si="1"/>
        <v>0.24000000000000021</v>
      </c>
      <c r="AE43" s="138">
        <f t="shared" si="2"/>
        <v>-6.3051702395966469E-4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36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14.2681</v>
      </c>
      <c r="T44" s="108" t="s">
        <v>99</v>
      </c>
      <c r="U44" s="106">
        <v>12.98</v>
      </c>
      <c r="W44" s="123">
        <v>42528</v>
      </c>
      <c r="X44" s="41">
        <v>15.96</v>
      </c>
      <c r="Y44" s="41">
        <v>16.04</v>
      </c>
      <c r="Z44" s="41">
        <v>15.73</v>
      </c>
      <c r="AA44" s="41">
        <v>15.86</v>
      </c>
      <c r="AB44" s="104">
        <v>2230500</v>
      </c>
      <c r="AC44" s="9">
        <v>15.86</v>
      </c>
      <c r="AD44" s="2">
        <f t="shared" si="1"/>
        <v>0.30999999999999872</v>
      </c>
      <c r="AE44" s="138">
        <f t="shared" si="2"/>
        <v>-8.7500000000000355E-3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36"/>
      <c r="H45" s="185">
        <v>700</v>
      </c>
      <c r="I45" s="24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14.1372</v>
      </c>
      <c r="Q45" s="2"/>
      <c r="T45" s="108" t="s">
        <v>100</v>
      </c>
      <c r="U45" s="106" t="s">
        <v>381</v>
      </c>
      <c r="W45" s="123">
        <v>42527</v>
      </c>
      <c r="X45" s="41">
        <v>15.44</v>
      </c>
      <c r="Y45" s="41">
        <v>16.03</v>
      </c>
      <c r="Z45" s="41">
        <v>15.39</v>
      </c>
      <c r="AA45" s="41">
        <v>16</v>
      </c>
      <c r="AB45" s="104">
        <v>5231600</v>
      </c>
      <c r="AC45" s="9">
        <v>16</v>
      </c>
      <c r="AD45" s="2">
        <f t="shared" si="1"/>
        <v>0.64000000000000057</v>
      </c>
      <c r="AE45" s="138">
        <f t="shared" si="2"/>
        <v>4.5751633986928164E-2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36"/>
      <c r="H46" s="82"/>
      <c r="I46" s="79"/>
      <c r="J46" s="44"/>
      <c r="K46" s="44"/>
      <c r="O46" s="83">
        <v>1.07</v>
      </c>
      <c r="P46" s="83">
        <f t="shared" si="8"/>
        <v>14.006300000000001</v>
      </c>
      <c r="Q46" s="2"/>
      <c r="T46" s="108" t="s">
        <v>101</v>
      </c>
      <c r="U46" s="106" t="s">
        <v>382</v>
      </c>
      <c r="W46" s="123">
        <v>42524</v>
      </c>
      <c r="X46" s="41">
        <v>15.41</v>
      </c>
      <c r="Y46" s="41">
        <v>15.46</v>
      </c>
      <c r="Z46" s="41">
        <v>14.97</v>
      </c>
      <c r="AA46" s="41">
        <v>15.3</v>
      </c>
      <c r="AB46" s="104">
        <v>2280200</v>
      </c>
      <c r="AC46" s="9">
        <v>15.3</v>
      </c>
      <c r="AD46" s="2">
        <f t="shared" si="1"/>
        <v>0.49000000000000021</v>
      </c>
      <c r="AE46" s="138">
        <f t="shared" si="2"/>
        <v>7.2416063199474134E-3</v>
      </c>
    </row>
    <row r="47" spans="2:41" x14ac:dyDescent="0.25">
      <c r="B47" s="532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36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13.875400000000001</v>
      </c>
      <c r="Q47" s="2"/>
      <c r="T47" s="108" t="s">
        <v>102</v>
      </c>
      <c r="U47" s="106">
        <v>18.100000000000001</v>
      </c>
      <c r="W47" s="123">
        <v>42523</v>
      </c>
      <c r="X47" s="41">
        <v>15.06</v>
      </c>
      <c r="Y47" s="41">
        <v>15.42</v>
      </c>
      <c r="Z47" s="41">
        <v>15.04</v>
      </c>
      <c r="AA47" s="41">
        <v>15.19</v>
      </c>
      <c r="AB47" s="104">
        <v>2293400</v>
      </c>
      <c r="AC47" s="9">
        <v>15.19</v>
      </c>
      <c r="AD47" s="2">
        <f t="shared" si="1"/>
        <v>0.38000000000000078</v>
      </c>
      <c r="AE47" s="138">
        <f t="shared" si="2"/>
        <v>7.2944297082226939E-3</v>
      </c>
    </row>
    <row r="48" spans="2:41" x14ac:dyDescent="0.25">
      <c r="B48" s="532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13.7445</v>
      </c>
      <c r="Q48" s="2"/>
      <c r="T48" s="108" t="s">
        <v>103</v>
      </c>
      <c r="U48" s="106">
        <v>1.1376599999999999</v>
      </c>
      <c r="W48" s="123">
        <v>42522</v>
      </c>
      <c r="X48" s="41">
        <v>14.76</v>
      </c>
      <c r="Y48" s="41">
        <v>15.11</v>
      </c>
      <c r="Z48" s="41">
        <v>14.55</v>
      </c>
      <c r="AA48" s="41">
        <v>15.08</v>
      </c>
      <c r="AB48" s="104">
        <v>3729100</v>
      </c>
      <c r="AC48" s="9">
        <v>15.08</v>
      </c>
      <c r="AD48" s="2">
        <f t="shared" si="1"/>
        <v>0.55999999999999872</v>
      </c>
      <c r="AE48" s="138">
        <f t="shared" si="2"/>
        <v>1.8918918918918948E-2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13.6136</v>
      </c>
      <c r="Q49" s="2"/>
      <c r="T49" s="108" t="s">
        <v>123</v>
      </c>
      <c r="U49" s="106" t="s">
        <v>354</v>
      </c>
      <c r="W49" s="123">
        <v>42521</v>
      </c>
      <c r="X49" s="41">
        <v>14.76</v>
      </c>
      <c r="Y49" s="41">
        <v>14.94</v>
      </c>
      <c r="Z49" s="41">
        <v>14.64</v>
      </c>
      <c r="AA49" s="41">
        <v>14.8</v>
      </c>
      <c r="AB49" s="104">
        <v>2692000</v>
      </c>
      <c r="AC49" s="9">
        <v>14.8</v>
      </c>
      <c r="AD49" s="2">
        <f t="shared" si="1"/>
        <v>0.29999999999999893</v>
      </c>
      <c r="AE49" s="138">
        <f t="shared" si="2"/>
        <v>4.070556309362372E-3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13.482699999999999</v>
      </c>
      <c r="Q50" s="2"/>
      <c r="T50" s="108"/>
      <c r="U50" s="106"/>
      <c r="W50" s="123">
        <v>42517</v>
      </c>
      <c r="X50" s="41">
        <v>14.51</v>
      </c>
      <c r="Y50" s="41">
        <v>14.8</v>
      </c>
      <c r="Z50" s="41">
        <v>14.45</v>
      </c>
      <c r="AA50" s="41">
        <v>14.74</v>
      </c>
      <c r="AB50" s="104">
        <v>2814300</v>
      </c>
      <c r="AC50" s="9">
        <v>14.74</v>
      </c>
      <c r="AD50" s="2">
        <f t="shared" si="1"/>
        <v>0.35000000000000142</v>
      </c>
      <c r="AE50" s="138">
        <f t="shared" si="2"/>
        <v>1.5151515151515138E-2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13.351800000000001</v>
      </c>
      <c r="Q51" s="2"/>
      <c r="T51" s="108" t="s">
        <v>105</v>
      </c>
      <c r="U51" s="106" t="s">
        <v>383</v>
      </c>
      <c r="W51" s="123">
        <v>42516</v>
      </c>
      <c r="X51" s="41">
        <v>14.55</v>
      </c>
      <c r="Y51" s="41">
        <v>14.78</v>
      </c>
      <c r="Z51" s="41">
        <v>14.46</v>
      </c>
      <c r="AA51" s="41">
        <v>14.52</v>
      </c>
      <c r="AB51" s="104">
        <v>2104300</v>
      </c>
      <c r="AC51" s="9">
        <v>14.52</v>
      </c>
      <c r="AD51" s="2">
        <f t="shared" si="1"/>
        <v>0.31999999999999851</v>
      </c>
      <c r="AE51" s="138">
        <f t="shared" si="2"/>
        <v>6.8917987594763197E-4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13.2209</v>
      </c>
      <c r="Q52" s="2"/>
      <c r="T52" s="108" t="s">
        <v>106</v>
      </c>
      <c r="U52" s="106" t="s">
        <v>355</v>
      </c>
      <c r="W52" s="123">
        <v>42515</v>
      </c>
      <c r="X52" s="41">
        <v>14.46</v>
      </c>
      <c r="Y52" s="41">
        <v>14.78</v>
      </c>
      <c r="Z52" s="41">
        <v>14.25</v>
      </c>
      <c r="AA52" s="41">
        <v>14.51</v>
      </c>
      <c r="AB52" s="104">
        <v>5134600</v>
      </c>
      <c r="AC52" s="9">
        <v>14.51</v>
      </c>
      <c r="AD52" s="2">
        <f t="shared" si="1"/>
        <v>0.52999999999999936</v>
      </c>
      <c r="AE52" s="138">
        <f t="shared" si="2"/>
        <v>-2.9431438127090259E-2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13.09</v>
      </c>
      <c r="Q53" s="2"/>
      <c r="T53" s="108" t="s">
        <v>107</v>
      </c>
      <c r="U53" s="107">
        <v>4090171</v>
      </c>
      <c r="W53" s="123">
        <v>42514</v>
      </c>
      <c r="X53" s="41">
        <v>14.91</v>
      </c>
      <c r="Y53" s="41">
        <v>15.07</v>
      </c>
      <c r="Z53" s="41">
        <v>14.74</v>
      </c>
      <c r="AA53" s="41">
        <v>14.95</v>
      </c>
      <c r="AB53" s="104">
        <v>2564800</v>
      </c>
      <c r="AC53" s="9">
        <v>14.95</v>
      </c>
      <c r="AD53" s="2">
        <f t="shared" si="1"/>
        <v>0.33000000000000007</v>
      </c>
      <c r="AE53" s="138">
        <f t="shared" si="2"/>
        <v>8.0917060013485642E-3</v>
      </c>
      <c r="AL53" s="236"/>
      <c r="AO53" s="23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12.959099999999999</v>
      </c>
      <c r="Q54" s="2"/>
      <c r="T54" s="108" t="s">
        <v>110</v>
      </c>
      <c r="U54" s="107">
        <v>3692160</v>
      </c>
      <c r="W54" s="123">
        <v>42513</v>
      </c>
      <c r="X54" s="41">
        <v>14.93</v>
      </c>
      <c r="Y54" s="41">
        <v>15.01</v>
      </c>
      <c r="Z54" s="41">
        <v>14.68</v>
      </c>
      <c r="AA54" s="41">
        <v>14.83</v>
      </c>
      <c r="AB54" s="104">
        <v>2851500</v>
      </c>
      <c r="AC54" s="9">
        <v>14.83</v>
      </c>
      <c r="AD54" s="2">
        <f t="shared" si="1"/>
        <v>0.33000000000000007</v>
      </c>
      <c r="AE54" s="138">
        <f t="shared" si="2"/>
        <v>-8.0267558528427374E-3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12.828199999999999</v>
      </c>
      <c r="T55" s="108" t="s">
        <v>108</v>
      </c>
      <c r="U55" s="106" t="s">
        <v>384</v>
      </c>
      <c r="W55" s="123">
        <v>42510</v>
      </c>
      <c r="X55" s="41">
        <v>14.55</v>
      </c>
      <c r="Y55" s="41">
        <v>14.98</v>
      </c>
      <c r="Z55" s="41">
        <v>14.47</v>
      </c>
      <c r="AA55" s="41">
        <v>14.95</v>
      </c>
      <c r="AB55" s="104">
        <v>3768100</v>
      </c>
      <c r="AC55" s="9">
        <v>14.95</v>
      </c>
      <c r="AD55" s="2">
        <f t="shared" si="1"/>
        <v>0.50999999999999979</v>
      </c>
      <c r="AE55" s="138">
        <f t="shared" si="2"/>
        <v>2.890571231933925E-2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12.6973</v>
      </c>
      <c r="T56" s="108" t="s">
        <v>111</v>
      </c>
      <c r="U56" s="106" t="s">
        <v>130</v>
      </c>
      <c r="W56" s="123">
        <v>42509</v>
      </c>
      <c r="X56" s="41">
        <v>14.24</v>
      </c>
      <c r="Y56" s="41">
        <v>14.57</v>
      </c>
      <c r="Z56" s="41">
        <v>14.22</v>
      </c>
      <c r="AA56" s="41">
        <v>14.53</v>
      </c>
      <c r="AB56" s="104">
        <v>1880700</v>
      </c>
      <c r="AC56" s="9">
        <v>14.53</v>
      </c>
      <c r="AD56" s="2">
        <f t="shared" si="1"/>
        <v>0.34999999999999964</v>
      </c>
      <c r="AE56" s="138">
        <f t="shared" si="2"/>
        <v>7.628294036061023E-3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12.5664</v>
      </c>
      <c r="T57" s="108" t="s">
        <v>112</v>
      </c>
      <c r="U57" s="106">
        <v>0</v>
      </c>
      <c r="W57" s="123">
        <v>42508</v>
      </c>
      <c r="X57" s="41">
        <v>14.67</v>
      </c>
      <c r="Y57" s="41">
        <v>14.8</v>
      </c>
      <c r="Z57" s="41">
        <v>14.26</v>
      </c>
      <c r="AA57" s="41">
        <v>14.42</v>
      </c>
      <c r="AB57" s="104">
        <v>2732100</v>
      </c>
      <c r="AC57" s="9">
        <v>14.42</v>
      </c>
      <c r="AD57" s="2">
        <f t="shared" si="1"/>
        <v>0.54000000000000092</v>
      </c>
      <c r="AE57" s="138">
        <f t="shared" si="2"/>
        <v>-2.3696682464454999E-2</v>
      </c>
      <c r="AL57" s="236"/>
      <c r="AO57" s="236"/>
    </row>
    <row r="58" spans="1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12.435499999999999</v>
      </c>
      <c r="T58" s="108" t="s">
        <v>109</v>
      </c>
      <c r="U58" s="106" t="s">
        <v>124</v>
      </c>
      <c r="W58" s="123">
        <v>42507</v>
      </c>
      <c r="X58" s="41">
        <v>14.76</v>
      </c>
      <c r="Y58" s="41">
        <v>14.95</v>
      </c>
      <c r="Z58" s="41">
        <v>14.58</v>
      </c>
      <c r="AA58" s="41">
        <v>14.77</v>
      </c>
      <c r="AB58" s="104">
        <v>2231000</v>
      </c>
      <c r="AC58" s="9">
        <v>14.77</v>
      </c>
      <c r="AD58" s="2">
        <f t="shared" si="1"/>
        <v>0.36999999999999922</v>
      </c>
      <c r="AE58" s="138">
        <f t="shared" si="2"/>
        <v>0</v>
      </c>
    </row>
    <row r="59" spans="1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12.304599999999999</v>
      </c>
      <c r="W59" s="123">
        <v>42506</v>
      </c>
      <c r="X59" s="41">
        <v>14.82</v>
      </c>
      <c r="Y59" s="41">
        <v>14.91</v>
      </c>
      <c r="Z59" s="41">
        <v>14.7</v>
      </c>
      <c r="AA59" s="41">
        <v>14.77</v>
      </c>
      <c r="AB59" s="104">
        <v>1648100</v>
      </c>
      <c r="AC59" s="9">
        <v>14.77</v>
      </c>
      <c r="AD59" s="2">
        <f t="shared" si="1"/>
        <v>0.21000000000000085</v>
      </c>
      <c r="AE59" s="138">
        <f t="shared" si="2"/>
        <v>4.0788579197823527E-3</v>
      </c>
      <c r="AL59" s="236"/>
    </row>
    <row r="60" spans="1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12.1737</v>
      </c>
      <c r="W60" s="123">
        <v>42503</v>
      </c>
      <c r="X60" s="41">
        <v>15.01</v>
      </c>
      <c r="Y60" s="41">
        <v>15.03</v>
      </c>
      <c r="Z60" s="41">
        <v>14.66</v>
      </c>
      <c r="AA60" s="41">
        <v>14.71</v>
      </c>
      <c r="AB60" s="104">
        <v>4353900</v>
      </c>
      <c r="AC60" s="9">
        <v>14.71</v>
      </c>
      <c r="AD60" s="2">
        <f t="shared" si="1"/>
        <v>0.36999999999999922</v>
      </c>
      <c r="AE60" s="138">
        <f t="shared" si="2"/>
        <v>-2.1290751829673882E-2</v>
      </c>
    </row>
    <row r="61" spans="1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12.0428</v>
      </c>
      <c r="W61" s="123">
        <v>42502</v>
      </c>
      <c r="X61" s="41">
        <v>15.19</v>
      </c>
      <c r="Y61" s="41">
        <v>15.3</v>
      </c>
      <c r="Z61" s="41">
        <v>14.8</v>
      </c>
      <c r="AA61" s="41">
        <v>15.03</v>
      </c>
      <c r="AB61" s="104">
        <v>3961400</v>
      </c>
      <c r="AC61" s="9">
        <v>15.03</v>
      </c>
      <c r="AD61" s="2">
        <f t="shared" si="1"/>
        <v>0.5</v>
      </c>
      <c r="AE61" s="138">
        <f t="shared" si="2"/>
        <v>0</v>
      </c>
      <c r="AL61" s="236"/>
      <c r="AO61" s="236"/>
    </row>
    <row r="62" spans="1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11.911900000000001</v>
      </c>
      <c r="W62" s="123">
        <v>42501</v>
      </c>
      <c r="X62" s="41">
        <v>15.32</v>
      </c>
      <c r="Y62" s="41">
        <v>15.33</v>
      </c>
      <c r="Z62" s="41">
        <v>14.97</v>
      </c>
      <c r="AA62" s="41">
        <v>15.03</v>
      </c>
      <c r="AB62" s="104">
        <v>2426500</v>
      </c>
      <c r="AC62" s="9">
        <v>15.03</v>
      </c>
      <c r="AD62" s="2">
        <f t="shared" si="1"/>
        <v>0.35999999999999943</v>
      </c>
      <c r="AE62" s="138">
        <f t="shared" si="2"/>
        <v>-1.7004578155657257E-2</v>
      </c>
    </row>
    <row r="63" spans="1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G63" s="1">
        <v>42580</v>
      </c>
      <c r="H63" s="82">
        <v>1000</v>
      </c>
      <c r="I63" s="79">
        <v>13.73</v>
      </c>
      <c r="J63" s="44">
        <v>-0.7</v>
      </c>
      <c r="K63" s="44">
        <f>H63*I63-J63</f>
        <v>13730.7</v>
      </c>
      <c r="O63" s="83">
        <v>0.9</v>
      </c>
      <c r="P63" s="83">
        <f t="shared" si="8"/>
        <v>11.781000000000001</v>
      </c>
      <c r="W63" s="123">
        <v>42500</v>
      </c>
      <c r="X63" s="41">
        <v>14.95</v>
      </c>
      <c r="Y63" s="41">
        <v>15.31</v>
      </c>
      <c r="Z63" s="41">
        <v>14.82</v>
      </c>
      <c r="AA63" s="41">
        <v>15.29</v>
      </c>
      <c r="AB63" s="104">
        <v>5604300</v>
      </c>
      <c r="AC63" s="9">
        <v>15.29</v>
      </c>
      <c r="AD63" s="2">
        <f t="shared" si="1"/>
        <v>0.49000000000000021</v>
      </c>
      <c r="AE63" s="138">
        <f t="shared" si="2"/>
        <v>2.5486250838363533E-2</v>
      </c>
      <c r="AL63" s="236"/>
      <c r="AO63" s="236"/>
      <c r="AP63" s="236"/>
    </row>
    <row r="64" spans="1:42" x14ac:dyDescent="0.25">
      <c r="A64" s="537" t="s">
        <v>350</v>
      </c>
      <c r="B64" s="1">
        <v>42578</v>
      </c>
      <c r="C64" s="7">
        <v>200</v>
      </c>
      <c r="D64" s="79">
        <v>14.05</v>
      </c>
      <c r="E64" s="44">
        <v>0</v>
      </c>
      <c r="F64" s="44">
        <f t="shared" si="7"/>
        <v>2810</v>
      </c>
      <c r="H64" s="185"/>
      <c r="I64" s="243"/>
      <c r="J64" s="3"/>
      <c r="K64" s="3"/>
      <c r="W64" s="123">
        <v>42499</v>
      </c>
      <c r="X64" s="41">
        <v>15.16</v>
      </c>
      <c r="Y64" s="41">
        <v>15.26</v>
      </c>
      <c r="Z64" s="41">
        <v>14.85</v>
      </c>
      <c r="AA64" s="41">
        <v>14.91</v>
      </c>
      <c r="AB64" s="104">
        <v>5050500</v>
      </c>
      <c r="AC64" s="9">
        <v>14.91</v>
      </c>
      <c r="AD64" s="2">
        <f t="shared" si="1"/>
        <v>0.41000000000000014</v>
      </c>
      <c r="AE64" s="138">
        <f t="shared" si="2"/>
        <v>-2.4214659685863782E-2</v>
      </c>
    </row>
    <row r="65" spans="1:41" x14ac:dyDescent="0.25">
      <c r="A65" s="537"/>
      <c r="B65" s="1">
        <v>42580</v>
      </c>
      <c r="C65" s="7">
        <v>500</v>
      </c>
      <c r="D65" s="79">
        <v>13.55</v>
      </c>
      <c r="E65" s="44">
        <v>0</v>
      </c>
      <c r="F65" s="44">
        <f t="shared" si="7"/>
        <v>6775</v>
      </c>
      <c r="W65" s="123">
        <v>42496</v>
      </c>
      <c r="X65" s="41">
        <v>14.87</v>
      </c>
      <c r="Y65" s="41">
        <v>15.28</v>
      </c>
      <c r="Z65" s="41">
        <v>14.85</v>
      </c>
      <c r="AA65" s="41">
        <v>15.28</v>
      </c>
      <c r="AB65" s="104">
        <v>2791200</v>
      </c>
      <c r="AC65" s="9">
        <v>15.28</v>
      </c>
      <c r="AD65" s="2">
        <f t="shared" si="1"/>
        <v>0.42999999999999972</v>
      </c>
      <c r="AE65" s="138">
        <f t="shared" si="2"/>
        <v>1.8666666666666609E-2</v>
      </c>
      <c r="AL65" s="236"/>
      <c r="AO65" s="236"/>
    </row>
    <row r="66" spans="1:41" x14ac:dyDescent="0.25">
      <c r="A66" s="537"/>
      <c r="B66" s="1">
        <v>42580</v>
      </c>
      <c r="C66" s="7">
        <v>300</v>
      </c>
      <c r="D66" s="79">
        <v>13.28</v>
      </c>
      <c r="E66" s="44">
        <v>0</v>
      </c>
      <c r="F66" s="44">
        <f t="shared" si="7"/>
        <v>3984</v>
      </c>
      <c r="W66" s="123">
        <v>42495</v>
      </c>
      <c r="X66" s="41">
        <v>15.19</v>
      </c>
      <c r="Y66" s="41">
        <v>15.45</v>
      </c>
      <c r="Z66" s="41">
        <v>14.9</v>
      </c>
      <c r="AA66" s="41">
        <v>15</v>
      </c>
      <c r="AB66" s="104">
        <v>2475900</v>
      </c>
      <c r="AC66" s="9">
        <v>15</v>
      </c>
      <c r="AD66" s="2">
        <f t="shared" si="1"/>
        <v>0.54999999999999893</v>
      </c>
      <c r="AE66" s="138">
        <f t="shared" si="2"/>
        <v>-1.3315579227696217E-3</v>
      </c>
    </row>
    <row r="67" spans="1:41" x14ac:dyDescent="0.25">
      <c r="B67" s="1">
        <v>42586</v>
      </c>
      <c r="C67" s="4">
        <v>500</v>
      </c>
      <c r="D67" s="243">
        <v>13.1</v>
      </c>
      <c r="E67" s="3">
        <v>0</v>
      </c>
      <c r="F67" s="3">
        <f t="shared" si="7"/>
        <v>6550</v>
      </c>
      <c r="W67" s="123">
        <v>42494</v>
      </c>
      <c r="X67" s="41">
        <v>14.93</v>
      </c>
      <c r="Y67" s="41">
        <v>15.19</v>
      </c>
      <c r="Z67" s="41">
        <v>14.89</v>
      </c>
      <c r="AA67" s="41">
        <v>15.02</v>
      </c>
      <c r="AB67" s="104">
        <v>2746700</v>
      </c>
      <c r="AC67" s="9">
        <v>15.02</v>
      </c>
      <c r="AD67" s="2">
        <f>Y67-Z67</f>
        <v>0.29999999999999893</v>
      </c>
      <c r="AE67" s="138" t="e">
        <f>AC67/AC68-1</f>
        <v>#DIV/0!</v>
      </c>
      <c r="AL67" s="236"/>
    </row>
    <row r="68" spans="1:41" x14ac:dyDescent="0.25">
      <c r="B68" s="1">
        <v>42590</v>
      </c>
      <c r="C68" s="4">
        <v>500</v>
      </c>
      <c r="D68" s="243">
        <v>13.05</v>
      </c>
      <c r="E68" s="3">
        <v>0</v>
      </c>
      <c r="F68" s="3">
        <f t="shared" si="7"/>
        <v>6525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O69" s="2"/>
    </row>
    <row r="77" spans="1:41" ht="15" customHeight="1" x14ac:dyDescent="0.25"/>
    <row r="79" spans="1:41" x14ac:dyDescent="0.25">
      <c r="C79" s="4"/>
      <c r="D79" s="243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29505</v>
      </c>
      <c r="D80" s="81"/>
      <c r="E80" s="14"/>
      <c r="F80" s="18">
        <f>SUM(F2:F79)</f>
        <v>441258.52000000008</v>
      </c>
      <c r="G80" s="14"/>
      <c r="H80" s="14">
        <f>SUM(H2:H79)</f>
        <v>26505</v>
      </c>
      <c r="I80" s="81"/>
      <c r="J80" s="14"/>
      <c r="K80" s="18">
        <f>SUM(K2:K79)</f>
        <v>377478.32000000007</v>
      </c>
      <c r="L80" s="14"/>
      <c r="M80" s="14"/>
    </row>
    <row r="81" spans="1:13" ht="15.75" thickBot="1" x14ac:dyDescent="0.3">
      <c r="A81" s="363" t="s">
        <v>206</v>
      </c>
      <c r="B81" s="364"/>
      <c r="C81" s="365">
        <f>SumByColor($A$81,C2:C79)</f>
        <v>23405</v>
      </c>
      <c r="D81" s="365"/>
      <c r="E81" s="365"/>
      <c r="F81" s="366">
        <f>SumByColor($A$81,F2:F79)</f>
        <v>337471</v>
      </c>
      <c r="G81" s="365"/>
      <c r="H81" s="365">
        <f>SumByColor($A$81,H2:H79)</f>
        <v>23405</v>
      </c>
      <c r="I81" s="365"/>
      <c r="J81" s="365"/>
      <c r="K81" s="366">
        <f>SumByColor($A$81,K2:K79)</f>
        <v>337892</v>
      </c>
      <c r="L81" s="365"/>
      <c r="M81" s="366">
        <f>SumByColor($A$81,M2:M79)</f>
        <v>0</v>
      </c>
    </row>
    <row r="83" spans="1:13" ht="15" customHeight="1" x14ac:dyDescent="0.25"/>
    <row r="85" spans="1:13" x14ac:dyDescent="0.25">
      <c r="B85" s="193" t="s">
        <v>114</v>
      </c>
      <c r="C85" s="193" t="s">
        <v>150</v>
      </c>
      <c r="D85" s="201" t="s">
        <v>149</v>
      </c>
      <c r="E85" s="197" t="s">
        <v>151</v>
      </c>
      <c r="F85" s="197" t="s">
        <v>65</v>
      </c>
      <c r="G85" s="231" t="s">
        <v>155</v>
      </c>
      <c r="H85" s="197" t="s">
        <v>88</v>
      </c>
      <c r="I85" s="244" t="s">
        <v>155</v>
      </c>
    </row>
    <row r="86" spans="1:13" ht="15" customHeight="1" x14ac:dyDescent="0.25">
      <c r="B86" s="195">
        <v>42304</v>
      </c>
      <c r="C86" s="10">
        <v>5530</v>
      </c>
      <c r="D86" s="202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4">
        <f>IF(C86=0, D86, (E86-D86)/D86)</f>
        <v>-0.16082711085583001</v>
      </c>
      <c r="I86" s="202"/>
    </row>
    <row r="87" spans="1:13" x14ac:dyDescent="0.25">
      <c r="B87" s="195">
        <v>42306</v>
      </c>
      <c r="C87" s="10">
        <v>5530</v>
      </c>
      <c r="D87" s="202">
        <v>17.41</v>
      </c>
      <c r="E87" s="40">
        <v>14.94</v>
      </c>
      <c r="F87" s="40">
        <f t="shared" ref="F87:F128" si="10">C87*(E87-D87)</f>
        <v>-13659.100000000004</v>
      </c>
      <c r="G87" s="40">
        <f t="shared" ref="G87:G128" si="11">IF(C87=0, 0,D87*C87)</f>
        <v>96277.3</v>
      </c>
      <c r="H87" s="234">
        <f t="shared" ref="H87:H128" si="12">IF(C87=0, D87, (E87-D87)/D87)</f>
        <v>-0.14187248707639291</v>
      </c>
      <c r="I87" s="202"/>
    </row>
    <row r="88" spans="1:13" x14ac:dyDescent="0.25">
      <c r="B88" s="195">
        <v>42307</v>
      </c>
      <c r="C88" s="10">
        <v>5730</v>
      </c>
      <c r="D88" s="202">
        <v>17.329999999999998</v>
      </c>
      <c r="E88" s="40">
        <v>15.51</v>
      </c>
      <c r="F88" s="40">
        <f t="shared" si="10"/>
        <v>-10428.599999999991</v>
      </c>
      <c r="G88" s="40">
        <f t="shared" si="11"/>
        <v>99300.9</v>
      </c>
      <c r="H88" s="234">
        <f t="shared" si="12"/>
        <v>-0.10502019619157522</v>
      </c>
      <c r="I88" s="202"/>
    </row>
    <row r="89" spans="1:13" ht="15" customHeight="1" x14ac:dyDescent="0.25">
      <c r="B89" s="195">
        <v>42313</v>
      </c>
      <c r="C89" s="10">
        <v>6000</v>
      </c>
      <c r="D89" s="202">
        <v>17.22</v>
      </c>
      <c r="E89" s="40">
        <v>14.88</v>
      </c>
      <c r="F89" s="40">
        <f t="shared" si="10"/>
        <v>-14039.999999999989</v>
      </c>
      <c r="G89" s="40">
        <f t="shared" si="11"/>
        <v>103320</v>
      </c>
      <c r="H89" s="234">
        <f t="shared" si="12"/>
        <v>-0.13588850174216019</v>
      </c>
      <c r="I89" s="202"/>
    </row>
    <row r="90" spans="1:13" x14ac:dyDescent="0.25">
      <c r="B90" s="195">
        <v>42314</v>
      </c>
      <c r="C90" s="10">
        <v>7006</v>
      </c>
      <c r="D90" s="202">
        <v>16.829999999999998</v>
      </c>
      <c r="E90" s="40">
        <v>14.42</v>
      </c>
      <c r="F90" s="40">
        <f t="shared" si="10"/>
        <v>-16884.459999999988</v>
      </c>
      <c r="G90" s="40">
        <f t="shared" si="11"/>
        <v>117910.97999999998</v>
      </c>
      <c r="H90" s="234">
        <f t="shared" si="12"/>
        <v>-0.14319667260843724</v>
      </c>
      <c r="I90" s="202"/>
    </row>
    <row r="91" spans="1:13" x14ac:dyDescent="0.25">
      <c r="B91" s="195">
        <v>42324</v>
      </c>
      <c r="C91" s="10">
        <v>6000</v>
      </c>
      <c r="D91" s="202">
        <v>17.18</v>
      </c>
      <c r="E91" s="40">
        <v>14.92</v>
      </c>
      <c r="F91" s="40">
        <f t="shared" si="10"/>
        <v>-13559.999999999998</v>
      </c>
      <c r="G91" s="40">
        <f t="shared" si="11"/>
        <v>103080</v>
      </c>
      <c r="H91" s="234">
        <f t="shared" si="12"/>
        <v>-0.13154831199068684</v>
      </c>
      <c r="I91" s="202"/>
    </row>
    <row r="92" spans="1:13" ht="15" customHeight="1" x14ac:dyDescent="0.25">
      <c r="B92" s="195">
        <v>42325</v>
      </c>
      <c r="C92" s="10">
        <v>7000</v>
      </c>
      <c r="D92" s="202">
        <v>16.79</v>
      </c>
      <c r="E92" s="40">
        <v>14.38</v>
      </c>
      <c r="F92" s="40">
        <f t="shared" si="10"/>
        <v>-16869.999999999989</v>
      </c>
      <c r="G92" s="40">
        <f t="shared" si="11"/>
        <v>117530</v>
      </c>
      <c r="H92" s="234">
        <f t="shared" si="12"/>
        <v>-0.14353782013103028</v>
      </c>
      <c r="I92" s="202"/>
    </row>
    <row r="93" spans="1:13" x14ac:dyDescent="0.25">
      <c r="B93" s="195">
        <v>42326</v>
      </c>
      <c r="C93" s="10">
        <v>6000</v>
      </c>
      <c r="D93" s="202">
        <v>17.16</v>
      </c>
      <c r="E93" s="40">
        <v>14.65</v>
      </c>
      <c r="F93" s="40">
        <f t="shared" si="10"/>
        <v>-15059.999999999998</v>
      </c>
      <c r="G93" s="40">
        <f t="shared" si="11"/>
        <v>102960</v>
      </c>
      <c r="H93" s="234">
        <f t="shared" si="12"/>
        <v>-0.14627039627039626</v>
      </c>
      <c r="I93" s="202"/>
    </row>
    <row r="94" spans="1:13" x14ac:dyDescent="0.25">
      <c r="B94" s="195">
        <v>42335</v>
      </c>
      <c r="C94" s="10">
        <v>6100</v>
      </c>
      <c r="D94" s="202">
        <v>17.11</v>
      </c>
      <c r="E94" s="40">
        <v>14.47</v>
      </c>
      <c r="F94" s="40">
        <f t="shared" si="10"/>
        <v>-16103.999999999993</v>
      </c>
      <c r="G94" s="40">
        <f t="shared" si="11"/>
        <v>104371</v>
      </c>
      <c r="H94" s="234">
        <f t="shared" si="12"/>
        <v>-0.15429573348918754</v>
      </c>
      <c r="I94" s="202"/>
    </row>
    <row r="95" spans="1:13" x14ac:dyDescent="0.25">
      <c r="B95" s="195">
        <v>42335</v>
      </c>
      <c r="C95" s="10">
        <v>7000</v>
      </c>
      <c r="D95" s="202">
        <v>16.77</v>
      </c>
      <c r="E95" s="40">
        <v>14.47</v>
      </c>
      <c r="F95" s="40">
        <f t="shared" si="10"/>
        <v>-16099.999999999993</v>
      </c>
      <c r="G95" s="40">
        <f t="shared" si="11"/>
        <v>117390</v>
      </c>
      <c r="H95" s="234">
        <f t="shared" si="12"/>
        <v>-0.1371496720333929</v>
      </c>
      <c r="I95" s="202"/>
    </row>
    <row r="96" spans="1:13" x14ac:dyDescent="0.25">
      <c r="B96" s="195">
        <v>42338</v>
      </c>
      <c r="C96" s="10">
        <v>6000</v>
      </c>
      <c r="D96" s="202">
        <v>17.100000000000001</v>
      </c>
      <c r="E96" s="40">
        <v>14.78</v>
      </c>
      <c r="F96" s="40">
        <f t="shared" si="10"/>
        <v>-13920.000000000013</v>
      </c>
      <c r="G96" s="40">
        <f t="shared" si="11"/>
        <v>102600.00000000001</v>
      </c>
      <c r="H96" s="234">
        <f t="shared" si="12"/>
        <v>-0.13567251461988314</v>
      </c>
      <c r="I96" s="202"/>
    </row>
    <row r="97" spans="2:9" x14ac:dyDescent="0.25">
      <c r="B97" s="195">
        <v>42338</v>
      </c>
      <c r="C97" s="10">
        <v>5900</v>
      </c>
      <c r="D97" s="202">
        <v>17.14</v>
      </c>
      <c r="E97" s="40">
        <v>14.78</v>
      </c>
      <c r="F97" s="40">
        <f t="shared" si="10"/>
        <v>-13924.000000000007</v>
      </c>
      <c r="G97" s="40">
        <f t="shared" si="11"/>
        <v>101126</v>
      </c>
      <c r="H97" s="234">
        <f t="shared" si="12"/>
        <v>-0.13768961493582271</v>
      </c>
      <c r="I97" s="202"/>
    </row>
    <row r="98" spans="2:9" x14ac:dyDescent="0.25">
      <c r="B98" s="195">
        <v>42340</v>
      </c>
      <c r="C98" s="10">
        <v>7000</v>
      </c>
      <c r="D98" s="202">
        <v>16.670000000000002</v>
      </c>
      <c r="E98" s="40">
        <v>13.9</v>
      </c>
      <c r="F98" s="40">
        <f t="shared" si="10"/>
        <v>-19390.000000000011</v>
      </c>
      <c r="G98" s="40">
        <f t="shared" si="11"/>
        <v>116690.00000000001</v>
      </c>
      <c r="H98" s="234">
        <f t="shared" si="12"/>
        <v>-0.16616676664667074</v>
      </c>
      <c r="I98" s="202"/>
    </row>
    <row r="99" spans="2:9" x14ac:dyDescent="0.25">
      <c r="B99" s="195">
        <v>42340</v>
      </c>
      <c r="C99" s="10">
        <v>7500</v>
      </c>
      <c r="D99" s="202">
        <v>16.510000000000002</v>
      </c>
      <c r="E99" s="40">
        <v>13.9</v>
      </c>
      <c r="F99" s="40">
        <f t="shared" si="10"/>
        <v>-19575.000000000007</v>
      </c>
      <c r="G99" s="40">
        <f t="shared" si="11"/>
        <v>123825.00000000001</v>
      </c>
      <c r="H99" s="234">
        <f t="shared" si="12"/>
        <v>-0.15808600847970933</v>
      </c>
      <c r="I99" s="202"/>
    </row>
    <row r="100" spans="2:9" x14ac:dyDescent="0.25">
      <c r="B100" s="195">
        <v>42344</v>
      </c>
      <c r="C100" s="10">
        <v>7500</v>
      </c>
      <c r="D100" s="202">
        <v>16.510000000000002</v>
      </c>
      <c r="E100" s="40">
        <v>13.15</v>
      </c>
      <c r="F100" s="40">
        <f t="shared" si="10"/>
        <v>-25200.000000000007</v>
      </c>
      <c r="G100" s="40">
        <f t="shared" si="11"/>
        <v>123825.00000000001</v>
      </c>
      <c r="H100" s="234">
        <f t="shared" si="12"/>
        <v>-0.20351302241066027</v>
      </c>
      <c r="I100" s="202"/>
    </row>
    <row r="101" spans="2:9" x14ac:dyDescent="0.25">
      <c r="B101" s="195">
        <v>42349</v>
      </c>
      <c r="C101" s="10">
        <v>8000</v>
      </c>
      <c r="D101" s="202">
        <v>16.260000000000002</v>
      </c>
      <c r="E101" s="40">
        <v>12.47</v>
      </c>
      <c r="F101" s="40">
        <f t="shared" si="10"/>
        <v>-30320.000000000007</v>
      </c>
      <c r="G101" s="40">
        <f t="shared" si="11"/>
        <v>130080.00000000001</v>
      </c>
      <c r="H101" s="234">
        <f t="shared" si="12"/>
        <v>-0.23308733087330877</v>
      </c>
      <c r="I101" s="202"/>
    </row>
    <row r="102" spans="2:9" x14ac:dyDescent="0.25">
      <c r="B102" s="195">
        <v>42356</v>
      </c>
      <c r="C102" s="10">
        <v>7500</v>
      </c>
      <c r="D102" s="202">
        <v>16.510000000000002</v>
      </c>
      <c r="E102" s="40">
        <v>12.6</v>
      </c>
      <c r="F102" s="40">
        <f t="shared" si="10"/>
        <v>-29325.000000000015</v>
      </c>
      <c r="G102" s="40">
        <f t="shared" si="11"/>
        <v>123825.00000000001</v>
      </c>
      <c r="H102" s="234">
        <f t="shared" si="12"/>
        <v>-0.23682616596002432</v>
      </c>
      <c r="I102" s="202"/>
    </row>
    <row r="103" spans="2:9" x14ac:dyDescent="0.25">
      <c r="B103" s="195">
        <v>42356</v>
      </c>
      <c r="C103" s="286">
        <v>4500</v>
      </c>
      <c r="D103" s="287">
        <v>19.079999999999998</v>
      </c>
      <c r="E103" s="40">
        <v>12.88</v>
      </c>
      <c r="F103" s="40">
        <f t="shared" si="10"/>
        <v>-27899.999999999989</v>
      </c>
      <c r="G103" s="40">
        <f t="shared" si="11"/>
        <v>85859.999999999985</v>
      </c>
      <c r="H103" s="234">
        <f t="shared" si="12"/>
        <v>-0.32494758909853239</v>
      </c>
      <c r="I103" s="202"/>
    </row>
    <row r="104" spans="2:9" x14ac:dyDescent="0.25">
      <c r="B104" s="195">
        <v>42397</v>
      </c>
      <c r="C104" s="434">
        <v>2000</v>
      </c>
      <c r="D104" s="214">
        <v>26.06</v>
      </c>
      <c r="E104" s="40">
        <v>15.27</v>
      </c>
      <c r="F104" s="40">
        <f t="shared" si="10"/>
        <v>-21580</v>
      </c>
      <c r="G104" s="40">
        <f t="shared" si="11"/>
        <v>52120</v>
      </c>
      <c r="H104" s="234">
        <f t="shared" si="12"/>
        <v>-0.41404451266308517</v>
      </c>
      <c r="I104" s="202"/>
    </row>
    <row r="105" spans="2:9" x14ac:dyDescent="0.25">
      <c r="B105" s="195">
        <v>42398</v>
      </c>
      <c r="C105" s="286">
        <v>1800</v>
      </c>
      <c r="D105" s="287">
        <v>27.26</v>
      </c>
      <c r="E105" s="40">
        <v>15.27</v>
      </c>
      <c r="F105" s="40">
        <f t="shared" si="10"/>
        <v>-21582.000000000004</v>
      </c>
      <c r="G105" s="40">
        <f t="shared" si="11"/>
        <v>49068</v>
      </c>
      <c r="H105" s="234">
        <f t="shared" si="12"/>
        <v>-0.43983859134262659</v>
      </c>
      <c r="I105" s="202"/>
    </row>
    <row r="106" spans="2:9" x14ac:dyDescent="0.25">
      <c r="B106" s="195">
        <v>42402</v>
      </c>
      <c r="C106" s="286">
        <v>2000</v>
      </c>
      <c r="D106" s="287">
        <v>26</v>
      </c>
      <c r="E106" s="40">
        <v>15.18</v>
      </c>
      <c r="F106" s="40">
        <f t="shared" si="10"/>
        <v>-21640</v>
      </c>
      <c r="G106" s="40">
        <f t="shared" si="11"/>
        <v>52000</v>
      </c>
      <c r="H106" s="234">
        <f t="shared" si="12"/>
        <v>-0.41615384615384615</v>
      </c>
      <c r="I106" s="202"/>
    </row>
    <row r="107" spans="2:9" x14ac:dyDescent="0.25">
      <c r="B107" s="195">
        <v>42412</v>
      </c>
      <c r="C107" s="286">
        <v>2200</v>
      </c>
      <c r="D107" s="287">
        <v>24.75</v>
      </c>
      <c r="E107" s="40">
        <v>12.35</v>
      </c>
      <c r="F107" s="40">
        <f t="shared" si="10"/>
        <v>-27280</v>
      </c>
      <c r="G107" s="40">
        <f t="shared" si="11"/>
        <v>54450</v>
      </c>
      <c r="H107" s="234">
        <f t="shared" si="12"/>
        <v>-0.50101010101010102</v>
      </c>
      <c r="I107" s="202"/>
    </row>
    <row r="108" spans="2:9" x14ac:dyDescent="0.25">
      <c r="B108" s="195">
        <v>42416</v>
      </c>
      <c r="C108" s="286">
        <v>2000</v>
      </c>
      <c r="D108" s="287">
        <v>25.96</v>
      </c>
      <c r="E108" s="40">
        <v>12.35</v>
      </c>
      <c r="F108" s="40">
        <f t="shared" si="10"/>
        <v>-27220.000000000004</v>
      </c>
      <c r="G108" s="40">
        <f t="shared" si="11"/>
        <v>51920</v>
      </c>
      <c r="H108" s="234">
        <f t="shared" si="12"/>
        <v>-0.52426810477657937</v>
      </c>
      <c r="I108" s="202"/>
    </row>
    <row r="109" spans="2:9" x14ac:dyDescent="0.25">
      <c r="B109" s="195">
        <v>42416</v>
      </c>
      <c r="C109" s="286">
        <v>1750</v>
      </c>
      <c r="D109" s="287">
        <v>27.81</v>
      </c>
      <c r="E109" s="40">
        <v>12.89</v>
      </c>
      <c r="F109" s="40">
        <f t="shared" si="10"/>
        <v>-26109.999999999996</v>
      </c>
      <c r="G109" s="40">
        <f t="shared" si="11"/>
        <v>48667.5</v>
      </c>
      <c r="H109" s="234">
        <f t="shared" si="12"/>
        <v>-0.53649766271125487</v>
      </c>
      <c r="I109" s="202"/>
    </row>
    <row r="110" spans="2:9" x14ac:dyDescent="0.25">
      <c r="B110" s="195">
        <v>42416</v>
      </c>
      <c r="C110" s="286">
        <v>2000</v>
      </c>
      <c r="D110" s="287">
        <v>25.948</v>
      </c>
      <c r="E110" s="40">
        <v>12.94</v>
      </c>
      <c r="F110" s="40">
        <f t="shared" si="10"/>
        <v>-26016</v>
      </c>
      <c r="G110" s="40">
        <f t="shared" si="11"/>
        <v>51896</v>
      </c>
      <c r="H110" s="234">
        <f t="shared" si="12"/>
        <v>-0.50131031293355943</v>
      </c>
      <c r="I110" s="202"/>
    </row>
    <row r="111" spans="2:9" x14ac:dyDescent="0.25">
      <c r="B111" s="195">
        <v>42426</v>
      </c>
      <c r="C111" s="286">
        <v>2000</v>
      </c>
      <c r="D111" s="287">
        <v>25.914999999999999</v>
      </c>
      <c r="E111" s="40">
        <v>12.37</v>
      </c>
      <c r="F111" s="40">
        <f t="shared" si="10"/>
        <v>-27090</v>
      </c>
      <c r="G111" s="40">
        <f t="shared" si="11"/>
        <v>51830</v>
      </c>
      <c r="H111" s="234">
        <f t="shared" si="12"/>
        <v>-0.52267026818444917</v>
      </c>
      <c r="I111" s="202"/>
    </row>
    <row r="112" spans="2:9" x14ac:dyDescent="0.25">
      <c r="B112" s="195">
        <v>42430</v>
      </c>
      <c r="C112" s="434">
        <v>2000</v>
      </c>
      <c r="D112" s="214">
        <v>25.914999999999999</v>
      </c>
      <c r="E112" s="40">
        <v>12.82</v>
      </c>
      <c r="F112" s="40">
        <f t="shared" si="10"/>
        <v>-26189.999999999996</v>
      </c>
      <c r="G112" s="40">
        <f t="shared" si="11"/>
        <v>51830</v>
      </c>
      <c r="H112" s="234">
        <f t="shared" si="12"/>
        <v>-0.50530580744742426</v>
      </c>
      <c r="I112" s="478">
        <v>25.5</v>
      </c>
    </row>
    <row r="113" spans="2:9" x14ac:dyDescent="0.25">
      <c r="B113" s="195">
        <v>42431</v>
      </c>
      <c r="C113" s="286">
        <v>1500</v>
      </c>
      <c r="D113" s="287">
        <v>30.137</v>
      </c>
      <c r="E113" s="40">
        <v>13.3</v>
      </c>
      <c r="F113" s="40">
        <f t="shared" si="10"/>
        <v>-25255.5</v>
      </c>
      <c r="G113" s="40">
        <f t="shared" si="11"/>
        <v>45205.5</v>
      </c>
      <c r="H113" s="234">
        <f t="shared" si="12"/>
        <v>-0.55868201878090051</v>
      </c>
      <c r="I113" s="202"/>
    </row>
    <row r="114" spans="2:9" x14ac:dyDescent="0.25">
      <c r="B114" s="195">
        <v>42444</v>
      </c>
      <c r="C114" s="286">
        <v>1500</v>
      </c>
      <c r="D114" s="287">
        <v>30.137</v>
      </c>
      <c r="E114" s="40">
        <v>14.28</v>
      </c>
      <c r="F114" s="40">
        <f t="shared" si="10"/>
        <v>-23785.5</v>
      </c>
      <c r="G114" s="40">
        <f t="shared" si="11"/>
        <v>45205.5</v>
      </c>
      <c r="H114" s="234">
        <f t="shared" si="12"/>
        <v>-0.52616385174370384</v>
      </c>
      <c r="I114" s="202"/>
    </row>
    <row r="115" spans="2:9" x14ac:dyDescent="0.25">
      <c r="B115" s="195">
        <v>42447</v>
      </c>
      <c r="C115" s="286">
        <v>1500</v>
      </c>
      <c r="D115" s="287">
        <v>30.137</v>
      </c>
      <c r="E115" s="40">
        <v>14.98</v>
      </c>
      <c r="F115" s="40">
        <f t="shared" si="10"/>
        <v>-22735.5</v>
      </c>
      <c r="G115" s="40">
        <f t="shared" si="11"/>
        <v>45205.5</v>
      </c>
      <c r="H115" s="234">
        <f t="shared" si="12"/>
        <v>-0.50293658957427745</v>
      </c>
      <c r="I115" s="202"/>
    </row>
    <row r="116" spans="2:9" x14ac:dyDescent="0.25">
      <c r="B116" s="195">
        <v>42480</v>
      </c>
      <c r="C116" s="286">
        <v>1500</v>
      </c>
      <c r="D116" s="287">
        <v>30.07</v>
      </c>
      <c r="E116" s="40">
        <v>15.44</v>
      </c>
      <c r="F116" s="40">
        <f t="shared" si="10"/>
        <v>-21945</v>
      </c>
      <c r="G116" s="40">
        <f t="shared" si="11"/>
        <v>45105</v>
      </c>
      <c r="H116" s="234">
        <f t="shared" si="12"/>
        <v>-0.48653142667110078</v>
      </c>
      <c r="I116" s="202"/>
    </row>
    <row r="117" spans="2:9" x14ac:dyDescent="0.25">
      <c r="B117" s="195">
        <v>42488</v>
      </c>
      <c r="C117" s="286">
        <v>1500</v>
      </c>
      <c r="D117" s="287">
        <v>30.030999999999999</v>
      </c>
      <c r="E117" s="40">
        <v>15.55</v>
      </c>
      <c r="F117" s="40">
        <f t="shared" si="10"/>
        <v>-21721.499999999996</v>
      </c>
      <c r="G117" s="40">
        <f t="shared" si="11"/>
        <v>45046.5</v>
      </c>
      <c r="H117" s="234">
        <f t="shared" si="12"/>
        <v>-0.4822017248842862</v>
      </c>
      <c r="I117" s="202"/>
    </row>
    <row r="118" spans="2:9" x14ac:dyDescent="0.25">
      <c r="B118" s="195">
        <v>42494</v>
      </c>
      <c r="C118" s="286">
        <v>1500</v>
      </c>
      <c r="D118" s="287">
        <v>30.030999999999999</v>
      </c>
      <c r="E118" s="40">
        <v>15.02</v>
      </c>
      <c r="F118" s="40">
        <f t="shared" si="10"/>
        <v>-22516.5</v>
      </c>
      <c r="G118" s="40">
        <f t="shared" si="11"/>
        <v>45046.5</v>
      </c>
      <c r="H118" s="234">
        <f t="shared" si="12"/>
        <v>-0.49985015483999867</v>
      </c>
      <c r="I118" s="202"/>
    </row>
    <row r="119" spans="2:9" x14ac:dyDescent="0.25">
      <c r="B119" s="195">
        <v>42517</v>
      </c>
      <c r="C119" s="286">
        <v>1500</v>
      </c>
      <c r="D119" s="287">
        <v>30.024000000000001</v>
      </c>
      <c r="E119" s="40">
        <v>14.74</v>
      </c>
      <c r="F119" s="40">
        <f t="shared" si="10"/>
        <v>-22926</v>
      </c>
      <c r="G119" s="40">
        <f t="shared" si="11"/>
        <v>45036</v>
      </c>
      <c r="H119" s="234">
        <f t="shared" si="12"/>
        <v>-0.50905941913136155</v>
      </c>
      <c r="I119" s="202"/>
    </row>
    <row r="120" spans="2:9" x14ac:dyDescent="0.25">
      <c r="B120" s="195">
        <v>42522</v>
      </c>
      <c r="C120" s="286">
        <v>1500</v>
      </c>
      <c r="D120" s="287">
        <v>30.024000000000001</v>
      </c>
      <c r="E120" s="40">
        <v>15.08</v>
      </c>
      <c r="F120" s="40">
        <f t="shared" si="10"/>
        <v>-22416</v>
      </c>
      <c r="G120" s="40">
        <f t="shared" si="11"/>
        <v>45036</v>
      </c>
      <c r="H120" s="234">
        <f t="shared" si="12"/>
        <v>-0.49773514521715961</v>
      </c>
      <c r="I120" s="202"/>
    </row>
    <row r="121" spans="2:9" x14ac:dyDescent="0.25">
      <c r="B121" s="195">
        <v>42530</v>
      </c>
      <c r="C121" s="458">
        <v>1520</v>
      </c>
      <c r="D121" s="460">
        <v>29.5</v>
      </c>
      <c r="E121" s="40">
        <v>15.6</v>
      </c>
      <c r="F121" s="40">
        <f t="shared" si="10"/>
        <v>-21128</v>
      </c>
      <c r="G121" s="40">
        <f t="shared" si="11"/>
        <v>44840</v>
      </c>
      <c r="H121" s="234">
        <f t="shared" si="12"/>
        <v>-0.47118644067796611</v>
      </c>
      <c r="I121" s="202"/>
    </row>
    <row r="122" spans="2:9" x14ac:dyDescent="0.25">
      <c r="B122" s="195">
        <v>42534</v>
      </c>
      <c r="C122" s="286">
        <v>1520</v>
      </c>
      <c r="D122" s="287">
        <v>29.5</v>
      </c>
      <c r="E122" s="40">
        <v>14.25</v>
      </c>
      <c r="F122" s="40">
        <f t="shared" si="10"/>
        <v>-23180</v>
      </c>
      <c r="G122" s="40">
        <f t="shared" si="11"/>
        <v>44840</v>
      </c>
      <c r="H122" s="234">
        <f t="shared" si="12"/>
        <v>-0.51694915254237284</v>
      </c>
      <c r="I122" s="202"/>
    </row>
    <row r="123" spans="2:9" x14ac:dyDescent="0.25">
      <c r="B123" s="195">
        <v>42535</v>
      </c>
      <c r="C123" s="286">
        <v>2000</v>
      </c>
      <c r="D123" s="287">
        <v>25.768000000000001</v>
      </c>
      <c r="E123" s="40">
        <v>13.88</v>
      </c>
      <c r="F123" s="40">
        <f t="shared" si="10"/>
        <v>-23776</v>
      </c>
      <c r="G123" s="40">
        <f t="shared" si="11"/>
        <v>51536</v>
      </c>
      <c r="H123" s="234">
        <f t="shared" si="12"/>
        <v>-0.46134740763737969</v>
      </c>
      <c r="I123" s="202"/>
    </row>
    <row r="124" spans="2:9" x14ac:dyDescent="0.25">
      <c r="B124" s="195">
        <v>42538</v>
      </c>
      <c r="C124" s="286">
        <v>1520</v>
      </c>
      <c r="D124" s="287">
        <v>29.428000000000001</v>
      </c>
      <c r="E124" s="40">
        <v>14.24</v>
      </c>
      <c r="F124" s="40">
        <f t="shared" si="10"/>
        <v>-23085.760000000002</v>
      </c>
      <c r="G124" s="40">
        <f t="shared" si="11"/>
        <v>44730.559999999998</v>
      </c>
      <c r="H124" s="234">
        <f t="shared" si="12"/>
        <v>-0.5161071088759005</v>
      </c>
      <c r="I124" s="202"/>
    </row>
    <row r="125" spans="2:9" x14ac:dyDescent="0.25">
      <c r="B125" s="195">
        <v>42543</v>
      </c>
      <c r="C125" s="286">
        <v>2000</v>
      </c>
      <c r="D125" s="287">
        <v>25.696000000000002</v>
      </c>
      <c r="E125" s="40">
        <v>13.79</v>
      </c>
      <c r="F125" s="40">
        <f t="shared" si="10"/>
        <v>-23812.000000000004</v>
      </c>
      <c r="G125" s="40">
        <f t="shared" si="11"/>
        <v>51392</v>
      </c>
      <c r="H125" s="234">
        <f t="shared" si="12"/>
        <v>-0.46334059775840603</v>
      </c>
      <c r="I125" s="202"/>
    </row>
    <row r="126" spans="2:9" x14ac:dyDescent="0.25">
      <c r="B126" s="195">
        <v>42544</v>
      </c>
      <c r="C126" s="458">
        <v>1520</v>
      </c>
      <c r="D126" s="460">
        <v>29.338999999999999</v>
      </c>
      <c r="E126" s="40">
        <v>14.18</v>
      </c>
      <c r="F126" s="40">
        <f t="shared" si="10"/>
        <v>-23041.679999999997</v>
      </c>
      <c r="G126" s="40">
        <f t="shared" si="11"/>
        <v>44595.28</v>
      </c>
      <c r="H126" s="234">
        <f t="shared" si="12"/>
        <v>-0.51668427690105323</v>
      </c>
      <c r="I126" s="202"/>
    </row>
    <row r="127" spans="2:9" x14ac:dyDescent="0.25">
      <c r="B127" s="195">
        <v>42545</v>
      </c>
      <c r="C127" s="286">
        <v>2000</v>
      </c>
      <c r="D127" s="287">
        <v>25.574000000000002</v>
      </c>
      <c r="E127" s="40">
        <v>13.65</v>
      </c>
      <c r="F127" s="40">
        <f t="shared" si="10"/>
        <v>-23848.000000000004</v>
      </c>
      <c r="G127" s="40">
        <f t="shared" si="11"/>
        <v>51148</v>
      </c>
      <c r="H127" s="234">
        <f t="shared" si="12"/>
        <v>-0.4662547900211152</v>
      </c>
      <c r="I127" s="202"/>
    </row>
    <row r="128" spans="2:9" x14ac:dyDescent="0.25">
      <c r="B128" s="195">
        <v>42548</v>
      </c>
      <c r="C128" s="286">
        <v>2000</v>
      </c>
      <c r="D128" s="287">
        <v>25.574000000000002</v>
      </c>
      <c r="E128" s="40">
        <v>13.41</v>
      </c>
      <c r="F128" s="40">
        <f t="shared" si="10"/>
        <v>-24328.000000000004</v>
      </c>
      <c r="G128" s="40">
        <f t="shared" si="11"/>
        <v>51148</v>
      </c>
      <c r="H128" s="234">
        <f t="shared" si="12"/>
        <v>-0.47563932118557911</v>
      </c>
      <c r="I128" s="202"/>
    </row>
    <row r="129" spans="2:9" x14ac:dyDescent="0.25">
      <c r="B129" s="195">
        <v>42549</v>
      </c>
      <c r="C129" s="434">
        <v>2000</v>
      </c>
      <c r="D129" s="214">
        <v>25.574000000000002</v>
      </c>
      <c r="E129" s="40">
        <v>14.22</v>
      </c>
      <c r="F129" s="40">
        <f t="shared" ref="F129" si="13">C129*(E129-D129)</f>
        <v>-22708.000000000004</v>
      </c>
      <c r="G129" s="40">
        <f t="shared" ref="G129" si="14">IF(C129=0, 0,D129*C129)</f>
        <v>51148</v>
      </c>
      <c r="H129" s="234">
        <f t="shared" ref="H129" si="15">IF(C129=0, D129, (E129-D129)/D129)</f>
        <v>-0.44396652850551344</v>
      </c>
      <c r="I129" s="202"/>
    </row>
    <row r="130" spans="2:9" x14ac:dyDescent="0.25">
      <c r="B130" s="195">
        <v>42550</v>
      </c>
      <c r="C130" s="458">
        <v>1520</v>
      </c>
      <c r="D130" s="460">
        <v>28.986999999999998</v>
      </c>
      <c r="E130" s="40">
        <v>14.58</v>
      </c>
      <c r="F130" s="40">
        <f t="shared" ref="F130:F131" si="16">C130*(E130-D130)</f>
        <v>-21898.639999999996</v>
      </c>
      <c r="G130" s="40">
        <f t="shared" ref="G130:G131" si="17">IF(C130=0, 0,D130*C130)</f>
        <v>44060.24</v>
      </c>
      <c r="H130" s="234">
        <f t="shared" ref="H130:H131" si="18">IF(C130=0, D130, (E130-D130)/D130)</f>
        <v>-0.49701590368096038</v>
      </c>
      <c r="I130" s="202"/>
    </row>
    <row r="131" spans="2:9" x14ac:dyDescent="0.25">
      <c r="B131" s="195">
        <v>42556</v>
      </c>
      <c r="C131" s="7">
        <v>2000</v>
      </c>
      <c r="D131" s="79">
        <v>25.433</v>
      </c>
      <c r="E131" s="40">
        <v>14.31</v>
      </c>
      <c r="F131" s="40">
        <f t="shared" si="16"/>
        <v>-22246</v>
      </c>
      <c r="G131" s="40">
        <f t="shared" si="17"/>
        <v>50866</v>
      </c>
      <c r="H131" s="234">
        <f t="shared" si="18"/>
        <v>-0.43734518145716195</v>
      </c>
      <c r="I131" s="238">
        <v>25</v>
      </c>
    </row>
    <row r="132" spans="2:9" x14ac:dyDescent="0.25">
      <c r="B132" s="195">
        <v>42563</v>
      </c>
      <c r="C132" s="10">
        <v>2000</v>
      </c>
      <c r="D132" s="202">
        <v>25.433</v>
      </c>
      <c r="E132" s="40">
        <v>14.98</v>
      </c>
      <c r="F132" s="40">
        <f t="shared" ref="F132" si="19">C132*(E132-D132)</f>
        <v>-20906</v>
      </c>
      <c r="G132" s="40">
        <f t="shared" ref="G132" si="20">IF(C132=0, 0,D132*C132)</f>
        <v>50866</v>
      </c>
      <c r="H132" s="234">
        <f t="shared" ref="H132" si="21">IF(C132=0, D132, (E132-D132)/D132)</f>
        <v>-0.41100145480281525</v>
      </c>
      <c r="I132" s="202"/>
    </row>
    <row r="133" spans="2:9" x14ac:dyDescent="0.25">
      <c r="B133" s="195">
        <v>42578</v>
      </c>
      <c r="C133" s="10">
        <v>2200</v>
      </c>
      <c r="D133" s="202">
        <v>24.399000000000001</v>
      </c>
      <c r="E133" s="40">
        <v>14.06</v>
      </c>
      <c r="F133" s="40">
        <f t="shared" ref="F133:F136" si="22">C133*(E133-D133)</f>
        <v>-22745.8</v>
      </c>
      <c r="G133" s="40">
        <f t="shared" ref="G133:G136" si="23">IF(C133=0, 0,D133*C133)</f>
        <v>53677.8</v>
      </c>
      <c r="H133" s="234">
        <f t="shared" ref="H133:H136" si="24">IF(C133=0, D133, (E133-D133)/D133)</f>
        <v>-0.42374687487192098</v>
      </c>
      <c r="I133" s="202"/>
    </row>
    <row r="134" spans="2:9" x14ac:dyDescent="0.25">
      <c r="B134" s="195">
        <v>42580</v>
      </c>
      <c r="C134" s="10">
        <v>2700</v>
      </c>
      <c r="D134" s="202">
        <v>22.39</v>
      </c>
      <c r="E134" s="40">
        <v>13.74</v>
      </c>
      <c r="F134" s="40">
        <f t="shared" si="22"/>
        <v>-23355</v>
      </c>
      <c r="G134" s="40">
        <f t="shared" si="23"/>
        <v>60453</v>
      </c>
      <c r="H134" s="234">
        <f t="shared" si="24"/>
        <v>-0.38633318445734705</v>
      </c>
      <c r="I134" s="202"/>
    </row>
    <row r="135" spans="2:9" x14ac:dyDescent="0.25">
      <c r="B135" s="195">
        <v>42580</v>
      </c>
      <c r="C135" s="10">
        <v>3000</v>
      </c>
      <c r="D135" s="202">
        <v>21.478999999999999</v>
      </c>
      <c r="E135" s="40">
        <v>13.74</v>
      </c>
      <c r="F135" s="40">
        <f t="shared" si="22"/>
        <v>-23216.999999999996</v>
      </c>
      <c r="G135" s="40">
        <f t="shared" si="23"/>
        <v>64437</v>
      </c>
      <c r="H135" s="234">
        <f t="shared" si="24"/>
        <v>-0.3603054145909958</v>
      </c>
      <c r="I135" s="202"/>
    </row>
    <row r="136" spans="2:9" x14ac:dyDescent="0.25">
      <c r="B136" s="195">
        <v>42580</v>
      </c>
      <c r="C136" s="7">
        <v>2000</v>
      </c>
      <c r="D136" s="79">
        <v>25.353000000000002</v>
      </c>
      <c r="E136" s="40">
        <v>13.74</v>
      </c>
      <c r="F136" s="40">
        <f t="shared" si="22"/>
        <v>-23226.000000000004</v>
      </c>
      <c r="G136" s="40">
        <f t="shared" si="23"/>
        <v>50706</v>
      </c>
      <c r="H136" s="234">
        <f t="shared" si="24"/>
        <v>-0.45805230150278076</v>
      </c>
      <c r="I136" s="238">
        <v>25</v>
      </c>
    </row>
    <row r="137" spans="2:9" x14ac:dyDescent="0.25">
      <c r="B137" s="195">
        <v>42585</v>
      </c>
      <c r="C137" s="10">
        <v>2000</v>
      </c>
      <c r="D137" s="202">
        <v>25.353000000000002</v>
      </c>
      <c r="E137" s="40">
        <v>13.45</v>
      </c>
      <c r="F137" s="40">
        <f t="shared" ref="F137:F139" si="25">C137*(E137-D137)</f>
        <v>-23806.000000000004</v>
      </c>
      <c r="G137" s="40">
        <f t="shared" ref="G137:G139" si="26">IF(C137=0, 0,D137*C137)</f>
        <v>50706</v>
      </c>
      <c r="H137" s="234">
        <f t="shared" ref="H137:H139" si="27">IF(C137=0, D137, (E137-D137)/D137)</f>
        <v>-0.46949079004457073</v>
      </c>
      <c r="I137" s="202"/>
    </row>
    <row r="138" spans="2:9" x14ac:dyDescent="0.25">
      <c r="B138" s="195">
        <v>42586</v>
      </c>
      <c r="C138" s="10">
        <v>2500</v>
      </c>
      <c r="D138" s="202">
        <v>22.902000000000001</v>
      </c>
      <c r="E138" s="40">
        <v>12.97</v>
      </c>
      <c r="F138" s="40">
        <f t="shared" si="25"/>
        <v>-24830</v>
      </c>
      <c r="G138" s="40">
        <f t="shared" si="26"/>
        <v>57255</v>
      </c>
      <c r="H138" s="234">
        <f t="shared" si="27"/>
        <v>-0.43367391494192647</v>
      </c>
      <c r="I138" s="202"/>
    </row>
    <row r="139" spans="2:9" x14ac:dyDescent="0.25">
      <c r="B139" s="195">
        <v>42590</v>
      </c>
      <c r="C139" s="10">
        <v>3000</v>
      </c>
      <c r="D139" s="202">
        <v>21.26</v>
      </c>
      <c r="E139" s="40">
        <v>13.01</v>
      </c>
      <c r="F139" s="40">
        <f t="shared" si="25"/>
        <v>-24750.000000000004</v>
      </c>
      <c r="G139" s="40">
        <f t="shared" si="26"/>
        <v>63780.000000000007</v>
      </c>
      <c r="H139" s="234">
        <f t="shared" si="27"/>
        <v>-0.38805268109125124</v>
      </c>
      <c r="I139" s="202"/>
    </row>
    <row r="140" spans="2:9" x14ac:dyDescent="0.25">
      <c r="B140" s="195"/>
      <c r="C140" s="10"/>
      <c r="D140" s="202"/>
      <c r="E140" s="40"/>
      <c r="F140" s="40"/>
      <c r="G140" s="40"/>
      <c r="H140" s="234"/>
      <c r="I140" s="202"/>
    </row>
    <row r="141" spans="2:9" x14ac:dyDescent="0.25">
      <c r="B141" s="195"/>
      <c r="C141" s="10"/>
      <c r="D141" s="202"/>
      <c r="E141" s="40"/>
      <c r="F141" s="40"/>
      <c r="G141" s="40"/>
      <c r="H141" s="234"/>
      <c r="I141" s="202"/>
    </row>
    <row r="142" spans="2:9" x14ac:dyDescent="0.25">
      <c r="B142" s="195"/>
      <c r="C142" s="10"/>
      <c r="D142" s="202"/>
      <c r="E142" s="40"/>
      <c r="F142" s="40"/>
      <c r="G142" s="40"/>
      <c r="H142" s="234"/>
      <c r="I142" s="202"/>
    </row>
    <row r="143" spans="2:9" x14ac:dyDescent="0.25">
      <c r="B143" s="195"/>
      <c r="C143" s="10"/>
      <c r="D143" s="202"/>
      <c r="E143" s="40"/>
      <c r="F143" s="40"/>
      <c r="G143" s="40"/>
      <c r="H143" s="234"/>
      <c r="I143" s="202"/>
    </row>
    <row r="144" spans="2:9" x14ac:dyDescent="0.25">
      <c r="B144" s="195"/>
      <c r="C144" s="10"/>
      <c r="D144" s="202"/>
      <c r="E144" s="40"/>
      <c r="F144" s="40"/>
      <c r="G144" s="40"/>
      <c r="H144" s="234"/>
      <c r="I144" s="202"/>
    </row>
  </sheetData>
  <mergeCells count="3">
    <mergeCell ref="B47:B48"/>
    <mergeCell ref="G30:G47"/>
    <mergeCell ref="A64:A66"/>
  </mergeCells>
  <conditionalFormatting sqref="Q12 F107:F144 H99:H144">
    <cfRule type="expression" dxfId="487" priority="38">
      <formula>F12&gt;0</formula>
    </cfRule>
    <cfRule type="expression" dxfId="486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485" priority="31">
      <formula>F86&gt;0</formula>
    </cfRule>
    <cfRule type="expression" dxfId="484" priority="32">
      <formula>F86&lt;0</formula>
    </cfRule>
  </conditionalFormatting>
  <conditionalFormatting sqref="H86:H92">
    <cfRule type="expression" dxfId="483" priority="19">
      <formula>H86&gt;0</formula>
    </cfRule>
    <cfRule type="expression" dxfId="482" priority="20">
      <formula>H86&lt;0</formula>
    </cfRule>
  </conditionalFormatting>
  <conditionalFormatting sqref="H93">
    <cfRule type="expression" dxfId="481" priority="17">
      <formula>H93&gt;0</formula>
    </cfRule>
    <cfRule type="expression" dxfId="480" priority="18">
      <formula>H93&lt;0</formula>
    </cfRule>
  </conditionalFormatting>
  <conditionalFormatting sqref="H94">
    <cfRule type="expression" dxfId="479" priority="15">
      <formula>H94&gt;0</formula>
    </cfRule>
    <cfRule type="expression" dxfId="478" priority="16">
      <formula>H94&lt;0</formula>
    </cfRule>
  </conditionalFormatting>
  <conditionalFormatting sqref="H95:H97">
    <cfRule type="expression" dxfId="477" priority="13">
      <formula>H95&gt;0</formula>
    </cfRule>
    <cfRule type="expression" dxfId="476" priority="14">
      <formula>H95&lt;0</formula>
    </cfRule>
  </conditionalFormatting>
  <conditionalFormatting sqref="H98">
    <cfRule type="expression" dxfId="475" priority="9">
      <formula>H98&gt;0</formula>
    </cfRule>
    <cfRule type="expression" dxfId="474" priority="10">
      <formula>H98&lt;0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K13" sqref="K1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207</v>
      </c>
      <c r="B2" s="482">
        <v>42472</v>
      </c>
      <c r="C2" s="7">
        <v>50</v>
      </c>
      <c r="D2" s="44">
        <v>56.99</v>
      </c>
      <c r="E2" s="44">
        <v>0</v>
      </c>
      <c r="F2" s="44">
        <f>C2*D2+E2</f>
        <v>2849.5</v>
      </c>
      <c r="G2" s="482">
        <v>42550</v>
      </c>
      <c r="H2" s="82">
        <v>50</v>
      </c>
      <c r="I2" s="44">
        <v>54.95</v>
      </c>
      <c r="J2" s="44">
        <v>7.01</v>
      </c>
      <c r="K2" s="44">
        <f>I2*H2-J2</f>
        <v>2740.49</v>
      </c>
      <c r="L2" s="1">
        <v>42556</v>
      </c>
      <c r="M2" s="2">
        <v>11.2</v>
      </c>
      <c r="O2" s="11" t="s">
        <v>57</v>
      </c>
      <c r="Q2">
        <f>C18-H18</f>
        <v>30</v>
      </c>
      <c r="T2" s="16"/>
      <c r="U2" s="127"/>
      <c r="V2" s="16"/>
      <c r="W2" s="141">
        <v>42587</v>
      </c>
      <c r="X2" s="142">
        <v>55.32</v>
      </c>
      <c r="Y2" s="142">
        <v>56.06</v>
      </c>
      <c r="Z2" s="10">
        <v>55.17</v>
      </c>
      <c r="AA2" s="10">
        <v>55.85</v>
      </c>
      <c r="AB2" s="95">
        <v>7376700</v>
      </c>
      <c r="AC2" s="10">
        <v>55.85</v>
      </c>
      <c r="AE2" s="138"/>
    </row>
    <row r="3" spans="1:42" x14ac:dyDescent="0.25">
      <c r="A3" s="23" t="s">
        <v>71</v>
      </c>
      <c r="B3" s="482">
        <v>42521</v>
      </c>
      <c r="C3" s="7">
        <v>20</v>
      </c>
      <c r="D3" s="44">
        <v>55.21</v>
      </c>
      <c r="E3" s="44">
        <v>0</v>
      </c>
      <c r="F3" s="44">
        <f>C3*D3+E3</f>
        <v>1104.2</v>
      </c>
      <c r="G3" s="482"/>
      <c r="H3" s="82"/>
      <c r="I3" s="44"/>
      <c r="J3" s="44"/>
      <c r="K3" s="44"/>
      <c r="L3" t="s">
        <v>308</v>
      </c>
      <c r="O3" s="11" t="s">
        <v>58</v>
      </c>
      <c r="Q3" s="232">
        <f>(F18-K18-M18)/Q2</f>
        <v>46.980000000000011</v>
      </c>
      <c r="W3" s="133">
        <v>42586</v>
      </c>
      <c r="X3" s="10">
        <v>54.96</v>
      </c>
      <c r="Y3" s="10">
        <v>55.57</v>
      </c>
      <c r="Z3" s="10">
        <v>54.65</v>
      </c>
      <c r="AA3" s="10">
        <v>54.79</v>
      </c>
      <c r="AB3" s="95">
        <v>8678100</v>
      </c>
      <c r="AC3" s="10">
        <v>54.79</v>
      </c>
      <c r="AE3" s="138"/>
      <c r="AL3" s="236"/>
      <c r="AO3" s="236"/>
    </row>
    <row r="4" spans="1:42" x14ac:dyDescent="0.25">
      <c r="B4" s="482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482"/>
      <c r="H4" s="82"/>
      <c r="I4" s="44"/>
      <c r="J4" s="44"/>
      <c r="K4" s="44"/>
      <c r="O4" s="11" t="s">
        <v>66</v>
      </c>
      <c r="Q4" s="203">
        <v>55.98</v>
      </c>
      <c r="T4" s="1"/>
      <c r="W4" s="133">
        <v>42585</v>
      </c>
      <c r="X4" s="10">
        <v>54.55</v>
      </c>
      <c r="Y4" s="10">
        <v>55.19</v>
      </c>
      <c r="Z4" s="10">
        <v>54.28</v>
      </c>
      <c r="AA4" s="10">
        <v>54.75</v>
      </c>
      <c r="AB4" s="95">
        <v>9687300</v>
      </c>
      <c r="AC4" s="10">
        <v>54.75</v>
      </c>
      <c r="AE4" s="138"/>
      <c r="AL4" s="236"/>
      <c r="AO4" s="236"/>
    </row>
    <row r="5" spans="1:42" x14ac:dyDescent="0.25">
      <c r="B5" s="482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G5" s="482">
        <v>42563</v>
      </c>
      <c r="H5" s="82">
        <v>70</v>
      </c>
      <c r="I5" s="44">
        <v>57.78</v>
      </c>
      <c r="J5" s="44">
        <v>0.09</v>
      </c>
      <c r="K5" s="44">
        <f>I5*H5-J5</f>
        <v>4044.5099999999998</v>
      </c>
      <c r="O5" s="11" t="s">
        <v>67</v>
      </c>
      <c r="Q5" s="3">
        <f>Q4*Q2</f>
        <v>1679.3999999999999</v>
      </c>
      <c r="W5" s="133">
        <v>42584</v>
      </c>
      <c r="X5" s="10">
        <v>55.23</v>
      </c>
      <c r="Y5" s="10">
        <v>55.28</v>
      </c>
      <c r="Z5" s="10">
        <v>54.78</v>
      </c>
      <c r="AA5" s="10">
        <v>54.92</v>
      </c>
      <c r="AB5" s="95">
        <v>7145600</v>
      </c>
      <c r="AC5" s="10">
        <v>54.92</v>
      </c>
      <c r="AE5" s="138"/>
      <c r="AL5" s="236"/>
      <c r="AO5" s="236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4"/>
      <c r="H6" s="4"/>
      <c r="I6" s="3"/>
      <c r="J6" s="3"/>
      <c r="K6" s="3"/>
      <c r="O6" s="11" t="s">
        <v>64</v>
      </c>
      <c r="Q6" s="2">
        <f>Q3*Q2</f>
        <v>1409.4000000000003</v>
      </c>
      <c r="W6" s="133">
        <v>42583</v>
      </c>
      <c r="X6" s="10">
        <v>55.73</v>
      </c>
      <c r="Y6" s="10">
        <v>55.87</v>
      </c>
      <c r="Z6" s="10">
        <v>55.3</v>
      </c>
      <c r="AA6" s="10">
        <v>55.41</v>
      </c>
      <c r="AB6" s="95">
        <v>6268400</v>
      </c>
      <c r="AC6" s="10">
        <v>55.41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188</v>
      </c>
      <c r="Q7" s="2">
        <f>Q10+Q8</f>
        <v>269.99999999999932</v>
      </c>
      <c r="R7">
        <v>30</v>
      </c>
      <c r="W7" s="133">
        <v>42580</v>
      </c>
      <c r="X7" s="10">
        <v>55.27</v>
      </c>
      <c r="Y7" s="10">
        <v>55.66</v>
      </c>
      <c r="Z7" s="10">
        <v>55.21</v>
      </c>
      <c r="AA7" s="10">
        <v>55.5</v>
      </c>
      <c r="AB7" s="95">
        <v>6353400</v>
      </c>
      <c r="AC7" s="10">
        <v>55.5</v>
      </c>
      <c r="AE7" s="138"/>
    </row>
    <row r="8" spans="1:42" x14ac:dyDescent="0.25">
      <c r="H8" s="72"/>
      <c r="O8" s="11" t="s">
        <v>192</v>
      </c>
      <c r="P8" s="34"/>
      <c r="Q8" s="2">
        <f>K18+M18-F18+Q2*Q4</f>
        <v>269.99999999999932</v>
      </c>
      <c r="W8" s="133">
        <v>42579</v>
      </c>
      <c r="X8" s="10">
        <v>55.59</v>
      </c>
      <c r="Y8" s="10">
        <v>55.81</v>
      </c>
      <c r="Z8" s="10">
        <v>54.98</v>
      </c>
      <c r="AA8" s="10">
        <v>55.45</v>
      </c>
      <c r="AB8" s="95">
        <v>9574100</v>
      </c>
      <c r="AC8" s="10">
        <v>55.45</v>
      </c>
      <c r="AE8" s="138"/>
      <c r="AL8" s="236"/>
      <c r="AO8" s="236"/>
      <c r="AP8" s="236"/>
    </row>
    <row r="9" spans="1:42" x14ac:dyDescent="0.25">
      <c r="H9" s="72"/>
      <c r="O9" s="11" t="s">
        <v>231</v>
      </c>
      <c r="Q9" s="138">
        <f>IF(Q2=0, 0, Q8/Q6)</f>
        <v>0.19157088122605312</v>
      </c>
      <c r="W9" s="133">
        <v>42578</v>
      </c>
      <c r="X9" s="10">
        <v>56.5</v>
      </c>
      <c r="Y9" s="10">
        <v>57</v>
      </c>
      <c r="Z9" s="10">
        <v>55.47</v>
      </c>
      <c r="AA9" s="10">
        <v>55.79</v>
      </c>
      <c r="AB9" s="95">
        <v>10295400</v>
      </c>
      <c r="AC9" s="10">
        <v>55.79</v>
      </c>
      <c r="AE9" s="138"/>
    </row>
    <row r="10" spans="1:42" x14ac:dyDescent="0.25">
      <c r="H10" s="72"/>
      <c r="O10" s="11" t="s">
        <v>230</v>
      </c>
      <c r="P10" s="34"/>
      <c r="Q10" s="2">
        <v>0</v>
      </c>
      <c r="T10" s="11"/>
      <c r="W10" s="133">
        <v>42577</v>
      </c>
      <c r="X10" s="10">
        <v>57.2</v>
      </c>
      <c r="Y10" s="10">
        <v>57.87</v>
      </c>
      <c r="Z10" s="10">
        <v>56.25</v>
      </c>
      <c r="AA10" s="10">
        <v>56.37</v>
      </c>
      <c r="AB10" s="95">
        <v>8546700</v>
      </c>
      <c r="AC10" s="10">
        <v>56.37</v>
      </c>
      <c r="AE10" s="138"/>
      <c r="AL10" s="236"/>
      <c r="AO10" s="236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1.15E-2</v>
      </c>
      <c r="T11" s="1"/>
      <c r="W11" s="133">
        <v>42576</v>
      </c>
      <c r="X11" s="10">
        <v>56.87</v>
      </c>
      <c r="Y11" s="10">
        <v>57.15</v>
      </c>
      <c r="Z11" s="10">
        <v>56.46</v>
      </c>
      <c r="AA11" s="10">
        <v>57.14</v>
      </c>
      <c r="AB11" s="95">
        <v>7256300</v>
      </c>
      <c r="AC11" s="10">
        <v>57.14</v>
      </c>
      <c r="AE11" s="138"/>
    </row>
    <row r="12" spans="1:42" x14ac:dyDescent="0.25">
      <c r="H12" s="72"/>
      <c r="W12" s="133">
        <v>42573</v>
      </c>
      <c r="X12" s="10">
        <v>56.82</v>
      </c>
      <c r="Y12" s="10">
        <v>56.96</v>
      </c>
      <c r="Z12" s="10">
        <v>56.43</v>
      </c>
      <c r="AA12" s="10">
        <v>56.73</v>
      </c>
      <c r="AB12" s="95">
        <v>8614700</v>
      </c>
      <c r="AC12" s="10">
        <v>56.73</v>
      </c>
      <c r="AE12" s="138"/>
      <c r="AL12" s="236"/>
      <c r="AO12" s="236"/>
    </row>
    <row r="13" spans="1:42" x14ac:dyDescent="0.25">
      <c r="H13" s="72"/>
      <c r="T13" s="1"/>
      <c r="W13" s="133">
        <v>42572</v>
      </c>
      <c r="X13" s="10">
        <v>57.99</v>
      </c>
      <c r="Y13" s="10">
        <v>58.03</v>
      </c>
      <c r="Z13" s="10">
        <v>56.57</v>
      </c>
      <c r="AA13" s="10">
        <v>56.99</v>
      </c>
      <c r="AB13" s="95">
        <v>8262000</v>
      </c>
      <c r="AC13" s="10">
        <v>56.99</v>
      </c>
      <c r="AE13" s="138"/>
    </row>
    <row r="14" spans="1:42" x14ac:dyDescent="0.25">
      <c r="H14" s="72"/>
      <c r="W14" s="133">
        <v>42571</v>
      </c>
      <c r="X14" s="10">
        <v>57.99</v>
      </c>
      <c r="Y14" s="10">
        <v>58.1</v>
      </c>
      <c r="Z14" s="10">
        <v>57.74</v>
      </c>
      <c r="AA14" s="10">
        <v>57.76</v>
      </c>
      <c r="AB14" s="95">
        <v>5872400</v>
      </c>
      <c r="AC14" s="10">
        <v>57.76</v>
      </c>
      <c r="AE14" s="138"/>
      <c r="AL14" s="236"/>
      <c r="AO14" s="236"/>
      <c r="AP14" s="236"/>
    </row>
    <row r="15" spans="1:42" x14ac:dyDescent="0.25">
      <c r="H15" s="72"/>
      <c r="W15" s="133">
        <v>42570</v>
      </c>
      <c r="X15" s="10">
        <v>57.46</v>
      </c>
      <c r="Y15" s="10">
        <v>57.77</v>
      </c>
      <c r="Z15" s="10">
        <v>57.15</v>
      </c>
      <c r="AA15" s="10">
        <v>57.76</v>
      </c>
      <c r="AB15" s="95">
        <v>7442700</v>
      </c>
      <c r="AC15" s="10">
        <v>57.76</v>
      </c>
      <c r="AE15" s="138"/>
    </row>
    <row r="16" spans="1:42" x14ac:dyDescent="0.25">
      <c r="H16" s="72"/>
      <c r="O16" s="2"/>
      <c r="P16" s="2"/>
      <c r="Q16" s="2"/>
      <c r="T16" s="69"/>
      <c r="W16" s="133">
        <v>42569</v>
      </c>
      <c r="X16" s="10">
        <v>58</v>
      </c>
      <c r="Y16" s="10">
        <v>58.16</v>
      </c>
      <c r="Z16" s="10">
        <v>57.74</v>
      </c>
      <c r="AA16" s="10">
        <v>57.74</v>
      </c>
      <c r="AB16" s="95">
        <v>6478900</v>
      </c>
      <c r="AC16" s="10">
        <v>57.74</v>
      </c>
      <c r="AE16" s="138"/>
    </row>
    <row r="17" spans="1:41" x14ac:dyDescent="0.25">
      <c r="H17" s="72"/>
      <c r="O17" s="2"/>
      <c r="P17" s="2"/>
      <c r="Q17" s="2"/>
      <c r="W17" s="133">
        <v>42566</v>
      </c>
      <c r="X17" s="10">
        <v>58.59</v>
      </c>
      <c r="Y17" s="10">
        <v>58.87</v>
      </c>
      <c r="Z17" s="10">
        <v>57.87</v>
      </c>
      <c r="AA17" s="10">
        <v>57.87</v>
      </c>
      <c r="AB17" s="95">
        <v>9225200</v>
      </c>
      <c r="AC17" s="10">
        <v>57.87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120</v>
      </c>
      <c r="I18" s="13"/>
      <c r="J18" s="13"/>
      <c r="K18" s="13">
        <f>SUM(K2:K17)</f>
        <v>6785</v>
      </c>
      <c r="L18" s="13"/>
      <c r="M18" s="13">
        <f t="shared" ref="M18" si="0">SUM(M2:M17)</f>
        <v>11.2</v>
      </c>
      <c r="O18" s="2"/>
      <c r="P18" s="2"/>
      <c r="Q18" s="2"/>
      <c r="W18" s="133">
        <v>42565</v>
      </c>
      <c r="X18" s="10">
        <v>58.3</v>
      </c>
      <c r="Y18" s="10">
        <v>58.6</v>
      </c>
      <c r="Z18" s="10">
        <v>58.15</v>
      </c>
      <c r="AA18" s="10">
        <v>58.49</v>
      </c>
      <c r="AB18" s="95">
        <v>7488400</v>
      </c>
      <c r="AC18" s="10">
        <v>58.49</v>
      </c>
      <c r="AE18" s="138"/>
      <c r="AL18" s="236"/>
      <c r="AO18" s="236"/>
    </row>
    <row r="19" spans="1:41" ht="15.75" thickBot="1" x14ac:dyDescent="0.3">
      <c r="A19" s="363" t="s">
        <v>206</v>
      </c>
      <c r="B19" s="364"/>
      <c r="C19" s="365">
        <f>SumByColor($A$19,C2:C17)</f>
        <v>120</v>
      </c>
      <c r="D19" s="365"/>
      <c r="E19" s="365"/>
      <c r="F19" s="366">
        <f>SumByColor($A$19,F2:F5)</f>
        <v>6634</v>
      </c>
      <c r="G19" s="365"/>
      <c r="H19" s="365">
        <f>SumByColor($A$19,H2:H17)</f>
        <v>120</v>
      </c>
      <c r="I19" s="365"/>
      <c r="J19" s="365"/>
      <c r="K19" s="366">
        <f>SumByColor($A$19,K2:K17)</f>
        <v>6785</v>
      </c>
      <c r="L19" s="365"/>
      <c r="M19" s="366">
        <f>SumByColor($A$19,M2:M17)</f>
        <v>0</v>
      </c>
      <c r="O19" s="2"/>
      <c r="P19" s="2"/>
      <c r="Q19" s="2"/>
      <c r="W19" s="133">
        <v>42564</v>
      </c>
      <c r="X19" s="10">
        <v>58.18</v>
      </c>
      <c r="Y19" s="10">
        <v>58.44</v>
      </c>
      <c r="Z19" s="10">
        <v>57.73</v>
      </c>
      <c r="AA19" s="10">
        <v>57.99</v>
      </c>
      <c r="AB19" s="95">
        <v>9126500</v>
      </c>
      <c r="AC19" s="10">
        <v>57.99</v>
      </c>
      <c r="AE19" s="138"/>
    </row>
    <row r="20" spans="1:41" x14ac:dyDescent="0.25">
      <c r="O20" s="2"/>
      <c r="P20" s="2"/>
      <c r="Q20" s="2"/>
      <c r="W20" s="133">
        <v>42563</v>
      </c>
      <c r="X20" s="10">
        <v>57.09</v>
      </c>
      <c r="Y20" s="10">
        <v>58.2</v>
      </c>
      <c r="Z20" s="10">
        <v>57.07</v>
      </c>
      <c r="AA20" s="10">
        <v>58.06</v>
      </c>
      <c r="AB20" s="95">
        <v>11164400</v>
      </c>
      <c r="AC20" s="10">
        <v>58.06</v>
      </c>
      <c r="AE20" s="138"/>
    </row>
    <row r="21" spans="1:41" x14ac:dyDescent="0.25">
      <c r="O21" s="2"/>
      <c r="P21" s="2"/>
      <c r="Q21" s="2"/>
      <c r="W21" s="133">
        <v>42562</v>
      </c>
      <c r="X21" s="10">
        <v>56.83</v>
      </c>
      <c r="Y21" s="10">
        <v>57.23</v>
      </c>
      <c r="Z21" s="10">
        <v>56.71</v>
      </c>
      <c r="AA21" s="10">
        <v>56.83</v>
      </c>
      <c r="AB21" s="95">
        <v>8122500</v>
      </c>
      <c r="AC21" s="10">
        <v>56.83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42559</v>
      </c>
      <c r="X22" s="10">
        <v>56.1</v>
      </c>
      <c r="Y22" s="10">
        <v>56.82</v>
      </c>
      <c r="Z22" s="10">
        <v>56.09</v>
      </c>
      <c r="AA22" s="10">
        <v>56.72</v>
      </c>
      <c r="AB22" s="95">
        <v>8645900</v>
      </c>
      <c r="AC22" s="10">
        <v>56.72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42558</v>
      </c>
      <c r="X23" s="10">
        <v>55.8</v>
      </c>
      <c r="Y23" s="10">
        <v>55.98</v>
      </c>
      <c r="Z23" s="10">
        <v>55.56</v>
      </c>
      <c r="AA23" s="10">
        <v>55.92</v>
      </c>
      <c r="AB23" s="95">
        <v>6948000</v>
      </c>
      <c r="AC23" s="10">
        <v>55.92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42557</v>
      </c>
      <c r="X24" s="10">
        <v>54.88</v>
      </c>
      <c r="Y24" s="10">
        <v>55.81</v>
      </c>
      <c r="Z24" s="10">
        <v>54.82</v>
      </c>
      <c r="AA24" s="10">
        <v>55.8</v>
      </c>
      <c r="AB24" s="95">
        <v>7863400</v>
      </c>
      <c r="AC24" s="10">
        <v>55.8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42556</v>
      </c>
      <c r="X25" s="10">
        <v>55.34</v>
      </c>
      <c r="Y25" s="10">
        <v>55.91</v>
      </c>
      <c r="Z25" s="10">
        <v>55.01</v>
      </c>
      <c r="AA25" s="10">
        <v>55.2</v>
      </c>
      <c r="AB25" s="95">
        <v>10256100</v>
      </c>
      <c r="AC25" s="10">
        <v>55.2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42552</v>
      </c>
      <c r="X26" s="10">
        <v>55.07</v>
      </c>
      <c r="Y26" s="10">
        <v>55.81</v>
      </c>
      <c r="Z26" s="10">
        <v>54.91</v>
      </c>
      <c r="AA26" s="10">
        <v>55.61</v>
      </c>
      <c r="AB26" s="95">
        <v>9285100</v>
      </c>
      <c r="AC26" s="10">
        <v>55.61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42551</v>
      </c>
      <c r="X27" s="10">
        <v>55.29</v>
      </c>
      <c r="Y27" s="10">
        <v>55.43</v>
      </c>
      <c r="Z27" s="10">
        <v>54.6</v>
      </c>
      <c r="AA27" s="10">
        <v>55.2</v>
      </c>
      <c r="AB27" s="95">
        <v>17350500</v>
      </c>
      <c r="AC27" s="10">
        <v>55.2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42550</v>
      </c>
      <c r="X28" s="10">
        <v>54.5</v>
      </c>
      <c r="Y28" s="10">
        <v>55.14</v>
      </c>
      <c r="Z28" s="10">
        <v>52.89</v>
      </c>
      <c r="AA28" s="10">
        <v>55.13</v>
      </c>
      <c r="AB28" s="95">
        <v>36084800</v>
      </c>
      <c r="AC28" s="10">
        <v>55.13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42549</v>
      </c>
      <c r="X29" s="10">
        <v>52.04</v>
      </c>
      <c r="Y29" s="10">
        <v>53.2</v>
      </c>
      <c r="Z29" s="10">
        <v>51.57</v>
      </c>
      <c r="AA29" s="10">
        <v>53.09</v>
      </c>
      <c r="AB29" s="95">
        <v>20837800</v>
      </c>
      <c r="AC29" s="10">
        <v>53.09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42548</v>
      </c>
      <c r="X30" s="10">
        <v>52</v>
      </c>
      <c r="Y30" s="10">
        <v>52.52</v>
      </c>
      <c r="Z30" s="10">
        <v>51.48</v>
      </c>
      <c r="AA30" s="10">
        <v>51.89</v>
      </c>
      <c r="AB30" s="95">
        <v>15265700</v>
      </c>
      <c r="AC30" s="10">
        <v>51.89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42545</v>
      </c>
      <c r="X31" s="10">
        <v>52.36</v>
      </c>
      <c r="Y31" s="10">
        <v>53.36</v>
      </c>
      <c r="Z31" s="10">
        <v>52.18</v>
      </c>
      <c r="AA31" s="10">
        <v>52.59</v>
      </c>
      <c r="AB31" s="95">
        <v>18481200</v>
      </c>
      <c r="AC31" s="10">
        <v>52.59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279</v>
      </c>
      <c r="W32" s="133">
        <v>42544</v>
      </c>
      <c r="X32" s="10">
        <v>55.11</v>
      </c>
      <c r="Y32" s="10">
        <v>55.18</v>
      </c>
      <c r="Z32" s="10">
        <v>53.95</v>
      </c>
      <c r="AA32" s="10">
        <v>54.12</v>
      </c>
      <c r="AB32" s="95">
        <v>11219800</v>
      </c>
      <c r="AC32" s="10">
        <v>54.12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280</v>
      </c>
      <c r="W33" s="133">
        <v>42543</v>
      </c>
      <c r="X33" s="10">
        <v>55</v>
      </c>
      <c r="Y33" s="10">
        <v>55.14</v>
      </c>
      <c r="Z33" s="10">
        <v>54.53</v>
      </c>
      <c r="AA33" s="10">
        <v>54.57</v>
      </c>
      <c r="AB33" s="95">
        <v>7019600</v>
      </c>
      <c r="AC33" s="10">
        <v>54.57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42542</v>
      </c>
      <c r="X34" s="10">
        <v>54.46</v>
      </c>
      <c r="Y34" s="10">
        <v>55.09</v>
      </c>
      <c r="Z34" s="10">
        <v>54.44</v>
      </c>
      <c r="AA34" s="10">
        <v>54.77</v>
      </c>
      <c r="AB34" s="95">
        <v>8278200</v>
      </c>
      <c r="AC34" s="10">
        <v>54.77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197</v>
      </c>
      <c r="W35" s="133">
        <v>42541</v>
      </c>
      <c r="X35" s="10">
        <v>54.23</v>
      </c>
      <c r="Y35" s="10">
        <v>55.15</v>
      </c>
      <c r="Z35" s="10">
        <v>54.23</v>
      </c>
      <c r="AA35" s="10">
        <v>54.36</v>
      </c>
      <c r="AB35" s="95">
        <v>8429400</v>
      </c>
      <c r="AC35" s="10">
        <v>54.36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42538</v>
      </c>
      <c r="X36" s="10">
        <v>53.45</v>
      </c>
      <c r="Y36" s="10">
        <v>53.87</v>
      </c>
      <c r="Z36" s="10">
        <v>53.16</v>
      </c>
      <c r="AA36" s="10">
        <v>53.71</v>
      </c>
      <c r="AB36" s="95">
        <v>11007100</v>
      </c>
      <c r="AC36" s="10">
        <v>53.71</v>
      </c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42537</v>
      </c>
      <c r="X37" s="10">
        <v>53.54</v>
      </c>
      <c r="Y37" s="10">
        <v>53.64</v>
      </c>
      <c r="Z37" s="10">
        <v>52.94</v>
      </c>
      <c r="AA37" s="10">
        <v>53.47</v>
      </c>
      <c r="AB37" s="95">
        <v>14456500</v>
      </c>
      <c r="AC37" s="10">
        <v>53.47</v>
      </c>
      <c r="AE37" s="138"/>
    </row>
    <row r="38" spans="2:41" x14ac:dyDescent="0.25">
      <c r="B38" s="195">
        <v>42570</v>
      </c>
      <c r="C38" s="10">
        <v>30</v>
      </c>
      <c r="D38" s="202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4">
        <f t="shared" ref="H38" si="15">IF(C38=0, D38, (E38-D38)/D38)</f>
        <v>0.22945934440187318</v>
      </c>
      <c r="I38" s="40"/>
      <c r="W38" s="133">
        <v>42536</v>
      </c>
      <c r="X38" s="10">
        <v>54.24</v>
      </c>
      <c r="Y38" s="10">
        <v>55.06</v>
      </c>
      <c r="Z38" s="10">
        <v>54.24</v>
      </c>
      <c r="AA38" s="10">
        <v>54.31</v>
      </c>
      <c r="AB38" s="95">
        <v>7498400</v>
      </c>
      <c r="AC38" s="10">
        <v>54.31</v>
      </c>
      <c r="AE38" s="138"/>
    </row>
    <row r="39" spans="2:41" x14ac:dyDescent="0.25">
      <c r="B39" s="195">
        <v>42571</v>
      </c>
      <c r="C39" s="10">
        <v>30</v>
      </c>
      <c r="D39" s="202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4">
        <f t="shared" ref="H39" si="18">IF(C39=0, D39, (E39-D39)/D39)</f>
        <v>0.22945934440187318</v>
      </c>
      <c r="I39" s="40"/>
      <c r="W39" s="133">
        <v>42535</v>
      </c>
      <c r="X39" s="10">
        <v>54.58</v>
      </c>
      <c r="Y39" s="10">
        <v>54.94</v>
      </c>
      <c r="Z39" s="10">
        <v>54.08</v>
      </c>
      <c r="AA39" s="10">
        <v>54.12</v>
      </c>
      <c r="AB39" s="95">
        <v>9585600</v>
      </c>
      <c r="AC39" s="10">
        <v>54.12</v>
      </c>
      <c r="AE39" s="138"/>
    </row>
    <row r="40" spans="2:41" x14ac:dyDescent="0.25">
      <c r="B40" s="195">
        <v>42572</v>
      </c>
      <c r="C40" s="10">
        <v>30</v>
      </c>
      <c r="D40" s="202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4">
        <f t="shared" ref="H40" si="21">IF(C40=0, D40, (E40-D40)/D40)</f>
        <v>0.21306939123031091</v>
      </c>
      <c r="I40" s="40"/>
      <c r="W40" s="133">
        <v>42534</v>
      </c>
      <c r="X40" s="10">
        <v>55</v>
      </c>
      <c r="Y40" s="10">
        <v>55.64</v>
      </c>
      <c r="Z40" s="10">
        <v>54.88</v>
      </c>
      <c r="AA40" s="10">
        <v>54.91</v>
      </c>
      <c r="AB40" s="95">
        <v>8582200</v>
      </c>
      <c r="AC40" s="10">
        <v>54.91</v>
      </c>
      <c r="AE40" s="138"/>
    </row>
    <row r="41" spans="2:41" x14ac:dyDescent="0.25">
      <c r="B41" s="195">
        <v>42577</v>
      </c>
      <c r="C41" s="10">
        <v>30</v>
      </c>
      <c r="D41" s="202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4">
        <f t="shared" ref="H41" si="24">IF(C41=0, D41, (E41-D41)/D41)</f>
        <v>0.19987228607918264</v>
      </c>
      <c r="I41" s="40"/>
      <c r="W41" s="133">
        <v>42531</v>
      </c>
      <c r="X41" s="10">
        <v>54.64</v>
      </c>
      <c r="Y41" s="10">
        <v>55.36</v>
      </c>
      <c r="Z41" s="10">
        <v>54.55</v>
      </c>
      <c r="AA41" s="10">
        <v>55.11</v>
      </c>
      <c r="AB41" s="95">
        <v>12183600</v>
      </c>
      <c r="AC41" s="10">
        <v>55.11</v>
      </c>
      <c r="AE41" s="138"/>
    </row>
    <row r="42" spans="2:41" ht="20.25" thickBot="1" x14ac:dyDescent="0.35">
      <c r="B42" s="195">
        <v>42580</v>
      </c>
      <c r="C42" s="10">
        <v>30</v>
      </c>
      <c r="D42" s="202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4">
        <f t="shared" ref="H42" si="27">IF(C42=0, D42, (E42-D42)/D42)</f>
        <v>0.18135376756066418</v>
      </c>
      <c r="I42" s="40"/>
      <c r="T42" s="91" t="s">
        <v>113</v>
      </c>
      <c r="W42" s="133">
        <v>42530</v>
      </c>
      <c r="X42" s="10">
        <v>54.11</v>
      </c>
      <c r="Y42" s="10">
        <v>55.05</v>
      </c>
      <c r="Z42" s="10">
        <v>53.88</v>
      </c>
      <c r="AA42" s="10">
        <v>54.94</v>
      </c>
      <c r="AB42" s="95">
        <v>11609800</v>
      </c>
      <c r="AC42" s="10">
        <v>54.94</v>
      </c>
      <c r="AE42" s="138"/>
      <c r="AL42" s="236"/>
      <c r="AO42" s="236"/>
    </row>
    <row r="43" spans="2:41" ht="15.75" thickTop="1" x14ac:dyDescent="0.25">
      <c r="B43" s="195"/>
      <c r="C43" s="10"/>
      <c r="D43" s="202"/>
      <c r="E43" s="40"/>
      <c r="F43" s="40"/>
      <c r="G43" s="40"/>
      <c r="H43" s="234"/>
      <c r="I43" s="40"/>
      <c r="T43" s="128" t="s">
        <v>98</v>
      </c>
      <c r="U43" s="129">
        <v>54.79</v>
      </c>
      <c r="W43" s="133">
        <v>42529</v>
      </c>
      <c r="X43" s="10">
        <v>53.83</v>
      </c>
      <c r="Y43" s="10">
        <v>54.34</v>
      </c>
      <c r="Z43" s="10">
        <v>53.66</v>
      </c>
      <c r="AA43" s="10">
        <v>54.12</v>
      </c>
      <c r="AB43" s="95">
        <v>12068500</v>
      </c>
      <c r="AC43" s="10">
        <v>54.12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525" t="s">
        <v>78</v>
      </c>
      <c r="P44" s="525"/>
      <c r="T44" s="93" t="s">
        <v>99</v>
      </c>
      <c r="U44" s="130">
        <v>55.32</v>
      </c>
      <c r="W44" s="133">
        <v>42528</v>
      </c>
      <c r="X44" s="10">
        <v>54.16</v>
      </c>
      <c r="Y44" s="10">
        <v>54.35</v>
      </c>
      <c r="Z44" s="10">
        <v>53.55</v>
      </c>
      <c r="AA44" s="10">
        <v>53.55</v>
      </c>
      <c r="AB44" s="95">
        <v>13334000</v>
      </c>
      <c r="AC44" s="10">
        <v>53.55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61.578000000000003</v>
      </c>
      <c r="T45" s="93" t="s">
        <v>100</v>
      </c>
      <c r="U45" s="130" t="s">
        <v>509</v>
      </c>
      <c r="W45" s="133">
        <v>42527</v>
      </c>
      <c r="X45" s="10">
        <v>53.77</v>
      </c>
      <c r="Y45" s="10">
        <v>54.54</v>
      </c>
      <c r="Z45" s="10">
        <v>53.69</v>
      </c>
      <c r="AA45" s="10">
        <v>54.3</v>
      </c>
      <c r="AB45" s="95">
        <v>13808300</v>
      </c>
      <c r="AC45" s="10">
        <v>54.3</v>
      </c>
      <c r="AE45" s="138"/>
    </row>
    <row r="46" spans="2:41" x14ac:dyDescent="0.25">
      <c r="O46" s="83">
        <v>1.0900000000000001</v>
      </c>
      <c r="P46" s="83">
        <f t="shared" ref="P46:P65" si="28">O46*$Q$4</f>
        <v>61.0182</v>
      </c>
      <c r="T46" s="93" t="s">
        <v>101</v>
      </c>
      <c r="U46" s="130" t="s">
        <v>510</v>
      </c>
      <c r="W46" s="133">
        <v>42524</v>
      </c>
      <c r="X46" s="10">
        <v>54.29</v>
      </c>
      <c r="Y46" s="10">
        <v>54.57</v>
      </c>
      <c r="Z46" s="10">
        <v>53.4</v>
      </c>
      <c r="AA46" s="10">
        <v>53.45</v>
      </c>
      <c r="AB46" s="95">
        <v>17265800</v>
      </c>
      <c r="AC46" s="10">
        <v>53.45</v>
      </c>
      <c r="AE46" s="138"/>
    </row>
    <row r="47" spans="2:41" x14ac:dyDescent="0.25">
      <c r="O47" s="83">
        <v>1.08</v>
      </c>
      <c r="P47" s="83">
        <f t="shared" si="28"/>
        <v>60.458399999999997</v>
      </c>
      <c r="T47" s="93" t="s">
        <v>102</v>
      </c>
      <c r="U47" s="130">
        <v>65.790000000000006</v>
      </c>
      <c r="W47" s="133">
        <v>42523</v>
      </c>
      <c r="X47" s="10">
        <v>54.22</v>
      </c>
      <c r="Y47" s="10">
        <v>54.67</v>
      </c>
      <c r="Z47" s="10">
        <v>54.22</v>
      </c>
      <c r="AA47" s="10">
        <v>54.53</v>
      </c>
      <c r="AB47" s="95">
        <v>13901700</v>
      </c>
      <c r="AC47" s="10">
        <v>54.53</v>
      </c>
      <c r="AE47" s="138"/>
    </row>
    <row r="48" spans="2:41" x14ac:dyDescent="0.25">
      <c r="O48" s="83">
        <v>1.07</v>
      </c>
      <c r="P48" s="83">
        <f t="shared" si="28"/>
        <v>59.898600000000002</v>
      </c>
      <c r="T48" s="93" t="s">
        <v>103</v>
      </c>
      <c r="U48" s="130">
        <v>0.56589199999999995</v>
      </c>
      <c r="W48" s="133">
        <v>42523</v>
      </c>
      <c r="X48" s="10" t="s">
        <v>209</v>
      </c>
      <c r="Y48" s="10"/>
      <c r="Z48" s="10"/>
      <c r="AA48" s="10"/>
      <c r="AB48" s="95"/>
      <c r="AC48" s="10"/>
      <c r="AE48" s="138"/>
    </row>
    <row r="49" spans="15:41" x14ac:dyDescent="0.25">
      <c r="O49" s="83">
        <v>1.06</v>
      </c>
      <c r="P49" s="83">
        <f t="shared" si="28"/>
        <v>59.338799999999999</v>
      </c>
      <c r="T49" s="93" t="s">
        <v>123</v>
      </c>
      <c r="U49" s="130" t="s">
        <v>283</v>
      </c>
      <c r="W49" s="133">
        <v>42522</v>
      </c>
      <c r="X49" s="10">
        <v>53.33</v>
      </c>
      <c r="Y49" s="10">
        <v>55.04</v>
      </c>
      <c r="Z49" s="10">
        <v>52.92</v>
      </c>
      <c r="AA49" s="10">
        <v>54.93</v>
      </c>
      <c r="AB49" s="95">
        <v>28409300</v>
      </c>
      <c r="AC49" s="10">
        <v>54.77</v>
      </c>
      <c r="AE49" s="138"/>
    </row>
    <row r="50" spans="15:41" x14ac:dyDescent="0.25">
      <c r="O50" s="83">
        <v>1.05</v>
      </c>
      <c r="P50" s="83">
        <f t="shared" si="28"/>
        <v>58.778999999999996</v>
      </c>
      <c r="T50" s="93"/>
      <c r="U50" s="130"/>
      <c r="W50" s="133">
        <v>42521</v>
      </c>
      <c r="X50" s="10">
        <v>56.41</v>
      </c>
      <c r="Y50" s="10">
        <v>56.47</v>
      </c>
      <c r="Z50" s="10">
        <v>55.17</v>
      </c>
      <c r="AA50" s="10">
        <v>55.22</v>
      </c>
      <c r="AB50" s="95">
        <v>14233600</v>
      </c>
      <c r="AC50" s="10">
        <v>55.06</v>
      </c>
      <c r="AE50" s="138"/>
      <c r="AL50" s="236"/>
      <c r="AO50" s="236"/>
    </row>
    <row r="51" spans="15:41" x14ac:dyDescent="0.25">
      <c r="O51" s="83">
        <v>1.04</v>
      </c>
      <c r="P51" s="83">
        <f t="shared" si="28"/>
        <v>58.219200000000001</v>
      </c>
      <c r="T51" s="93" t="s">
        <v>105</v>
      </c>
      <c r="U51" s="130" t="s">
        <v>511</v>
      </c>
      <c r="W51" s="133">
        <v>42517</v>
      </c>
      <c r="X51" s="10">
        <v>56.17</v>
      </c>
      <c r="Y51" s="10">
        <v>56.53</v>
      </c>
      <c r="Z51" s="10">
        <v>55.98</v>
      </c>
      <c r="AA51" s="10">
        <v>56.19</v>
      </c>
      <c r="AB51" s="95">
        <v>8525900</v>
      </c>
      <c r="AC51" s="10">
        <v>56.03</v>
      </c>
      <c r="AE51" s="138"/>
    </row>
    <row r="52" spans="15:41" x14ac:dyDescent="0.25">
      <c r="O52" s="83">
        <v>1.03</v>
      </c>
      <c r="P52" s="83">
        <f t="shared" si="28"/>
        <v>57.659399999999998</v>
      </c>
      <c r="T52" s="93" t="s">
        <v>106</v>
      </c>
      <c r="U52" s="130" t="s">
        <v>208</v>
      </c>
      <c r="W52" s="133">
        <v>42516</v>
      </c>
      <c r="X52" s="10">
        <v>56.05</v>
      </c>
      <c r="Y52" s="10">
        <v>56.36</v>
      </c>
      <c r="Z52" s="10">
        <v>55.6</v>
      </c>
      <c r="AA52" s="10">
        <v>55.84</v>
      </c>
      <c r="AB52" s="95">
        <v>9063100</v>
      </c>
      <c r="AC52" s="10">
        <v>55.68</v>
      </c>
      <c r="AE52" s="138"/>
    </row>
    <row r="53" spans="15:41" x14ac:dyDescent="0.25">
      <c r="O53" s="83">
        <v>1.02</v>
      </c>
      <c r="P53" s="83">
        <f t="shared" si="28"/>
        <v>57.099599999999995</v>
      </c>
      <c r="T53" s="93" t="s">
        <v>107</v>
      </c>
      <c r="U53" s="131">
        <v>7512502</v>
      </c>
      <c r="W53" s="133">
        <v>42515</v>
      </c>
      <c r="X53" s="10">
        <v>56.47</v>
      </c>
      <c r="Y53" s="10">
        <v>56.69</v>
      </c>
      <c r="Z53" s="10">
        <v>55.77</v>
      </c>
      <c r="AA53" s="10">
        <v>55.99</v>
      </c>
      <c r="AB53" s="95">
        <v>9921500</v>
      </c>
      <c r="AC53" s="10">
        <v>55.83</v>
      </c>
      <c r="AE53" s="138"/>
    </row>
    <row r="54" spans="15:41" x14ac:dyDescent="0.25">
      <c r="O54" s="83">
        <v>1.01</v>
      </c>
      <c r="P54" s="83">
        <f t="shared" si="28"/>
        <v>56.5398</v>
      </c>
      <c r="T54" s="93" t="s">
        <v>110</v>
      </c>
      <c r="U54" s="131">
        <v>10662700</v>
      </c>
      <c r="W54" s="133">
        <v>42514</v>
      </c>
      <c r="X54" s="10">
        <v>56.05</v>
      </c>
      <c r="Y54" s="10">
        <v>56.77</v>
      </c>
      <c r="Z54" s="10">
        <v>55.86</v>
      </c>
      <c r="AA54" s="10">
        <v>56.59</v>
      </c>
      <c r="AB54" s="95">
        <v>11098700</v>
      </c>
      <c r="AC54" s="10">
        <v>56.43</v>
      </c>
      <c r="AE54" s="138"/>
      <c r="AL54" s="236"/>
      <c r="AO54" s="236"/>
    </row>
    <row r="55" spans="15:41" x14ac:dyDescent="0.25">
      <c r="O55" s="83">
        <v>1</v>
      </c>
      <c r="P55" s="83">
        <f t="shared" si="28"/>
        <v>55.98</v>
      </c>
      <c r="T55" s="93" t="s">
        <v>108</v>
      </c>
      <c r="U55" s="130" t="s">
        <v>512</v>
      </c>
      <c r="W55" s="133">
        <v>42513</v>
      </c>
      <c r="X55" s="10">
        <v>56.6</v>
      </c>
      <c r="Y55" s="10">
        <v>56.97</v>
      </c>
      <c r="Z55" s="10">
        <v>55.95</v>
      </c>
      <c r="AA55" s="10">
        <v>55.99</v>
      </c>
      <c r="AB55" s="95">
        <v>7780700</v>
      </c>
      <c r="AC55" s="10">
        <v>55.83</v>
      </c>
      <c r="AE55" s="138"/>
    </row>
    <row r="56" spans="15:41" x14ac:dyDescent="0.25">
      <c r="O56" s="83">
        <v>0.99</v>
      </c>
      <c r="P56" s="83">
        <f t="shared" si="28"/>
        <v>55.420199999999994</v>
      </c>
      <c r="T56" s="93" t="s">
        <v>111</v>
      </c>
      <c r="U56" s="130">
        <v>25.86</v>
      </c>
      <c r="W56" s="133">
        <v>42510</v>
      </c>
      <c r="X56" s="10">
        <v>55.88</v>
      </c>
      <c r="Y56" s="10">
        <v>57.06</v>
      </c>
      <c r="Z56" s="10">
        <v>55.41</v>
      </c>
      <c r="AA56" s="10">
        <v>56.48</v>
      </c>
      <c r="AB56" s="95">
        <v>13745300</v>
      </c>
      <c r="AC56" s="10">
        <v>56.32</v>
      </c>
      <c r="AE56" s="138"/>
    </row>
    <row r="57" spans="15:41" x14ac:dyDescent="0.25">
      <c r="O57" s="83">
        <v>0.98</v>
      </c>
      <c r="P57" s="83">
        <f t="shared" si="28"/>
        <v>54.860399999999998</v>
      </c>
      <c r="T57" s="93" t="s">
        <v>112</v>
      </c>
      <c r="U57" s="130">
        <v>2.16</v>
      </c>
      <c r="W57" s="133">
        <v>42509</v>
      </c>
      <c r="X57" s="10">
        <v>55.82</v>
      </c>
      <c r="Y57" s="10">
        <v>57.3</v>
      </c>
      <c r="Z57" s="10">
        <v>55.67</v>
      </c>
      <c r="AA57" s="10">
        <v>57.04</v>
      </c>
      <c r="AB57" s="95">
        <v>9376500</v>
      </c>
      <c r="AC57" s="10">
        <v>56.87</v>
      </c>
      <c r="AE57" s="138"/>
    </row>
    <row r="58" spans="15:41" x14ac:dyDescent="0.25">
      <c r="O58" s="83">
        <v>0.97</v>
      </c>
      <c r="P58" s="83">
        <f t="shared" si="28"/>
        <v>54.300599999999996</v>
      </c>
      <c r="T58" s="93" t="s">
        <v>109</v>
      </c>
      <c r="U58" s="130" t="s">
        <v>584</v>
      </c>
      <c r="W58" s="133">
        <v>42508</v>
      </c>
      <c r="X58" s="10">
        <v>56.76</v>
      </c>
      <c r="Y58" s="10">
        <v>56.87</v>
      </c>
      <c r="Z58" s="10">
        <v>55.67</v>
      </c>
      <c r="AA58" s="10">
        <v>56.12</v>
      </c>
      <c r="AB58" s="95">
        <v>11532800</v>
      </c>
      <c r="AC58" s="10">
        <v>55.96</v>
      </c>
      <c r="AE58" s="138"/>
      <c r="AL58" s="236"/>
      <c r="AO58" s="236"/>
    </row>
    <row r="59" spans="15:41" x14ac:dyDescent="0.25">
      <c r="O59" s="83">
        <v>0.96</v>
      </c>
      <c r="P59" s="83">
        <f t="shared" si="28"/>
        <v>53.740799999999993</v>
      </c>
      <c r="W59" s="133">
        <v>42507</v>
      </c>
      <c r="X59" s="10">
        <v>57.15</v>
      </c>
      <c r="Y59" s="10">
        <v>57.38</v>
      </c>
      <c r="Z59" s="10">
        <v>56.65</v>
      </c>
      <c r="AA59" s="10">
        <v>57.1</v>
      </c>
      <c r="AB59" s="95">
        <v>7620700</v>
      </c>
      <c r="AC59" s="10">
        <v>56.93</v>
      </c>
      <c r="AE59" s="138"/>
    </row>
    <row r="60" spans="15:41" x14ac:dyDescent="0.25">
      <c r="O60" s="83">
        <v>0.95</v>
      </c>
      <c r="P60" s="83">
        <f t="shared" si="28"/>
        <v>53.180999999999997</v>
      </c>
      <c r="W60" s="133">
        <v>42506</v>
      </c>
      <c r="X60" s="10">
        <v>57.27</v>
      </c>
      <c r="Y60" s="10">
        <v>57.53</v>
      </c>
      <c r="Z60" s="10">
        <v>56.63</v>
      </c>
      <c r="AA60" s="10">
        <v>57.14</v>
      </c>
      <c r="AB60" s="95">
        <v>8045900</v>
      </c>
      <c r="AC60" s="10">
        <v>56.97</v>
      </c>
      <c r="AE60" s="138"/>
    </row>
    <row r="61" spans="15:41" x14ac:dyDescent="0.25">
      <c r="O61" s="83">
        <v>0.94</v>
      </c>
      <c r="P61" s="83">
        <f t="shared" si="28"/>
        <v>52.621199999999995</v>
      </c>
      <c r="W61" s="133">
        <v>42503</v>
      </c>
      <c r="X61" s="10">
        <v>57.74</v>
      </c>
      <c r="Y61" s="10">
        <v>58.12</v>
      </c>
      <c r="Z61" s="10">
        <v>57.28</v>
      </c>
      <c r="AA61" s="10">
        <v>57.31</v>
      </c>
      <c r="AB61" s="95">
        <v>7392600</v>
      </c>
      <c r="AC61" s="10">
        <v>57.14</v>
      </c>
      <c r="AE61" s="138"/>
    </row>
    <row r="62" spans="15:41" x14ac:dyDescent="0.25">
      <c r="O62" s="83">
        <v>0.93</v>
      </c>
      <c r="P62" s="83">
        <f t="shared" si="28"/>
        <v>52.061399999999999</v>
      </c>
      <c r="W62" s="133">
        <v>42502</v>
      </c>
      <c r="X62" s="10">
        <v>57.52</v>
      </c>
      <c r="Y62" s="10">
        <v>58.34</v>
      </c>
      <c r="Z62" s="10">
        <v>57.31</v>
      </c>
      <c r="AA62" s="10">
        <v>57.99</v>
      </c>
      <c r="AB62" s="95">
        <v>8083700</v>
      </c>
      <c r="AC62" s="10">
        <v>57.82</v>
      </c>
      <c r="AE62" s="138"/>
    </row>
    <row r="63" spans="15:41" x14ac:dyDescent="0.25">
      <c r="O63" s="83">
        <v>0.92</v>
      </c>
      <c r="P63" s="83">
        <f t="shared" si="28"/>
        <v>51.501599999999996</v>
      </c>
      <c r="W63" s="133">
        <v>42501</v>
      </c>
      <c r="X63" s="10">
        <v>58.5</v>
      </c>
      <c r="Y63" s="10">
        <v>58.68</v>
      </c>
      <c r="Z63" s="10">
        <v>56.85</v>
      </c>
      <c r="AA63" s="10">
        <v>57.01</v>
      </c>
      <c r="AB63" s="95">
        <v>12823000</v>
      </c>
      <c r="AC63" s="10">
        <v>56.84</v>
      </c>
      <c r="AE63" s="138"/>
    </row>
    <row r="64" spans="15:41" x14ac:dyDescent="0.25">
      <c r="O64" s="83">
        <v>0.91</v>
      </c>
      <c r="P64" s="83">
        <f t="shared" si="28"/>
        <v>50.941800000000001</v>
      </c>
      <c r="W64" s="133">
        <v>42500</v>
      </c>
      <c r="X64" s="10">
        <v>58.61</v>
      </c>
      <c r="Y64" s="10">
        <v>59.99</v>
      </c>
      <c r="Z64" s="10">
        <v>58.61</v>
      </c>
      <c r="AA64" s="10">
        <v>59.2</v>
      </c>
      <c r="AB64" s="95">
        <v>7600200</v>
      </c>
      <c r="AC64" s="10">
        <v>59.03</v>
      </c>
      <c r="AE64" s="138"/>
    </row>
    <row r="65" spans="15:31" x14ac:dyDescent="0.25">
      <c r="O65" s="83">
        <v>0.9</v>
      </c>
      <c r="P65" s="83">
        <f t="shared" si="28"/>
        <v>50.381999999999998</v>
      </c>
      <c r="W65" s="133">
        <v>42499</v>
      </c>
      <c r="X65" s="10">
        <v>58.59</v>
      </c>
      <c r="Y65" s="10">
        <v>59.19</v>
      </c>
      <c r="Z65" s="10">
        <v>58.45</v>
      </c>
      <c r="AA65" s="10">
        <v>58.72</v>
      </c>
      <c r="AB65" s="95">
        <v>5604900</v>
      </c>
      <c r="AC65" s="10">
        <v>58.55</v>
      </c>
      <c r="AE65" s="138"/>
    </row>
    <row r="66" spans="15:31" x14ac:dyDescent="0.25">
      <c r="W66" s="133">
        <v>42496</v>
      </c>
      <c r="X66" s="10">
        <v>58.16</v>
      </c>
      <c r="Y66" s="10">
        <v>58.44</v>
      </c>
      <c r="Z66" s="10">
        <v>57.38</v>
      </c>
      <c r="AA66" s="10">
        <v>58.43</v>
      </c>
      <c r="AB66" s="95">
        <v>7308000</v>
      </c>
      <c r="AC66" s="10">
        <v>58.26</v>
      </c>
      <c r="AE66" s="138"/>
    </row>
    <row r="67" spans="15:31" x14ac:dyDescent="0.25">
      <c r="W67" s="133">
        <v>42495</v>
      </c>
      <c r="X67" s="10">
        <v>58.94</v>
      </c>
      <c r="Y67" s="10">
        <v>58.98</v>
      </c>
      <c r="Z67" s="10">
        <v>58</v>
      </c>
      <c r="AA67" s="10">
        <v>58.19</v>
      </c>
      <c r="AB67" s="95">
        <v>7846000</v>
      </c>
      <c r="AC67" s="10">
        <v>58.02</v>
      </c>
      <c r="AE67" s="138"/>
    </row>
    <row r="68" spans="15:31" x14ac:dyDescent="0.25">
      <c r="W68" s="133">
        <v>42494</v>
      </c>
      <c r="X68" s="10">
        <v>59.23</v>
      </c>
      <c r="Y68" s="10">
        <v>59.96</v>
      </c>
      <c r="Z68" s="10">
        <v>58.82</v>
      </c>
      <c r="AA68" s="10">
        <v>59.11</v>
      </c>
      <c r="AB68" s="95">
        <v>8062800</v>
      </c>
      <c r="AC68" s="10">
        <v>58.94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69" priority="29">
      <formula>F27&gt;0</formula>
    </cfRule>
    <cfRule type="expression" dxfId="468" priority="30">
      <formula>F27&lt;0</formula>
    </cfRule>
  </conditionalFormatting>
  <conditionalFormatting sqref="H27:H33 H35:H45">
    <cfRule type="expression" dxfId="467" priority="25">
      <formula>H27&gt;0</formula>
    </cfRule>
    <cfRule type="expression" dxfId="466" priority="26">
      <formula>H27&lt;0</formula>
    </cfRule>
  </conditionalFormatting>
  <conditionalFormatting sqref="F23:F26">
    <cfRule type="expression" dxfId="465" priority="11">
      <formula>F23&gt;0</formula>
    </cfRule>
    <cfRule type="expression" dxfId="464" priority="12">
      <formula>F23&lt;0</formula>
    </cfRule>
  </conditionalFormatting>
  <conditionalFormatting sqref="H23:H26">
    <cfRule type="expression" dxfId="463" priority="9">
      <formula>H23&gt;0</formula>
    </cfRule>
    <cfRule type="expression" dxfId="462" priority="10">
      <formula>H23&lt;0</formula>
    </cfRule>
  </conditionalFormatting>
  <conditionalFormatting sqref="Q8">
    <cfRule type="expression" dxfId="461" priority="5">
      <formula>Q8&gt;0</formula>
    </cfRule>
    <cfRule type="expression" dxfId="460" priority="6">
      <formula>Q8&lt;0</formula>
    </cfRule>
  </conditionalFormatting>
  <conditionalFormatting sqref="Q7">
    <cfRule type="expression" dxfId="459" priority="7">
      <formula>Q7&gt;0</formula>
    </cfRule>
    <cfRule type="expression" dxfId="458" priority="8">
      <formula>Q7&lt;0</formula>
    </cfRule>
  </conditionalFormatting>
  <conditionalFormatting sqref="F34">
    <cfRule type="expression" dxfId="457" priority="3">
      <formula>F34&gt;0</formula>
    </cfRule>
    <cfRule type="expression" dxfId="456" priority="4">
      <formula>F34&lt;0</formula>
    </cfRule>
  </conditionalFormatting>
  <conditionalFormatting sqref="H34">
    <cfRule type="expression" dxfId="455" priority="1">
      <formula>H34&gt;0</formula>
    </cfRule>
    <cfRule type="expression" dxfId="454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7" t="s">
        <v>315</v>
      </c>
      <c r="W2" s="133">
        <v>42587</v>
      </c>
      <c r="X2" s="10">
        <v>26.65</v>
      </c>
      <c r="Y2" s="10">
        <v>27.69</v>
      </c>
      <c r="Z2" s="10">
        <v>26.51</v>
      </c>
      <c r="AA2" s="10">
        <v>27.27</v>
      </c>
      <c r="AB2" s="95">
        <v>6203200</v>
      </c>
      <c r="AC2" s="10">
        <v>27.27</v>
      </c>
      <c r="AD2" s="2">
        <f>Y2-Z2</f>
        <v>1.1799999999999997</v>
      </c>
      <c r="AE2" s="138">
        <f>AC2/AC3-1</f>
        <v>3.1391830559757805E-2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28.32</v>
      </c>
      <c r="T3" s="1"/>
      <c r="W3" s="133">
        <v>42586</v>
      </c>
      <c r="X3" s="10">
        <v>27.11</v>
      </c>
      <c r="Y3" s="10">
        <v>27.11</v>
      </c>
      <c r="Z3" s="10">
        <v>25.98</v>
      </c>
      <c r="AA3" s="10">
        <v>26.44</v>
      </c>
      <c r="AB3" s="95">
        <v>6586900</v>
      </c>
      <c r="AC3" s="10">
        <v>26.44</v>
      </c>
      <c r="AD3" s="2">
        <f t="shared" ref="AD3:AD66" si="0">Y3-Z3</f>
        <v>1.129999999999999</v>
      </c>
      <c r="AE3" s="138">
        <f t="shared" ref="AE3:AE66" si="1">AC3/AC4-1</f>
        <v>-3.1501831501831501E-2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28.32</v>
      </c>
      <c r="T4" s="163"/>
      <c r="U4" s="1"/>
      <c r="W4" s="133">
        <v>42585</v>
      </c>
      <c r="X4" s="10">
        <v>27.11</v>
      </c>
      <c r="Y4" s="10">
        <v>27.75</v>
      </c>
      <c r="Z4" s="10">
        <v>26.85</v>
      </c>
      <c r="AA4" s="10">
        <v>27.3</v>
      </c>
      <c r="AB4" s="95">
        <v>6253300</v>
      </c>
      <c r="AC4" s="10">
        <v>27.3</v>
      </c>
      <c r="AD4" s="2">
        <f t="shared" si="0"/>
        <v>0.89999999999999858</v>
      </c>
      <c r="AE4" s="138">
        <f t="shared" si="1"/>
        <v>1.4673514306675628E-3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42584</v>
      </c>
      <c r="X5" s="10">
        <v>26.42</v>
      </c>
      <c r="Y5" s="10">
        <v>28.06</v>
      </c>
      <c r="Z5" s="10">
        <v>26.42</v>
      </c>
      <c r="AA5" s="10">
        <v>27.26</v>
      </c>
      <c r="AB5" s="95">
        <v>8097800</v>
      </c>
      <c r="AC5" s="10">
        <v>27.26</v>
      </c>
      <c r="AD5" s="2">
        <f t="shared" si="0"/>
        <v>1.639999999999997</v>
      </c>
      <c r="AE5" s="138">
        <f t="shared" si="1"/>
        <v>2.3657529102516062E-2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42583</v>
      </c>
      <c r="X6" s="10">
        <v>27.02</v>
      </c>
      <c r="Y6" s="10">
        <v>27.13</v>
      </c>
      <c r="Z6" s="10">
        <v>26.41</v>
      </c>
      <c r="AA6" s="10">
        <v>26.63</v>
      </c>
      <c r="AB6" s="95">
        <v>6613100</v>
      </c>
      <c r="AC6" s="10">
        <v>26.63</v>
      </c>
      <c r="AD6" s="2">
        <f t="shared" si="0"/>
        <v>0.71999999999999886</v>
      </c>
      <c r="AE6" s="138">
        <f t="shared" si="1"/>
        <v>-1.3703703703703773E-2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287.94000000000005</v>
      </c>
      <c r="R7">
        <v>0</v>
      </c>
      <c r="W7" s="133">
        <v>42580</v>
      </c>
      <c r="X7" s="10">
        <v>27.53</v>
      </c>
      <c r="Y7" s="10">
        <v>27.54</v>
      </c>
      <c r="Z7" s="10">
        <v>26.63</v>
      </c>
      <c r="AA7" s="10">
        <v>27</v>
      </c>
      <c r="AB7" s="95">
        <v>9051400</v>
      </c>
      <c r="AC7" s="10">
        <v>27</v>
      </c>
      <c r="AD7" s="2">
        <f t="shared" si="0"/>
        <v>0.91000000000000014</v>
      </c>
      <c r="AE7" s="138">
        <f t="shared" si="1"/>
        <v>-2.3508137432188048E-2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42579</v>
      </c>
      <c r="X8" s="10">
        <v>28.32</v>
      </c>
      <c r="Y8" s="10">
        <v>28.37</v>
      </c>
      <c r="Z8" s="10">
        <v>27.43</v>
      </c>
      <c r="AA8" s="10">
        <v>27.65</v>
      </c>
      <c r="AB8" s="95">
        <v>5901100</v>
      </c>
      <c r="AC8" s="10">
        <v>27.65</v>
      </c>
      <c r="AD8" s="2">
        <f t="shared" si="0"/>
        <v>0.94000000000000128</v>
      </c>
      <c r="AE8" s="138">
        <f t="shared" si="1"/>
        <v>-4.259002770083109E-2</v>
      </c>
    </row>
    <row r="9" spans="1:31" x14ac:dyDescent="0.25">
      <c r="H9" s="72"/>
      <c r="O9" s="11" t="s">
        <v>231</v>
      </c>
      <c r="Q9" s="138">
        <f>IF(Q2=0, 0, Q8/Q6)</f>
        <v>0</v>
      </c>
      <c r="W9" s="133">
        <v>42578</v>
      </c>
      <c r="X9" s="10">
        <v>29.43</v>
      </c>
      <c r="Y9" s="10">
        <v>29.69</v>
      </c>
      <c r="Z9" s="10">
        <v>28.58</v>
      </c>
      <c r="AA9" s="10">
        <v>28.88</v>
      </c>
      <c r="AB9" s="95">
        <v>3798800</v>
      </c>
      <c r="AC9" s="10">
        <v>28.88</v>
      </c>
      <c r="AD9" s="2">
        <f t="shared" si="0"/>
        <v>1.110000000000003</v>
      </c>
      <c r="AE9" s="138">
        <f t="shared" si="1"/>
        <v>-1.5678254942058656E-2</v>
      </c>
    </row>
    <row r="10" spans="1:31" x14ac:dyDescent="0.25">
      <c r="H10" s="72"/>
      <c r="O10" s="11" t="s">
        <v>230</v>
      </c>
      <c r="P10" s="34"/>
      <c r="Q10" s="2">
        <f>M56</f>
        <v>287.94000000000005</v>
      </c>
      <c r="W10" s="133">
        <v>42577</v>
      </c>
      <c r="X10" s="10">
        <v>28.63</v>
      </c>
      <c r="Y10" s="10">
        <v>29.46</v>
      </c>
      <c r="Z10" s="10">
        <v>28.5</v>
      </c>
      <c r="AA10" s="10">
        <v>29.34</v>
      </c>
      <c r="AB10" s="95">
        <v>3773700</v>
      </c>
      <c r="AC10" s="10">
        <v>29.34</v>
      </c>
      <c r="AD10" s="2">
        <f t="shared" si="0"/>
        <v>0.96000000000000085</v>
      </c>
      <c r="AE10" s="138">
        <f t="shared" si="1"/>
        <v>2.479916171847707E-2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42576</v>
      </c>
      <c r="X11" s="10">
        <v>28.24</v>
      </c>
      <c r="Y11" s="10">
        <v>28.65</v>
      </c>
      <c r="Z11" s="10">
        <v>27.98</v>
      </c>
      <c r="AA11" s="10">
        <v>28.63</v>
      </c>
      <c r="AB11" s="95">
        <v>4375000</v>
      </c>
      <c r="AC11" s="10">
        <v>28.63</v>
      </c>
      <c r="AD11" s="2">
        <f t="shared" si="0"/>
        <v>0.66999999999999815</v>
      </c>
      <c r="AE11" s="138">
        <f t="shared" si="1"/>
        <v>1.2376237623762387E-2</v>
      </c>
    </row>
    <row r="12" spans="1:31" x14ac:dyDescent="0.25">
      <c r="H12" s="72"/>
      <c r="W12" s="133">
        <v>42573</v>
      </c>
      <c r="X12" s="10">
        <v>28.74</v>
      </c>
      <c r="Y12" s="10">
        <v>28.97</v>
      </c>
      <c r="Z12" s="10">
        <v>28.24</v>
      </c>
      <c r="AA12" s="10">
        <v>28.28</v>
      </c>
      <c r="AB12" s="95">
        <v>3892600</v>
      </c>
      <c r="AC12" s="10">
        <v>28.28</v>
      </c>
      <c r="AD12" s="2">
        <f t="shared" si="0"/>
        <v>0.73000000000000043</v>
      </c>
      <c r="AE12" s="138">
        <f t="shared" si="1"/>
        <v>-2.1114572516441665E-2</v>
      </c>
    </row>
    <row r="13" spans="1:31" x14ac:dyDescent="0.25">
      <c r="H13" s="72"/>
      <c r="W13" s="133">
        <v>42572</v>
      </c>
      <c r="X13" s="10">
        <v>29.02</v>
      </c>
      <c r="Y13" s="10">
        <v>29.41</v>
      </c>
      <c r="Z13" s="10">
        <v>28.66</v>
      </c>
      <c r="AA13" s="10">
        <v>28.89</v>
      </c>
      <c r="AB13" s="95">
        <v>4071100</v>
      </c>
      <c r="AC13" s="10">
        <v>28.89</v>
      </c>
      <c r="AD13" s="2">
        <f t="shared" si="0"/>
        <v>0.75</v>
      </c>
      <c r="AE13" s="138">
        <f t="shared" si="1"/>
        <v>-4.1365046535677408E-3</v>
      </c>
    </row>
    <row r="14" spans="1:31" x14ac:dyDescent="0.25">
      <c r="H14" s="72"/>
      <c r="W14" s="133">
        <v>42571</v>
      </c>
      <c r="X14" s="10">
        <v>28.58</v>
      </c>
      <c r="Y14" s="10">
        <v>29.58</v>
      </c>
      <c r="Z14" s="10">
        <v>28.3</v>
      </c>
      <c r="AA14" s="10">
        <v>29.01</v>
      </c>
      <c r="AB14" s="95">
        <v>5825800</v>
      </c>
      <c r="AC14" s="10">
        <v>29.01</v>
      </c>
      <c r="AD14" s="2">
        <f t="shared" si="0"/>
        <v>1.2799999999999976</v>
      </c>
      <c r="AE14" s="138">
        <f t="shared" si="1"/>
        <v>1.1506276150627714E-2</v>
      </c>
    </row>
    <row r="15" spans="1:31" x14ac:dyDescent="0.25">
      <c r="H15" s="72"/>
      <c r="W15" s="133">
        <v>42570</v>
      </c>
      <c r="X15" s="10">
        <v>28.8</v>
      </c>
      <c r="Y15" s="10">
        <v>29.24</v>
      </c>
      <c r="Z15" s="10">
        <v>28.29</v>
      </c>
      <c r="AA15" s="10">
        <v>28.68</v>
      </c>
      <c r="AB15" s="95">
        <v>6292700</v>
      </c>
      <c r="AC15" s="10">
        <v>28.68</v>
      </c>
      <c r="AD15" s="2">
        <f t="shared" si="0"/>
        <v>0.94999999999999929</v>
      </c>
      <c r="AE15" s="138">
        <f t="shared" si="1"/>
        <v>-2.0491803278688603E-2</v>
      </c>
    </row>
    <row r="16" spans="1:31" x14ac:dyDescent="0.25">
      <c r="H16" s="72"/>
      <c r="W16" s="133">
        <v>42569</v>
      </c>
      <c r="X16" s="10">
        <v>28.62</v>
      </c>
      <c r="Y16" s="10">
        <v>29.37</v>
      </c>
      <c r="Z16" s="10">
        <v>28.26</v>
      </c>
      <c r="AA16" s="10">
        <v>29.28</v>
      </c>
      <c r="AB16" s="95">
        <v>5520600</v>
      </c>
      <c r="AC16" s="10">
        <v>29.28</v>
      </c>
      <c r="AD16" s="2">
        <f t="shared" si="0"/>
        <v>1.1099999999999994</v>
      </c>
      <c r="AE16" s="138">
        <f t="shared" si="1"/>
        <v>2.0564656674799675E-2</v>
      </c>
    </row>
    <row r="17" spans="1:31" x14ac:dyDescent="0.25">
      <c r="W17" s="133">
        <v>42566</v>
      </c>
      <c r="X17" s="10">
        <v>28.3</v>
      </c>
      <c r="Y17" s="10">
        <v>28.71</v>
      </c>
      <c r="Z17" s="10">
        <v>27.95</v>
      </c>
      <c r="AA17" s="10">
        <v>28.69</v>
      </c>
      <c r="AB17" s="95">
        <v>4862000</v>
      </c>
      <c r="AC17" s="10">
        <v>28.69</v>
      </c>
      <c r="AD17" s="2">
        <f t="shared" si="0"/>
        <v>0.76000000000000156</v>
      </c>
      <c r="AE17" s="138">
        <f t="shared" si="1"/>
        <v>1.8097941802696971E-2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42565</v>
      </c>
      <c r="X18" s="10">
        <v>27.62</v>
      </c>
      <c r="Y18" s="10">
        <v>28.67</v>
      </c>
      <c r="Z18" s="10">
        <v>27.36</v>
      </c>
      <c r="AA18" s="10">
        <v>28.18</v>
      </c>
      <c r="AB18" s="95">
        <v>6964800</v>
      </c>
      <c r="AC18" s="10">
        <v>28.18</v>
      </c>
      <c r="AD18" s="2">
        <f t="shared" si="0"/>
        <v>1.3100000000000023</v>
      </c>
      <c r="AE18" s="138">
        <f t="shared" si="1"/>
        <v>2.8091937249179022E-2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42564</v>
      </c>
      <c r="X19" s="10">
        <v>26.15</v>
      </c>
      <c r="Y19" s="10">
        <v>27.42</v>
      </c>
      <c r="Z19" s="10">
        <v>25.94</v>
      </c>
      <c r="AA19" s="10">
        <v>27.41</v>
      </c>
      <c r="AB19" s="95">
        <v>7547700</v>
      </c>
      <c r="AC19" s="10">
        <v>27.41</v>
      </c>
      <c r="AD19" s="2">
        <f t="shared" si="0"/>
        <v>1.4800000000000004</v>
      </c>
      <c r="AE19" s="138">
        <f t="shared" si="1"/>
        <v>3.5120845921450039E-2</v>
      </c>
    </row>
    <row r="20" spans="1:31" x14ac:dyDescent="0.25">
      <c r="W20" s="133">
        <v>42563</v>
      </c>
      <c r="X20" s="10">
        <v>25.74</v>
      </c>
      <c r="Y20" s="10">
        <v>26.83</v>
      </c>
      <c r="Z20" s="10">
        <v>25.74</v>
      </c>
      <c r="AA20" s="10">
        <v>26.48</v>
      </c>
      <c r="AB20" s="95">
        <v>6540500</v>
      </c>
      <c r="AC20" s="10">
        <v>26.48</v>
      </c>
      <c r="AD20" s="2">
        <f t="shared" si="0"/>
        <v>1.0899999999999999</v>
      </c>
      <c r="AE20" s="138">
        <f t="shared" si="1"/>
        <v>3.0751265083690082E-2</v>
      </c>
    </row>
    <row r="21" spans="1:31" x14ac:dyDescent="0.25">
      <c r="W21" s="133">
        <v>42562</v>
      </c>
      <c r="X21" s="10">
        <v>25.7</v>
      </c>
      <c r="Y21" s="10">
        <v>26.2</v>
      </c>
      <c r="Z21" s="10">
        <v>25.59</v>
      </c>
      <c r="AA21" s="10">
        <v>25.69</v>
      </c>
      <c r="AB21" s="95">
        <v>3561400</v>
      </c>
      <c r="AC21" s="10">
        <v>25.69</v>
      </c>
      <c r="AD21" s="2">
        <f t="shared" si="0"/>
        <v>0.60999999999999943</v>
      </c>
      <c r="AE21" s="138">
        <f t="shared" si="1"/>
        <v>8.2417582417582125E-3</v>
      </c>
    </row>
    <row r="22" spans="1:31" x14ac:dyDescent="0.25">
      <c r="W22" s="133">
        <v>42559</v>
      </c>
      <c r="X22" s="10">
        <v>25.39</v>
      </c>
      <c r="Y22" s="10">
        <v>25.6</v>
      </c>
      <c r="Z22" s="10">
        <v>24.99</v>
      </c>
      <c r="AA22" s="10">
        <v>25.48</v>
      </c>
      <c r="AB22" s="95">
        <v>4398700</v>
      </c>
      <c r="AC22" s="10">
        <v>25.48</v>
      </c>
      <c r="AD22" s="2">
        <f t="shared" si="0"/>
        <v>0.61000000000000298</v>
      </c>
      <c r="AE22" s="138">
        <f t="shared" si="1"/>
        <v>1.9607843137255054E-2</v>
      </c>
    </row>
    <row r="23" spans="1:31" x14ac:dyDescent="0.25">
      <c r="W23" s="133">
        <v>42558</v>
      </c>
      <c r="X23" s="10">
        <v>25.43</v>
      </c>
      <c r="Y23" s="10">
        <v>25.71</v>
      </c>
      <c r="Z23" s="10">
        <v>24.84</v>
      </c>
      <c r="AA23" s="10">
        <v>24.99</v>
      </c>
      <c r="AB23" s="95">
        <v>4477100</v>
      </c>
      <c r="AC23" s="10">
        <v>24.99</v>
      </c>
      <c r="AD23" s="2">
        <f t="shared" si="0"/>
        <v>0.87000000000000099</v>
      </c>
      <c r="AE23" s="138">
        <f t="shared" si="1"/>
        <v>-9.5124851367420771E-3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25.44</v>
      </c>
      <c r="Y24" s="10">
        <v>25.48</v>
      </c>
      <c r="Z24" s="10">
        <v>24.45</v>
      </c>
      <c r="AA24" s="10">
        <v>25.23</v>
      </c>
      <c r="AB24" s="95">
        <v>4557800</v>
      </c>
      <c r="AC24" s="10">
        <v>25.23</v>
      </c>
      <c r="AD24" s="2">
        <f t="shared" si="0"/>
        <v>1.0300000000000011</v>
      </c>
      <c r="AE24" s="138">
        <f t="shared" si="1"/>
        <v>-9.4228504122496615E-3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3">
        <f t="shared" ref="H25:H30" si="5">(E25-D25)/D25</f>
        <v>-1.2399999999999949E-2</v>
      </c>
      <c r="I25" s="40"/>
      <c r="W25" s="133">
        <v>42556</v>
      </c>
      <c r="X25" s="10">
        <v>26.24</v>
      </c>
      <c r="Y25" s="10">
        <v>26.56</v>
      </c>
      <c r="Z25" s="10">
        <v>25.24</v>
      </c>
      <c r="AA25" s="10">
        <v>25.47</v>
      </c>
      <c r="AB25" s="95">
        <v>3895700</v>
      </c>
      <c r="AC25" s="10">
        <v>25.47</v>
      </c>
      <c r="AD25" s="2">
        <f t="shared" si="0"/>
        <v>1.3200000000000003</v>
      </c>
      <c r="AE25" s="138">
        <f t="shared" si="1"/>
        <v>-4.1400075272864156E-2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3">
        <f t="shared" si="5"/>
        <v>1.0400000000000062E-2</v>
      </c>
      <c r="I26" s="40"/>
      <c r="W26" s="133">
        <v>42552</v>
      </c>
      <c r="X26" s="10">
        <v>26.03</v>
      </c>
      <c r="Y26" s="10">
        <v>26.87</v>
      </c>
      <c r="Z26" s="10">
        <v>26.02</v>
      </c>
      <c r="AA26" s="10">
        <v>26.57</v>
      </c>
      <c r="AB26" s="95">
        <v>3845900</v>
      </c>
      <c r="AC26" s="10">
        <v>26.57</v>
      </c>
      <c r="AD26" s="2">
        <f t="shared" si="0"/>
        <v>0.85000000000000142</v>
      </c>
      <c r="AE26" s="138">
        <f t="shared" si="1"/>
        <v>1.4896867838044336E-2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3">
        <f t="shared" si="5"/>
        <v>6.2800000000000009E-2</v>
      </c>
      <c r="I27" s="40"/>
      <c r="W27" s="133">
        <v>42551</v>
      </c>
      <c r="X27" s="10">
        <v>25.71</v>
      </c>
      <c r="Y27" s="10">
        <v>26.79</v>
      </c>
      <c r="Z27" s="10">
        <v>25.21</v>
      </c>
      <c r="AA27" s="10">
        <v>26.18</v>
      </c>
      <c r="AB27" s="95">
        <v>7548800</v>
      </c>
      <c r="AC27" s="10">
        <v>26.18</v>
      </c>
      <c r="AD27" s="2">
        <f t="shared" si="0"/>
        <v>1.5799999999999983</v>
      </c>
      <c r="AE27" s="138">
        <f t="shared" si="1"/>
        <v>2.1857923497267784E-2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3">
        <f t="shared" si="5"/>
        <v>1.8799999999999956E-2</v>
      </c>
      <c r="I28" s="40"/>
      <c r="W28" s="133">
        <v>42550</v>
      </c>
      <c r="X28" s="10">
        <v>25.58</v>
      </c>
      <c r="Y28" s="10">
        <v>25.73</v>
      </c>
      <c r="Z28" s="10">
        <v>25.04</v>
      </c>
      <c r="AA28" s="10">
        <v>25.62</v>
      </c>
      <c r="AB28" s="95">
        <v>4469700</v>
      </c>
      <c r="AC28" s="10">
        <v>25.62</v>
      </c>
      <c r="AD28" s="2">
        <f t="shared" si="0"/>
        <v>0.69000000000000128</v>
      </c>
      <c r="AE28" s="138">
        <f t="shared" si="1"/>
        <v>1.4251781472684133E-2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3">
        <f t="shared" si="5"/>
        <v>2.7600000000000052E-2</v>
      </c>
      <c r="I29" s="40"/>
      <c r="W29" s="133">
        <v>42549</v>
      </c>
      <c r="X29" s="10">
        <v>25.27</v>
      </c>
      <c r="Y29" s="10">
        <v>25.58</v>
      </c>
      <c r="Z29" s="10">
        <v>24.84</v>
      </c>
      <c r="AA29" s="10">
        <v>25.26</v>
      </c>
      <c r="AB29" s="95">
        <v>4953400</v>
      </c>
      <c r="AC29" s="10">
        <v>25.26</v>
      </c>
      <c r="AD29" s="2">
        <f t="shared" si="0"/>
        <v>0.73999999999999844</v>
      </c>
      <c r="AE29" s="138">
        <f t="shared" si="1"/>
        <v>2.3086269744835963E-2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3">
        <f t="shared" si="5"/>
        <v>5.9200000000000016E-2</v>
      </c>
      <c r="I30" s="40"/>
      <c r="W30" s="133">
        <v>42548</v>
      </c>
      <c r="X30" s="10">
        <v>26.43</v>
      </c>
      <c r="Y30" s="10">
        <v>26.5</v>
      </c>
      <c r="Z30" s="10">
        <v>24.53</v>
      </c>
      <c r="AA30" s="10">
        <v>24.69</v>
      </c>
      <c r="AB30" s="95">
        <v>7350400</v>
      </c>
      <c r="AC30" s="10">
        <v>24.69</v>
      </c>
      <c r="AD30" s="2">
        <f t="shared" si="0"/>
        <v>1.9699999999999989</v>
      </c>
      <c r="AE30" s="138">
        <f t="shared" si="1"/>
        <v>-8.2497212931995523E-2</v>
      </c>
    </row>
    <row r="31" spans="1:31" x14ac:dyDescent="0.25">
      <c r="B31" s="195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3">
        <f t="shared" ref="H31" si="8">(E31-D31)/D31</f>
        <v>0.17120000000000005</v>
      </c>
      <c r="I31" s="40"/>
      <c r="W31" s="133">
        <v>42545</v>
      </c>
      <c r="X31" s="10">
        <v>26.93</v>
      </c>
      <c r="Y31" s="10">
        <v>27.83</v>
      </c>
      <c r="Z31" s="10">
        <v>26.64</v>
      </c>
      <c r="AA31" s="10">
        <v>26.91</v>
      </c>
      <c r="AB31" s="95">
        <v>8695100</v>
      </c>
      <c r="AC31" s="10">
        <v>26.91</v>
      </c>
      <c r="AD31" s="2">
        <f t="shared" si="0"/>
        <v>1.1899999999999977</v>
      </c>
      <c r="AE31" s="138">
        <f t="shared" si="1"/>
        <v>-3.8928571428571423E-2</v>
      </c>
    </row>
    <row r="32" spans="1:31" x14ac:dyDescent="0.25">
      <c r="B32" s="195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3">
        <f t="shared" ref="H32" si="11">(E32-D32)/D32</f>
        <v>0.1472</v>
      </c>
      <c r="I32" s="40"/>
      <c r="W32" s="133">
        <v>42544</v>
      </c>
      <c r="X32" s="10">
        <v>27.57</v>
      </c>
      <c r="Y32" s="10">
        <v>28.7</v>
      </c>
      <c r="Z32" s="10">
        <v>27.55</v>
      </c>
      <c r="AA32" s="10">
        <v>28</v>
      </c>
      <c r="AB32" s="95">
        <v>9273100</v>
      </c>
      <c r="AC32" s="10">
        <v>28</v>
      </c>
      <c r="AD32" s="2">
        <f t="shared" si="0"/>
        <v>1.1499999999999986</v>
      </c>
      <c r="AE32" s="138">
        <f t="shared" si="1"/>
        <v>4.7120418848167533E-2</v>
      </c>
    </row>
    <row r="33" spans="2:31" x14ac:dyDescent="0.25">
      <c r="B33" s="195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3">
        <f t="shared" ref="H33" si="14">(E33-D33)/D33</f>
        <v>0.16040000000000007</v>
      </c>
      <c r="I33" s="40"/>
      <c r="W33" s="133">
        <v>42543</v>
      </c>
      <c r="X33" s="10">
        <v>27.19</v>
      </c>
      <c r="Y33" s="10">
        <v>27.65</v>
      </c>
      <c r="Z33" s="10">
        <v>26.69</v>
      </c>
      <c r="AA33" s="10">
        <v>26.74</v>
      </c>
      <c r="AB33" s="95">
        <v>4821100</v>
      </c>
      <c r="AC33" s="10">
        <v>26.74</v>
      </c>
      <c r="AD33" s="2">
        <f t="shared" si="0"/>
        <v>0.9599999999999973</v>
      </c>
      <c r="AE33" s="138">
        <f t="shared" si="1"/>
        <v>-8.5279940674823917E-3</v>
      </c>
    </row>
    <row r="34" spans="2:31" x14ac:dyDescent="0.25">
      <c r="B34" s="195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3">
        <f t="shared" ref="H34" si="17">(E34-D34)/D34</f>
        <v>0.15560000000000002</v>
      </c>
      <c r="I34" s="40"/>
      <c r="W34" s="133">
        <v>42542</v>
      </c>
      <c r="X34" s="10">
        <v>26.86</v>
      </c>
      <c r="Y34" s="10">
        <v>27.15</v>
      </c>
      <c r="Z34" s="10">
        <v>26.08</v>
      </c>
      <c r="AA34" s="10">
        <v>26.97</v>
      </c>
      <c r="AB34" s="95">
        <v>6251200</v>
      </c>
      <c r="AC34" s="10">
        <v>26.97</v>
      </c>
      <c r="AD34" s="2">
        <f t="shared" si="0"/>
        <v>1.0700000000000003</v>
      </c>
      <c r="AE34" s="138">
        <f t="shared" si="1"/>
        <v>3.3482142857141906E-3</v>
      </c>
    </row>
    <row r="35" spans="2:31" x14ac:dyDescent="0.25">
      <c r="B35" s="195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3">
        <f t="shared" ref="H35" si="20">(E35-D35)/D35</f>
        <v>0.14519999999999997</v>
      </c>
      <c r="I35" s="40"/>
      <c r="W35" s="133">
        <v>42541</v>
      </c>
      <c r="X35" s="10">
        <v>27.07</v>
      </c>
      <c r="Y35" s="10">
        <v>27.73</v>
      </c>
      <c r="Z35" s="10">
        <v>26.85</v>
      </c>
      <c r="AA35" s="10">
        <v>26.88</v>
      </c>
      <c r="AB35" s="95">
        <v>5225600</v>
      </c>
      <c r="AC35" s="10">
        <v>26.88</v>
      </c>
      <c r="AD35" s="2">
        <f t="shared" si="0"/>
        <v>0.87999999999999901</v>
      </c>
      <c r="AE35" s="138">
        <f t="shared" si="1"/>
        <v>5.2356020942407877E-3</v>
      </c>
    </row>
    <row r="36" spans="2:31" x14ac:dyDescent="0.25">
      <c r="B36" s="195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3">
        <f t="shared" ref="H36" si="23">(E36-D36)/D36</f>
        <v>0.1736</v>
      </c>
      <c r="I36" s="40"/>
      <c r="W36" s="133">
        <v>42538</v>
      </c>
      <c r="X36" s="10">
        <v>25.93</v>
      </c>
      <c r="Y36" s="10">
        <v>26.87</v>
      </c>
      <c r="Z36" s="10">
        <v>25.93</v>
      </c>
      <c r="AA36" s="10">
        <v>26.74</v>
      </c>
      <c r="AB36" s="95">
        <v>6420700</v>
      </c>
      <c r="AC36" s="10">
        <v>26.74</v>
      </c>
      <c r="AD36" s="2">
        <f t="shared" si="0"/>
        <v>0.94000000000000128</v>
      </c>
      <c r="AE36" s="138">
        <f t="shared" si="1"/>
        <v>3.2432432432432323E-2</v>
      </c>
    </row>
    <row r="37" spans="2:31" x14ac:dyDescent="0.25">
      <c r="B37" s="195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3">
        <f t="shared" ref="H37" si="26">(E37-D37)/D37</f>
        <v>0.08</v>
      </c>
      <c r="I37" s="40"/>
      <c r="W37" s="133">
        <v>42537</v>
      </c>
      <c r="X37" s="10">
        <v>26.07</v>
      </c>
      <c r="Y37" s="10">
        <v>26.11</v>
      </c>
      <c r="Z37" s="10">
        <v>25.44</v>
      </c>
      <c r="AA37" s="10">
        <v>25.9</v>
      </c>
      <c r="AB37" s="95">
        <v>4591500</v>
      </c>
      <c r="AC37" s="10">
        <v>25.9</v>
      </c>
      <c r="AD37" s="2">
        <f t="shared" si="0"/>
        <v>0.66999999999999815</v>
      </c>
      <c r="AE37" s="138">
        <f t="shared" si="1"/>
        <v>-1.5209125475285301E-2</v>
      </c>
    </row>
    <row r="38" spans="2:31" x14ac:dyDescent="0.25">
      <c r="B38" s="195">
        <v>42584</v>
      </c>
      <c r="C38" s="10">
        <v>0</v>
      </c>
      <c r="D38" s="40"/>
      <c r="E38" s="40"/>
      <c r="F38" s="40">
        <v>287.94</v>
      </c>
      <c r="G38" s="40"/>
      <c r="H38" s="233"/>
      <c r="I38" s="40"/>
      <c r="W38" s="133">
        <v>42536</v>
      </c>
      <c r="X38" s="10">
        <v>26.4</v>
      </c>
      <c r="Y38" s="10">
        <v>27.04</v>
      </c>
      <c r="Z38" s="10">
        <v>26.24</v>
      </c>
      <c r="AA38" s="10">
        <v>26.3</v>
      </c>
      <c r="AB38" s="95">
        <v>3910300</v>
      </c>
      <c r="AC38" s="10">
        <v>26.3</v>
      </c>
      <c r="AD38" s="2">
        <f t="shared" si="0"/>
        <v>0.80000000000000071</v>
      </c>
      <c r="AE38" s="138">
        <f t="shared" si="1"/>
        <v>3.8037276530999975E-4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42535</v>
      </c>
      <c r="X39" s="10">
        <v>26.85</v>
      </c>
      <c r="Y39" s="10">
        <v>27.47</v>
      </c>
      <c r="Z39" s="10">
        <v>25.95</v>
      </c>
      <c r="AA39" s="10">
        <v>26.29</v>
      </c>
      <c r="AB39" s="95">
        <v>5589000</v>
      </c>
      <c r="AC39" s="10">
        <v>26.29</v>
      </c>
      <c r="AD39" s="2">
        <f t="shared" si="0"/>
        <v>1.5199999999999996</v>
      </c>
      <c r="AE39" s="138">
        <f t="shared" si="1"/>
        <v>-2.3039762170196987E-2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5" t="s">
        <v>78</v>
      </c>
      <c r="P40" s="525"/>
      <c r="W40" s="133">
        <v>42534</v>
      </c>
      <c r="X40" s="10">
        <v>27.22</v>
      </c>
      <c r="Y40" s="10">
        <v>28.08</v>
      </c>
      <c r="Z40" s="10">
        <v>26.89</v>
      </c>
      <c r="AA40" s="10">
        <v>26.91</v>
      </c>
      <c r="AB40" s="95">
        <v>4073000</v>
      </c>
      <c r="AC40" s="10">
        <v>26.91</v>
      </c>
      <c r="AD40" s="2">
        <f t="shared" si="0"/>
        <v>1.1899999999999977</v>
      </c>
      <c r="AE40" s="138">
        <f t="shared" si="1"/>
        <v>-2.2246941045606095E-3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31.152000000000005</v>
      </c>
      <c r="Q41" s="2"/>
      <c r="W41" s="133">
        <v>42531</v>
      </c>
      <c r="X41" s="10">
        <v>27.21</v>
      </c>
      <c r="Y41" s="10">
        <v>27.46</v>
      </c>
      <c r="Z41" s="10">
        <v>26.62</v>
      </c>
      <c r="AA41" s="10">
        <v>26.97</v>
      </c>
      <c r="AB41" s="95">
        <v>5135600</v>
      </c>
      <c r="AC41" s="10">
        <v>26.97</v>
      </c>
      <c r="AD41" s="2">
        <f t="shared" si="0"/>
        <v>0.83999999999999986</v>
      </c>
      <c r="AE41" s="138">
        <f t="shared" si="1"/>
        <v>-2.0341445695604921E-2</v>
      </c>
    </row>
    <row r="42" spans="2:31" ht="20.25" thickBot="1" x14ac:dyDescent="0.35">
      <c r="O42" s="83">
        <v>1.0900000000000001</v>
      </c>
      <c r="P42" s="83">
        <f t="shared" ref="P42:P61" si="27">O42*$Q$4</f>
        <v>30.868800000000004</v>
      </c>
      <c r="Q42" s="2"/>
      <c r="T42" s="91" t="s">
        <v>113</v>
      </c>
      <c r="W42" s="133">
        <v>42530</v>
      </c>
      <c r="X42" s="10">
        <v>28.05</v>
      </c>
      <c r="Y42" s="10">
        <v>28.13</v>
      </c>
      <c r="Z42" s="10">
        <v>27.11</v>
      </c>
      <c r="AA42" s="10">
        <v>27.53</v>
      </c>
      <c r="AB42" s="95">
        <v>5002900</v>
      </c>
      <c r="AC42" s="10">
        <v>27.53</v>
      </c>
      <c r="AD42" s="2">
        <f t="shared" si="0"/>
        <v>1.0199999999999996</v>
      </c>
      <c r="AE42" s="138">
        <f t="shared" si="1"/>
        <v>-1.7487508922198414E-2</v>
      </c>
    </row>
    <row r="43" spans="2:31" ht="15.75" thickTop="1" x14ac:dyDescent="0.25">
      <c r="O43" s="83">
        <v>1.08</v>
      </c>
      <c r="P43" s="83">
        <f t="shared" si="27"/>
        <v>30.585600000000003</v>
      </c>
      <c r="Q43" s="2"/>
      <c r="T43" s="128" t="s">
        <v>98</v>
      </c>
      <c r="U43" s="129">
        <v>26.44</v>
      </c>
      <c r="W43" s="133">
        <v>42529</v>
      </c>
      <c r="X43" s="10">
        <v>29.3</v>
      </c>
      <c r="Y43" s="10">
        <v>29.46</v>
      </c>
      <c r="Z43" s="10">
        <v>27.63</v>
      </c>
      <c r="AA43" s="10">
        <v>28.02</v>
      </c>
      <c r="AB43" s="95">
        <v>6700200</v>
      </c>
      <c r="AC43" s="10">
        <v>28.02</v>
      </c>
      <c r="AD43" s="2">
        <f t="shared" si="0"/>
        <v>1.8300000000000018</v>
      </c>
      <c r="AE43" s="138">
        <f t="shared" si="1"/>
        <v>-3.4791594901825706E-2</v>
      </c>
    </row>
    <row r="44" spans="2:31" x14ac:dyDescent="0.25">
      <c r="O44" s="83">
        <v>1.07</v>
      </c>
      <c r="P44" s="83">
        <f t="shared" si="27"/>
        <v>30.302400000000002</v>
      </c>
      <c r="Q44" s="2"/>
      <c r="T44" s="93" t="s">
        <v>99</v>
      </c>
      <c r="U44" s="130">
        <v>26.65</v>
      </c>
      <c r="W44" s="133">
        <v>42528</v>
      </c>
      <c r="X44" s="10">
        <v>28.52</v>
      </c>
      <c r="Y44" s="10">
        <v>29.39</v>
      </c>
      <c r="Z44" s="10">
        <v>28.47</v>
      </c>
      <c r="AA44" s="10">
        <v>29.03</v>
      </c>
      <c r="AB44" s="95">
        <v>6579700</v>
      </c>
      <c r="AC44" s="10">
        <v>29.03</v>
      </c>
      <c r="AD44" s="2">
        <f t="shared" si="0"/>
        <v>0.92000000000000171</v>
      </c>
      <c r="AE44" s="138">
        <f t="shared" si="1"/>
        <v>2.3624823695345576E-2</v>
      </c>
    </row>
    <row r="45" spans="2:31" x14ac:dyDescent="0.25">
      <c r="O45" s="83">
        <v>1.06</v>
      </c>
      <c r="P45" s="83">
        <f t="shared" si="27"/>
        <v>30.019200000000001</v>
      </c>
      <c r="Q45" s="2"/>
      <c r="T45" s="93" t="s">
        <v>100</v>
      </c>
      <c r="U45" s="130" t="s">
        <v>513</v>
      </c>
      <c r="W45" s="133">
        <v>42527</v>
      </c>
      <c r="X45" s="10">
        <v>26.85</v>
      </c>
      <c r="Y45" s="10">
        <v>28.49</v>
      </c>
      <c r="Z45" s="10">
        <v>26.75</v>
      </c>
      <c r="AA45" s="10">
        <v>28.36</v>
      </c>
      <c r="AB45" s="95">
        <v>7450700</v>
      </c>
      <c r="AC45" s="10">
        <v>28.36</v>
      </c>
      <c r="AD45" s="2">
        <f t="shared" si="0"/>
        <v>1.7399999999999984</v>
      </c>
      <c r="AE45" s="138">
        <f t="shared" si="1"/>
        <v>6.2172284644194775E-2</v>
      </c>
    </row>
    <row r="46" spans="2:31" x14ac:dyDescent="0.25">
      <c r="O46" s="83">
        <v>1.05</v>
      </c>
      <c r="P46" s="83">
        <f t="shared" si="27"/>
        <v>29.736000000000001</v>
      </c>
      <c r="Q46" s="2"/>
      <c r="T46" s="93" t="s">
        <v>101</v>
      </c>
      <c r="U46" s="130" t="s">
        <v>514</v>
      </c>
      <c r="W46" s="133">
        <v>42524</v>
      </c>
      <c r="X46" s="10">
        <v>25.28</v>
      </c>
      <c r="Y46" s="10">
        <v>26.73</v>
      </c>
      <c r="Z46" s="10">
        <v>25.25</v>
      </c>
      <c r="AA46" s="10">
        <v>26.7</v>
      </c>
      <c r="AB46" s="95">
        <v>6587600</v>
      </c>
      <c r="AC46" s="10">
        <v>26.7</v>
      </c>
      <c r="AD46" s="2">
        <f t="shared" si="0"/>
        <v>1.4800000000000004</v>
      </c>
      <c r="AE46" s="138">
        <f t="shared" si="1"/>
        <v>4.0935672514619936E-2</v>
      </c>
    </row>
    <row r="47" spans="2:31" x14ac:dyDescent="0.25">
      <c r="O47" s="83">
        <v>1.04</v>
      </c>
      <c r="P47" s="83">
        <f t="shared" si="27"/>
        <v>29.4528</v>
      </c>
      <c r="Q47" s="2"/>
      <c r="T47" s="93" t="s">
        <v>102</v>
      </c>
      <c r="U47" s="130">
        <v>26.01</v>
      </c>
      <c r="W47" s="133">
        <v>42523</v>
      </c>
      <c r="X47" s="10">
        <v>25.29</v>
      </c>
      <c r="Y47" s="10">
        <v>26</v>
      </c>
      <c r="Z47" s="10">
        <v>25.12</v>
      </c>
      <c r="AA47" s="10">
        <v>25.65</v>
      </c>
      <c r="AB47" s="95">
        <v>7305900</v>
      </c>
      <c r="AC47" s="10">
        <v>25.65</v>
      </c>
      <c r="AD47" s="2">
        <f t="shared" si="0"/>
        <v>0.87999999999999901</v>
      </c>
      <c r="AE47" s="138">
        <f t="shared" si="1"/>
        <v>1.6646848989298357E-2</v>
      </c>
    </row>
    <row r="48" spans="2:31" x14ac:dyDescent="0.25">
      <c r="O48" s="83">
        <v>1.03</v>
      </c>
      <c r="P48" s="83">
        <f t="shared" si="27"/>
        <v>29.169600000000003</v>
      </c>
      <c r="Q48" s="2"/>
      <c r="T48" s="93" t="s">
        <v>103</v>
      </c>
      <c r="U48" s="130">
        <v>-0.622637</v>
      </c>
      <c r="W48" s="133">
        <v>42522</v>
      </c>
      <c r="X48" s="10">
        <v>25</v>
      </c>
      <c r="Y48" s="10">
        <v>25.31</v>
      </c>
      <c r="Z48" s="10">
        <v>24.42</v>
      </c>
      <c r="AA48" s="10">
        <v>25.23</v>
      </c>
      <c r="AB48" s="95">
        <v>7758900</v>
      </c>
      <c r="AC48" s="10">
        <v>25.23</v>
      </c>
      <c r="AD48" s="2">
        <f t="shared" si="0"/>
        <v>0.88999999999999702</v>
      </c>
      <c r="AE48" s="138">
        <f t="shared" si="1"/>
        <v>0</v>
      </c>
    </row>
    <row r="49" spans="1:31" x14ac:dyDescent="0.25">
      <c r="O49" s="83">
        <v>1.02</v>
      </c>
      <c r="P49" s="83">
        <f t="shared" si="27"/>
        <v>28.886400000000002</v>
      </c>
      <c r="Q49" s="2"/>
      <c r="T49" s="93" t="s">
        <v>123</v>
      </c>
      <c r="U49" s="130" t="s">
        <v>361</v>
      </c>
      <c r="W49" s="133">
        <v>42521</v>
      </c>
      <c r="X49" s="10">
        <v>25.47</v>
      </c>
      <c r="Y49" s="10">
        <v>25.47</v>
      </c>
      <c r="Z49" s="10">
        <v>24.75</v>
      </c>
      <c r="AA49" s="10">
        <v>25.23</v>
      </c>
      <c r="AB49" s="95">
        <v>7570700</v>
      </c>
      <c r="AC49" s="10">
        <v>25.23</v>
      </c>
      <c r="AD49" s="2">
        <f t="shared" si="0"/>
        <v>0.71999999999999886</v>
      </c>
      <c r="AE49" s="138" t="e">
        <f t="shared" si="1"/>
        <v>#DIV/0!</v>
      </c>
    </row>
    <row r="50" spans="1:31" x14ac:dyDescent="0.25">
      <c r="O50" s="83">
        <v>1.01</v>
      </c>
      <c r="P50" s="83">
        <f t="shared" si="27"/>
        <v>28.603200000000001</v>
      </c>
      <c r="Q50" s="2"/>
      <c r="T50" s="93"/>
      <c r="U50" s="130"/>
      <c r="W50" s="133">
        <v>42521</v>
      </c>
      <c r="X50" s="10" t="s">
        <v>274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:31" x14ac:dyDescent="0.25">
      <c r="O51" s="83">
        <v>1</v>
      </c>
      <c r="P51" s="83">
        <f t="shared" si="27"/>
        <v>28.32</v>
      </c>
      <c r="Q51" s="2"/>
      <c r="T51" s="93" t="s">
        <v>105</v>
      </c>
      <c r="U51" s="130" t="s">
        <v>515</v>
      </c>
      <c r="W51" s="133">
        <v>42517</v>
      </c>
      <c r="X51" s="10">
        <v>26.17</v>
      </c>
      <c r="Y51" s="10">
        <v>26.27</v>
      </c>
      <c r="Z51" s="10">
        <v>25.61</v>
      </c>
      <c r="AA51" s="10">
        <v>25.69</v>
      </c>
      <c r="AB51" s="95">
        <v>3800000</v>
      </c>
      <c r="AC51" s="10">
        <v>25.42</v>
      </c>
      <c r="AD51" s="2">
        <f t="shared" si="0"/>
        <v>0.66000000000000014</v>
      </c>
      <c r="AE51" s="138">
        <f t="shared" si="1"/>
        <v>-1.6634429400386841E-2</v>
      </c>
    </row>
    <row r="52" spans="1:31" x14ac:dyDescent="0.25">
      <c r="O52" s="83">
        <v>0.99</v>
      </c>
      <c r="P52" s="83">
        <f t="shared" si="27"/>
        <v>28.036799999999999</v>
      </c>
      <c r="Q52" s="2"/>
      <c r="T52" s="93" t="s">
        <v>106</v>
      </c>
      <c r="U52" s="130" t="s">
        <v>311</v>
      </c>
      <c r="W52" s="133">
        <v>42516</v>
      </c>
      <c r="X52" s="10">
        <v>26.68</v>
      </c>
      <c r="Y52" s="10">
        <v>26.81</v>
      </c>
      <c r="Z52" s="10">
        <v>26</v>
      </c>
      <c r="AA52" s="10">
        <v>26.13</v>
      </c>
      <c r="AB52" s="95">
        <v>5229100</v>
      </c>
      <c r="AC52" s="10">
        <v>25.85</v>
      </c>
      <c r="AD52" s="2">
        <f t="shared" si="0"/>
        <v>0.80999999999999872</v>
      </c>
      <c r="AE52" s="138">
        <f t="shared" si="1"/>
        <v>-1.3735215566577641E-2</v>
      </c>
    </row>
    <row r="53" spans="1:31" x14ac:dyDescent="0.25">
      <c r="O53" s="83">
        <v>0.98</v>
      </c>
      <c r="P53" s="83">
        <f t="shared" si="27"/>
        <v>27.753599999999999</v>
      </c>
      <c r="Q53" s="2"/>
      <c r="T53" s="93" t="s">
        <v>107</v>
      </c>
      <c r="U53" s="131">
        <v>6205807</v>
      </c>
      <c r="W53" s="133">
        <v>42515</v>
      </c>
      <c r="X53" s="10">
        <v>26.14</v>
      </c>
      <c r="Y53" s="10">
        <v>26.63</v>
      </c>
      <c r="Z53" s="10">
        <v>26.03</v>
      </c>
      <c r="AA53" s="10">
        <v>26.49</v>
      </c>
      <c r="AB53" s="95">
        <v>5039200</v>
      </c>
      <c r="AC53" s="10">
        <v>26.21</v>
      </c>
      <c r="AD53" s="2">
        <f t="shared" si="0"/>
        <v>0.59999999999999787</v>
      </c>
      <c r="AE53" s="138">
        <f t="shared" si="1"/>
        <v>2.0638629283489252E-2</v>
      </c>
    </row>
    <row r="54" spans="1:31" x14ac:dyDescent="0.25">
      <c r="O54" s="83">
        <v>0.97</v>
      </c>
      <c r="P54" s="83">
        <f t="shared" si="27"/>
        <v>27.470399999999998</v>
      </c>
      <c r="T54" s="93" t="s">
        <v>110</v>
      </c>
      <c r="U54" s="131">
        <v>5594610</v>
      </c>
      <c r="W54" s="133">
        <v>42514</v>
      </c>
      <c r="X54" s="10">
        <v>26.51</v>
      </c>
      <c r="Y54" s="10">
        <v>26.59</v>
      </c>
      <c r="Z54" s="10">
        <v>25.84</v>
      </c>
      <c r="AA54" s="10">
        <v>25.96</v>
      </c>
      <c r="AB54" s="95">
        <v>4216500</v>
      </c>
      <c r="AC54" s="10">
        <v>25.68</v>
      </c>
      <c r="AD54" s="2">
        <f t="shared" si="0"/>
        <v>0.75</v>
      </c>
      <c r="AE54" s="138">
        <f t="shared" si="1"/>
        <v>-1.3446023818670771E-2</v>
      </c>
    </row>
    <row r="55" spans="1:31" x14ac:dyDescent="0.25">
      <c r="O55" s="83">
        <v>0.96</v>
      </c>
      <c r="P55" s="83">
        <f t="shared" si="27"/>
        <v>27.187200000000001</v>
      </c>
      <c r="T55" s="93" t="s">
        <v>108</v>
      </c>
      <c r="U55" s="130" t="s">
        <v>370</v>
      </c>
      <c r="W55" s="133">
        <v>42513</v>
      </c>
      <c r="X55" s="10">
        <v>25.8</v>
      </c>
      <c r="Y55" s="10">
        <v>26.72</v>
      </c>
      <c r="Z55" s="10">
        <v>25.65</v>
      </c>
      <c r="AA55" s="10">
        <v>26.31</v>
      </c>
      <c r="AB55" s="95">
        <v>4993100</v>
      </c>
      <c r="AC55" s="10">
        <v>26.03</v>
      </c>
      <c r="AD55" s="2">
        <f t="shared" si="0"/>
        <v>1.0700000000000003</v>
      </c>
      <c r="AE55" s="138">
        <f t="shared" si="1"/>
        <v>1.4419329696024885E-2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26.904</v>
      </c>
      <c r="T56" s="93" t="s">
        <v>111</v>
      </c>
      <c r="U56" s="130">
        <v>17.18</v>
      </c>
      <c r="W56" s="133">
        <v>42510</v>
      </c>
      <c r="X56" s="10">
        <v>25.78</v>
      </c>
      <c r="Y56" s="10">
        <v>26.36</v>
      </c>
      <c r="Z56" s="10">
        <v>25.7</v>
      </c>
      <c r="AA56" s="10">
        <v>25.94</v>
      </c>
      <c r="AB56" s="95">
        <v>4125100</v>
      </c>
      <c r="AC56" s="10">
        <v>25.66</v>
      </c>
      <c r="AD56" s="2">
        <f t="shared" si="0"/>
        <v>0.66000000000000014</v>
      </c>
      <c r="AE56" s="138">
        <f t="shared" si="1"/>
        <v>1.0236220472441104E-2</v>
      </c>
    </row>
    <row r="57" spans="1:31" x14ac:dyDescent="0.25">
      <c r="A57" s="508" t="s">
        <v>1</v>
      </c>
      <c r="B57" s="508" t="s">
        <v>2</v>
      </c>
      <c r="C57" s="508" t="s">
        <v>4</v>
      </c>
      <c r="D57" s="509" t="s">
        <v>5</v>
      </c>
      <c r="E57" s="509" t="s">
        <v>94</v>
      </c>
      <c r="F57" s="509" t="s">
        <v>60</v>
      </c>
      <c r="G57" s="508" t="s">
        <v>3</v>
      </c>
      <c r="H57" s="508" t="s">
        <v>6</v>
      </c>
      <c r="I57" s="509" t="s">
        <v>7</v>
      </c>
      <c r="J57" s="509" t="s">
        <v>95</v>
      </c>
      <c r="K57" s="509" t="s">
        <v>61</v>
      </c>
      <c r="L57" s="508" t="s">
        <v>37</v>
      </c>
      <c r="M57" s="508" t="s">
        <v>38</v>
      </c>
      <c r="O57" s="83">
        <v>0.94</v>
      </c>
      <c r="P57" s="83">
        <f t="shared" si="27"/>
        <v>26.620799999999999</v>
      </c>
      <c r="T57" s="93" t="s">
        <v>112</v>
      </c>
      <c r="U57" s="130">
        <v>1.59</v>
      </c>
      <c r="W57" s="133">
        <v>42509</v>
      </c>
      <c r="X57" s="10">
        <v>25.22</v>
      </c>
      <c r="Y57" s="10">
        <v>25.82</v>
      </c>
      <c r="Z57" s="10">
        <v>25.05</v>
      </c>
      <c r="AA57" s="10">
        <v>25.67</v>
      </c>
      <c r="AB57" s="95">
        <v>4506600</v>
      </c>
      <c r="AC57" s="10">
        <v>25.4</v>
      </c>
      <c r="AD57" s="2">
        <f t="shared" si="0"/>
        <v>0.76999999999999957</v>
      </c>
      <c r="AE57" s="138">
        <f t="shared" si="1"/>
        <v>1.7628205128205066E-2</v>
      </c>
    </row>
    <row r="58" spans="1:31" x14ac:dyDescent="0.25">
      <c r="A58" s="510" t="s">
        <v>271</v>
      </c>
      <c r="B58" s="511">
        <v>42548</v>
      </c>
      <c r="C58" s="512">
        <v>100</v>
      </c>
      <c r="D58" s="513">
        <v>25</v>
      </c>
      <c r="E58" s="513">
        <v>0</v>
      </c>
      <c r="F58" s="513">
        <f>D58*C58+E58</f>
        <v>2500</v>
      </c>
      <c r="G58" s="511">
        <v>42584</v>
      </c>
      <c r="H58" s="514">
        <v>100</v>
      </c>
      <c r="I58" s="513">
        <v>27.88</v>
      </c>
      <c r="J58" s="513">
        <v>0.06</v>
      </c>
      <c r="K58" s="513">
        <f>H58*I58-J58</f>
        <v>2787.94</v>
      </c>
      <c r="L58" s="511" t="s">
        <v>307</v>
      </c>
      <c r="M58" s="512"/>
      <c r="O58" s="83">
        <v>0.93</v>
      </c>
      <c r="P58" s="83">
        <f t="shared" si="27"/>
        <v>26.337600000000002</v>
      </c>
      <c r="T58" s="93" t="s">
        <v>109</v>
      </c>
      <c r="U58" s="130" t="s">
        <v>273</v>
      </c>
      <c r="W58" s="133">
        <v>42508</v>
      </c>
      <c r="X58" s="10">
        <v>25.95</v>
      </c>
      <c r="Y58" s="10">
        <v>26.55</v>
      </c>
      <c r="Z58" s="10">
        <v>25.1</v>
      </c>
      <c r="AA58" s="10">
        <v>25.23</v>
      </c>
      <c r="AB58" s="95">
        <v>4776900</v>
      </c>
      <c r="AC58" s="10">
        <v>24.96</v>
      </c>
      <c r="AD58" s="2">
        <f t="shared" si="0"/>
        <v>1.4499999999999993</v>
      </c>
      <c r="AE58" s="138">
        <f t="shared" si="1"/>
        <v>-3.703703703703709E-2</v>
      </c>
    </row>
    <row r="59" spans="1:31" x14ac:dyDescent="0.25">
      <c r="A59" s="515" t="s">
        <v>71</v>
      </c>
      <c r="B59" s="511"/>
      <c r="C59" s="512"/>
      <c r="D59" s="513"/>
      <c r="E59" s="513"/>
      <c r="F59" s="513"/>
      <c r="G59" s="512"/>
      <c r="H59" s="514"/>
      <c r="I59" s="513"/>
      <c r="J59" s="513"/>
      <c r="K59" s="513"/>
      <c r="L59" s="512"/>
      <c r="M59" s="512"/>
      <c r="O59" s="83">
        <v>0.92</v>
      </c>
      <c r="P59" s="83">
        <f t="shared" si="27"/>
        <v>26.054400000000001</v>
      </c>
      <c r="W59" s="133">
        <v>42507</v>
      </c>
      <c r="X59" s="10">
        <v>25.78</v>
      </c>
      <c r="Y59" s="10">
        <v>26.59</v>
      </c>
      <c r="Z59" s="10">
        <v>25.67</v>
      </c>
      <c r="AA59" s="10">
        <v>26.2</v>
      </c>
      <c r="AB59" s="95">
        <v>5543600</v>
      </c>
      <c r="AC59" s="10">
        <v>25.92</v>
      </c>
      <c r="AD59" s="2">
        <f t="shared" si="0"/>
        <v>0.91999999999999815</v>
      </c>
      <c r="AE59" s="138">
        <f t="shared" si="1"/>
        <v>1.5673981191222763E-2</v>
      </c>
    </row>
    <row r="60" spans="1:31" x14ac:dyDescent="0.25">
      <c r="A60" s="512"/>
      <c r="B60" s="511"/>
      <c r="C60" s="512"/>
      <c r="D60" s="513"/>
      <c r="E60" s="513"/>
      <c r="F60" s="513"/>
      <c r="G60" s="512"/>
      <c r="H60" s="514"/>
      <c r="I60" s="513"/>
      <c r="J60" s="513"/>
      <c r="K60" s="513"/>
      <c r="L60" s="512"/>
      <c r="M60" s="512"/>
      <c r="O60" s="83">
        <v>0.91</v>
      </c>
      <c r="P60" s="83">
        <f t="shared" si="27"/>
        <v>25.7712</v>
      </c>
      <c r="W60" s="133">
        <v>42506</v>
      </c>
      <c r="X60" s="10">
        <v>25.03</v>
      </c>
      <c r="Y60" s="10">
        <v>25.89</v>
      </c>
      <c r="Z60" s="10">
        <v>25.01</v>
      </c>
      <c r="AA60" s="10">
        <v>25.8</v>
      </c>
      <c r="AB60" s="95">
        <v>4577500</v>
      </c>
      <c r="AC60" s="10">
        <v>25.52</v>
      </c>
      <c r="AD60" s="2">
        <f t="shared" si="0"/>
        <v>0.87999999999999901</v>
      </c>
      <c r="AE60" s="138">
        <f t="shared" si="1"/>
        <v>3.8665038665038676E-2</v>
      </c>
    </row>
    <row r="61" spans="1:31" x14ac:dyDescent="0.25">
      <c r="A61" s="512"/>
      <c r="B61" s="511"/>
      <c r="C61" s="512"/>
      <c r="D61" s="513"/>
      <c r="E61" s="513"/>
      <c r="F61" s="513"/>
      <c r="G61" s="512"/>
      <c r="H61" s="514"/>
      <c r="I61" s="513"/>
      <c r="J61" s="513"/>
      <c r="K61" s="513"/>
      <c r="L61" s="512"/>
      <c r="M61" s="512"/>
      <c r="O61" s="83">
        <v>0.9</v>
      </c>
      <c r="P61" s="83">
        <f t="shared" si="27"/>
        <v>25.488</v>
      </c>
      <c r="W61" s="133">
        <v>42503</v>
      </c>
      <c r="X61" s="10">
        <v>25.31</v>
      </c>
      <c r="Y61" s="10">
        <v>25.6</v>
      </c>
      <c r="Z61" s="10">
        <v>24.75</v>
      </c>
      <c r="AA61" s="10">
        <v>24.84</v>
      </c>
      <c r="AB61" s="95">
        <v>4880000</v>
      </c>
      <c r="AC61" s="10">
        <v>24.57</v>
      </c>
      <c r="AD61" s="2">
        <f t="shared" si="0"/>
        <v>0.85000000000000142</v>
      </c>
      <c r="AE61" s="138">
        <f t="shared" si="1"/>
        <v>-2.3837902264600808E-2</v>
      </c>
    </row>
    <row r="62" spans="1:31" x14ac:dyDescent="0.25">
      <c r="A62" s="512"/>
      <c r="B62" s="511"/>
      <c r="C62" s="512"/>
      <c r="D62" s="513"/>
      <c r="E62" s="513"/>
      <c r="F62" s="513"/>
      <c r="G62" s="512"/>
      <c r="H62" s="514"/>
      <c r="I62" s="513"/>
      <c r="J62" s="513"/>
      <c r="K62" s="513"/>
      <c r="L62" s="512"/>
      <c r="M62" s="512"/>
      <c r="W62" s="133">
        <v>42502</v>
      </c>
      <c r="X62" s="10">
        <v>26.68</v>
      </c>
      <c r="Y62" s="10">
        <v>26.9</v>
      </c>
      <c r="Z62" s="10">
        <v>25.38</v>
      </c>
      <c r="AA62" s="10">
        <v>25.44</v>
      </c>
      <c r="AB62" s="95">
        <v>5245500</v>
      </c>
      <c r="AC62" s="10">
        <v>25.17</v>
      </c>
      <c r="AD62" s="2">
        <f t="shared" si="0"/>
        <v>1.5199999999999996</v>
      </c>
      <c r="AE62" s="138">
        <f t="shared" si="1"/>
        <v>-2.4040325707638477E-2</v>
      </c>
    </row>
    <row r="63" spans="1:31" x14ac:dyDescent="0.25">
      <c r="A63" s="512"/>
      <c r="B63" s="512"/>
      <c r="C63" s="512"/>
      <c r="D63" s="513"/>
      <c r="E63" s="513"/>
      <c r="F63" s="513"/>
      <c r="G63" s="512"/>
      <c r="H63" s="514"/>
      <c r="I63" s="513"/>
      <c r="J63" s="513"/>
      <c r="K63" s="513"/>
      <c r="L63" s="512"/>
      <c r="M63" s="512"/>
      <c r="W63" s="133">
        <v>42501</v>
      </c>
      <c r="X63" s="10">
        <v>26.05</v>
      </c>
      <c r="Y63" s="10">
        <v>26.67</v>
      </c>
      <c r="Z63" s="10">
        <v>25.67</v>
      </c>
      <c r="AA63" s="10">
        <v>26.07</v>
      </c>
      <c r="AB63" s="95">
        <v>6846100</v>
      </c>
      <c r="AC63" s="10">
        <v>25.79</v>
      </c>
      <c r="AD63" s="2">
        <f t="shared" si="0"/>
        <v>1</v>
      </c>
      <c r="AE63" s="138">
        <f t="shared" si="1"/>
        <v>3.8789759503488064E-4</v>
      </c>
    </row>
    <row r="64" spans="1:31" x14ac:dyDescent="0.25">
      <c r="A64" s="512"/>
      <c r="B64" s="512"/>
      <c r="C64" s="512"/>
      <c r="D64" s="513"/>
      <c r="E64" s="513"/>
      <c r="F64" s="513"/>
      <c r="G64" s="512"/>
      <c r="H64" s="514"/>
      <c r="I64" s="513"/>
      <c r="J64" s="513"/>
      <c r="K64" s="513"/>
      <c r="L64" s="512"/>
      <c r="M64" s="512"/>
      <c r="W64" s="133">
        <v>42500</v>
      </c>
      <c r="X64" s="10">
        <v>25.03</v>
      </c>
      <c r="Y64" s="10">
        <v>26.18</v>
      </c>
      <c r="Z64" s="10">
        <v>24.81</v>
      </c>
      <c r="AA64" s="10">
        <v>26.06</v>
      </c>
      <c r="AB64" s="95">
        <v>5092300</v>
      </c>
      <c r="AC64" s="10">
        <v>25.78</v>
      </c>
      <c r="AD64" s="2">
        <f t="shared" si="0"/>
        <v>1.370000000000001</v>
      </c>
      <c r="AE64" s="138">
        <f t="shared" si="1"/>
        <v>4.5417680454176823E-2</v>
      </c>
    </row>
    <row r="65" spans="1:31" x14ac:dyDescent="0.25">
      <c r="A65" s="512"/>
      <c r="B65" s="512"/>
      <c r="C65" s="512"/>
      <c r="D65" s="513"/>
      <c r="E65" s="513"/>
      <c r="F65" s="513"/>
      <c r="G65" s="512"/>
      <c r="H65" s="514"/>
      <c r="I65" s="513"/>
      <c r="J65" s="513"/>
      <c r="K65" s="513"/>
      <c r="L65" s="512"/>
      <c r="M65" s="512"/>
      <c r="W65" s="133">
        <v>42499</v>
      </c>
      <c r="X65" s="10">
        <v>25.74</v>
      </c>
      <c r="Y65" s="10">
        <v>25.74</v>
      </c>
      <c r="Z65" s="10">
        <v>24.91</v>
      </c>
      <c r="AA65" s="10">
        <v>24.93</v>
      </c>
      <c r="AB65" s="95">
        <v>5396600</v>
      </c>
      <c r="AC65" s="10">
        <v>24.66</v>
      </c>
      <c r="AD65" s="2">
        <f t="shared" si="0"/>
        <v>0.82999999999999829</v>
      </c>
      <c r="AE65" s="138">
        <f t="shared" si="1"/>
        <v>-4.0840140023337246E-2</v>
      </c>
    </row>
    <row r="66" spans="1:31" x14ac:dyDescent="0.25">
      <c r="A66" s="512"/>
      <c r="B66" s="512"/>
      <c r="C66" s="512"/>
      <c r="D66" s="513"/>
      <c r="E66" s="513"/>
      <c r="F66" s="513"/>
      <c r="G66" s="512"/>
      <c r="H66" s="514"/>
      <c r="I66" s="513"/>
      <c r="J66" s="513"/>
      <c r="K66" s="513"/>
      <c r="L66" s="512"/>
      <c r="M66" s="512"/>
      <c r="W66" s="133">
        <v>42496</v>
      </c>
      <c r="X66" s="10">
        <v>25.92</v>
      </c>
      <c r="Y66" s="10">
        <v>26.45</v>
      </c>
      <c r="Z66" s="10">
        <v>25.84</v>
      </c>
      <c r="AA66" s="10">
        <v>25.99</v>
      </c>
      <c r="AB66" s="95">
        <v>3612900</v>
      </c>
      <c r="AC66" s="10">
        <v>25.71</v>
      </c>
      <c r="AD66" s="2">
        <f t="shared" si="0"/>
        <v>0.60999999999999943</v>
      </c>
      <c r="AE66" s="138">
        <f t="shared" si="1"/>
        <v>-3.4883720930232176E-3</v>
      </c>
    </row>
    <row r="67" spans="1:31" x14ac:dyDescent="0.25">
      <c r="A67" s="512"/>
      <c r="B67" s="512"/>
      <c r="C67" s="512"/>
      <c r="D67" s="513"/>
      <c r="E67" s="513"/>
      <c r="F67" s="513"/>
      <c r="G67" s="512"/>
      <c r="H67" s="514"/>
      <c r="I67" s="513"/>
      <c r="J67" s="513"/>
      <c r="K67" s="513"/>
      <c r="L67" s="512"/>
      <c r="M67" s="512"/>
      <c r="W67" s="133">
        <v>42495</v>
      </c>
      <c r="X67" s="10">
        <v>27.28</v>
      </c>
      <c r="Y67" s="10">
        <v>27.33</v>
      </c>
      <c r="Z67" s="10">
        <v>25.96</v>
      </c>
      <c r="AA67" s="10">
        <v>26.08</v>
      </c>
      <c r="AB67" s="95">
        <v>6181000</v>
      </c>
      <c r="AC67" s="10">
        <v>25.8</v>
      </c>
      <c r="AD67" s="2">
        <f>Y67-Z67</f>
        <v>1.3699999999999974</v>
      </c>
      <c r="AE67" s="138" t="e">
        <f>AC67/#REF!-1</f>
        <v>#REF!</v>
      </c>
    </row>
    <row r="68" spans="1:31" x14ac:dyDescent="0.25">
      <c r="A68" s="512"/>
      <c r="B68" s="512"/>
      <c r="C68" s="512"/>
      <c r="D68" s="513"/>
      <c r="E68" s="513"/>
      <c r="F68" s="513"/>
      <c r="G68" s="512"/>
      <c r="H68" s="514"/>
      <c r="I68" s="513"/>
      <c r="J68" s="513"/>
      <c r="K68" s="513"/>
      <c r="L68" s="512"/>
      <c r="M68" s="512"/>
      <c r="W68" s="133">
        <v>42494</v>
      </c>
      <c r="X68" s="10">
        <v>27.07</v>
      </c>
      <c r="Y68" s="10">
        <v>27.89</v>
      </c>
      <c r="Z68" s="10">
        <v>26.04</v>
      </c>
      <c r="AA68" s="10">
        <v>27.11</v>
      </c>
      <c r="AB68" s="95">
        <v>7040800</v>
      </c>
      <c r="AC68" s="10">
        <v>26.82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12"/>
      <c r="B69" s="512"/>
      <c r="C69" s="512"/>
      <c r="D69" s="513"/>
      <c r="E69" s="513"/>
      <c r="F69" s="513"/>
      <c r="G69" s="512"/>
      <c r="H69" s="514"/>
      <c r="I69" s="513"/>
      <c r="J69" s="513"/>
      <c r="K69" s="513"/>
      <c r="L69" s="512"/>
      <c r="M69" s="51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12"/>
      <c r="B70" s="512"/>
      <c r="C70" s="512"/>
      <c r="D70" s="513"/>
      <c r="E70" s="513"/>
      <c r="F70" s="513"/>
      <c r="G70" s="512"/>
      <c r="H70" s="514"/>
      <c r="I70" s="513"/>
      <c r="J70" s="513"/>
      <c r="K70" s="513"/>
      <c r="L70" s="512"/>
      <c r="M70" s="512"/>
    </row>
    <row r="71" spans="1:31" x14ac:dyDescent="0.25">
      <c r="A71" s="512"/>
      <c r="B71" s="512"/>
      <c r="C71" s="512"/>
      <c r="D71" s="513"/>
      <c r="E71" s="513"/>
      <c r="F71" s="513"/>
      <c r="G71" s="512"/>
      <c r="H71" s="514"/>
      <c r="I71" s="513"/>
      <c r="J71" s="513"/>
      <c r="K71" s="513"/>
      <c r="L71" s="512"/>
      <c r="M71" s="512"/>
    </row>
    <row r="72" spans="1:31" x14ac:dyDescent="0.25">
      <c r="A72" s="512"/>
      <c r="B72" s="512"/>
      <c r="C72" s="512"/>
      <c r="D72" s="513"/>
      <c r="E72" s="513"/>
      <c r="F72" s="513"/>
      <c r="G72" s="512"/>
      <c r="H72" s="514"/>
      <c r="I72" s="513"/>
      <c r="J72" s="513"/>
      <c r="K72" s="513"/>
      <c r="L72" s="512"/>
      <c r="M72" s="512"/>
    </row>
    <row r="73" spans="1:31" x14ac:dyDescent="0.25">
      <c r="A73" s="512"/>
      <c r="B73" s="512"/>
      <c r="C73" s="512"/>
      <c r="D73" s="513"/>
      <c r="E73" s="513"/>
      <c r="F73" s="513"/>
      <c r="G73" s="512"/>
      <c r="H73" s="512"/>
      <c r="I73" s="513"/>
      <c r="J73" s="513"/>
      <c r="K73" s="513"/>
      <c r="L73" s="512"/>
      <c r="M73" s="512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16" t="s">
        <v>206</v>
      </c>
      <c r="B75" s="517"/>
      <c r="C75" s="518">
        <f>SumByColor($A$19,C58:C73)</f>
        <v>0</v>
      </c>
      <c r="D75" s="518"/>
      <c r="E75" s="518"/>
      <c r="F75" s="519">
        <f>SumByColor($A$19,F58:F73)</f>
        <v>0</v>
      </c>
      <c r="G75" s="518"/>
      <c r="H75" s="518">
        <f>SumByColor($A$19,H58:H73)</f>
        <v>0</v>
      </c>
      <c r="I75" s="518"/>
      <c r="J75" s="518"/>
      <c r="K75" s="519">
        <f>SumByColor($A$19,K58:K73)</f>
        <v>0</v>
      </c>
      <c r="L75" s="518"/>
      <c r="M75" s="519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53" priority="19">
      <formula>F38&gt;0</formula>
    </cfRule>
    <cfRule type="expression" dxfId="452" priority="20">
      <formula>F38&lt;0</formula>
    </cfRule>
  </conditionalFormatting>
  <conditionalFormatting sqref="Q7">
    <cfRule type="expression" dxfId="451" priority="7">
      <formula>Q7&gt;0</formula>
    </cfRule>
    <cfRule type="expression" dxfId="450" priority="8">
      <formula>Q7&lt;0</formula>
    </cfRule>
  </conditionalFormatting>
  <conditionalFormatting sqref="Q8">
    <cfRule type="expression" dxfId="449" priority="5">
      <formula>Q8&gt;0</formula>
    </cfRule>
    <cfRule type="expression" dxfId="448" priority="6">
      <formula>Q8&lt;0</formula>
    </cfRule>
  </conditionalFormatting>
  <conditionalFormatting sqref="F25:F37">
    <cfRule type="expression" dxfId="447" priority="3">
      <formula>F25&gt;0</formula>
    </cfRule>
    <cfRule type="expression" dxfId="446" priority="4">
      <formula>F25&lt;0</formula>
    </cfRule>
  </conditionalFormatting>
  <conditionalFormatting sqref="H25:H37">
    <cfRule type="expression" dxfId="445" priority="1">
      <formula>H25&gt;0</formula>
    </cfRule>
    <cfRule type="expression" dxfId="444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42587</v>
      </c>
      <c r="X2" s="10">
        <v>47.65</v>
      </c>
      <c r="Y2" s="10">
        <v>47.92</v>
      </c>
      <c r="Z2" s="10">
        <v>47.64</v>
      </c>
      <c r="AA2" s="10">
        <v>47.89</v>
      </c>
      <c r="AB2" s="95">
        <v>2412400</v>
      </c>
      <c r="AC2" s="10">
        <v>47.89</v>
      </c>
      <c r="AD2" s="2">
        <f>Y2-Z2</f>
        <v>0.28000000000000114</v>
      </c>
      <c r="AE2" s="138">
        <f>AC2/AC3-1</f>
        <v>3.772793963529697E-3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47.93</v>
      </c>
      <c r="T3" s="1"/>
      <c r="W3" s="133">
        <v>42586</v>
      </c>
      <c r="X3" s="10">
        <v>47.53</v>
      </c>
      <c r="Y3" s="10">
        <v>47.71</v>
      </c>
      <c r="Z3" s="10">
        <v>47.48</v>
      </c>
      <c r="AA3" s="10">
        <v>47.71</v>
      </c>
      <c r="AB3" s="95">
        <v>8029900</v>
      </c>
      <c r="AC3" s="10">
        <v>47.71</v>
      </c>
      <c r="AD3" s="2">
        <f t="shared" ref="AD3:AD66" si="0">Y3-Z3</f>
        <v>0.23000000000000398</v>
      </c>
      <c r="AE3" s="138">
        <f t="shared" ref="AE3:AE66" si="1">AC3/AC4-1</f>
        <v>4.6325542219414206E-3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47.93</v>
      </c>
      <c r="T4" s="163"/>
      <c r="U4" s="1"/>
      <c r="W4" s="133">
        <v>42585</v>
      </c>
      <c r="X4" s="10">
        <v>47.37</v>
      </c>
      <c r="Y4" s="10">
        <v>47.51</v>
      </c>
      <c r="Z4" s="10">
        <v>47.3</v>
      </c>
      <c r="AA4" s="10">
        <v>47.49</v>
      </c>
      <c r="AB4" s="95">
        <v>4263300</v>
      </c>
      <c r="AC4" s="10">
        <v>47.49</v>
      </c>
      <c r="AD4" s="2">
        <f t="shared" si="0"/>
        <v>0.21000000000000085</v>
      </c>
      <c r="AE4" s="138">
        <f t="shared" si="1"/>
        <v>-5.0282840980514498E-3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42584</v>
      </c>
      <c r="X5" s="10">
        <v>47.79</v>
      </c>
      <c r="Y5" s="10">
        <v>47.87</v>
      </c>
      <c r="Z5" s="10">
        <v>47.54</v>
      </c>
      <c r="AA5" s="10">
        <v>47.73</v>
      </c>
      <c r="AB5" s="95">
        <v>4587800</v>
      </c>
      <c r="AC5" s="10">
        <v>47.73</v>
      </c>
      <c r="AD5" s="2">
        <f t="shared" si="0"/>
        <v>0.32999999999999829</v>
      </c>
      <c r="AE5" s="138">
        <f t="shared" si="1"/>
        <v>-6.2814070351757678E-4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42583</v>
      </c>
      <c r="X6" s="10">
        <v>48.01</v>
      </c>
      <c r="Y6" s="10">
        <v>48.1</v>
      </c>
      <c r="Z6" s="10">
        <v>47.73</v>
      </c>
      <c r="AA6" s="10">
        <v>47.76</v>
      </c>
      <c r="AB6" s="95">
        <v>2955100</v>
      </c>
      <c r="AC6" s="10">
        <v>47.76</v>
      </c>
      <c r="AD6" s="2">
        <f t="shared" si="0"/>
        <v>0.37000000000000455</v>
      </c>
      <c r="AE6" s="138">
        <f t="shared" si="1"/>
        <v>-1.0770505385252704E-2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257.64999999999964</v>
      </c>
      <c r="R7">
        <v>0</v>
      </c>
      <c r="W7" s="133">
        <v>42580</v>
      </c>
      <c r="X7" s="10">
        <v>48.03</v>
      </c>
      <c r="Y7" s="10">
        <v>48.37</v>
      </c>
      <c r="Z7" s="10">
        <v>47.96</v>
      </c>
      <c r="AA7" s="10">
        <v>48.28</v>
      </c>
      <c r="AB7" s="95">
        <v>3588900</v>
      </c>
      <c r="AC7" s="10">
        <v>48.28</v>
      </c>
      <c r="AD7" s="2">
        <f t="shared" si="0"/>
        <v>0.40999999999999659</v>
      </c>
      <c r="AE7" s="138">
        <f t="shared" si="1"/>
        <v>9.1973244147156574E-3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42579</v>
      </c>
      <c r="X8" s="10">
        <v>47.84</v>
      </c>
      <c r="Y8" s="10">
        <v>47.91</v>
      </c>
      <c r="Z8" s="10">
        <v>47.57</v>
      </c>
      <c r="AA8" s="10">
        <v>47.84</v>
      </c>
      <c r="AB8" s="95">
        <v>3409900</v>
      </c>
      <c r="AC8" s="10">
        <v>47.84</v>
      </c>
      <c r="AD8" s="2">
        <f t="shared" si="0"/>
        <v>0.33999999999999631</v>
      </c>
      <c r="AE8" s="138">
        <f t="shared" si="1"/>
        <v>2.0907380305268397E-4</v>
      </c>
    </row>
    <row r="9" spans="1:31" x14ac:dyDescent="0.25">
      <c r="H9" s="72"/>
      <c r="O9" s="11" t="s">
        <v>231</v>
      </c>
      <c r="Q9" s="138">
        <f>IF(Q2=0, 0, Q8/Q6)</f>
        <v>0</v>
      </c>
      <c r="W9" s="133">
        <v>42578</v>
      </c>
      <c r="X9" s="10">
        <v>47.79</v>
      </c>
      <c r="Y9" s="10">
        <v>47.96</v>
      </c>
      <c r="Z9" s="10">
        <v>47.4</v>
      </c>
      <c r="AA9" s="10">
        <v>47.83</v>
      </c>
      <c r="AB9" s="95">
        <v>4174300</v>
      </c>
      <c r="AC9" s="10">
        <v>47.83</v>
      </c>
      <c r="AD9" s="2">
        <f t="shared" si="0"/>
        <v>0.56000000000000227</v>
      </c>
      <c r="AE9" s="138">
        <f t="shared" si="1"/>
        <v>6.947368421052591E-3</v>
      </c>
    </row>
    <row r="10" spans="1:31" x14ac:dyDescent="0.25">
      <c r="H10" s="72"/>
      <c r="O10" s="11" t="s">
        <v>230</v>
      </c>
      <c r="P10" s="34"/>
      <c r="Q10" s="2">
        <f>M53</f>
        <v>257.64999999999964</v>
      </c>
      <c r="W10" s="133">
        <v>42577</v>
      </c>
      <c r="X10" s="10">
        <v>47.45</v>
      </c>
      <c r="Y10" s="10">
        <v>47.62</v>
      </c>
      <c r="Z10" s="10">
        <v>47.29</v>
      </c>
      <c r="AA10" s="10">
        <v>47.5</v>
      </c>
      <c r="AB10" s="95">
        <v>3324400</v>
      </c>
      <c r="AC10" s="10">
        <v>47.5</v>
      </c>
      <c r="AD10" s="2">
        <f t="shared" si="0"/>
        <v>0.32999999999999829</v>
      </c>
      <c r="AE10" s="138">
        <f t="shared" si="1"/>
        <v>3.379805661174462E-3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42576</v>
      </c>
      <c r="X11" s="10">
        <v>47.36</v>
      </c>
      <c r="Y11" s="10">
        <v>47.44</v>
      </c>
      <c r="Z11" s="10">
        <v>47.17</v>
      </c>
      <c r="AA11" s="10">
        <v>47.34</v>
      </c>
      <c r="AB11" s="95">
        <v>3372200</v>
      </c>
      <c r="AC11" s="10">
        <v>47.34</v>
      </c>
      <c r="AD11" s="2">
        <f t="shared" si="0"/>
        <v>0.26999999999999602</v>
      </c>
      <c r="AE11" s="138">
        <f t="shared" si="1"/>
        <v>1.0573059843519417E-3</v>
      </c>
    </row>
    <row r="12" spans="1:31" x14ac:dyDescent="0.25">
      <c r="H12" s="72"/>
      <c r="W12" s="133">
        <v>42573</v>
      </c>
      <c r="X12" s="10">
        <v>47.35</v>
      </c>
      <c r="Y12" s="10">
        <v>47.38</v>
      </c>
      <c r="Z12" s="10">
        <v>47.17</v>
      </c>
      <c r="AA12" s="10">
        <v>47.29</v>
      </c>
      <c r="AB12" s="95">
        <v>3515800</v>
      </c>
      <c r="AC12" s="10">
        <v>47.29</v>
      </c>
      <c r="AD12" s="2">
        <f t="shared" si="0"/>
        <v>0.21000000000000085</v>
      </c>
      <c r="AE12" s="138">
        <f t="shared" si="1"/>
        <v>6.3478628861624031E-4</v>
      </c>
    </row>
    <row r="13" spans="1:31" x14ac:dyDescent="0.25">
      <c r="H13" s="72"/>
      <c r="W13" s="133">
        <v>42572</v>
      </c>
      <c r="X13" s="10">
        <v>47.27</v>
      </c>
      <c r="Y13" s="10">
        <v>47.52</v>
      </c>
      <c r="Z13" s="10">
        <v>47.18</v>
      </c>
      <c r="AA13" s="10">
        <v>47.26</v>
      </c>
      <c r="AB13" s="95">
        <v>3208100</v>
      </c>
      <c r="AC13" s="10">
        <v>47.26</v>
      </c>
      <c r="AD13" s="2">
        <f t="shared" si="0"/>
        <v>0.34000000000000341</v>
      </c>
      <c r="AE13" s="138">
        <f t="shared" si="1"/>
        <v>-2.9535864978903481E-3</v>
      </c>
    </row>
    <row r="14" spans="1:31" x14ac:dyDescent="0.25">
      <c r="H14" s="72"/>
      <c r="W14" s="133">
        <v>42571</v>
      </c>
      <c r="X14" s="10">
        <v>47.25</v>
      </c>
      <c r="Y14" s="10">
        <v>47.46</v>
      </c>
      <c r="Z14" s="10">
        <v>47.16</v>
      </c>
      <c r="AA14" s="10">
        <v>47.4</v>
      </c>
      <c r="AB14" s="95">
        <v>2976600</v>
      </c>
      <c r="AC14" s="10">
        <v>47.4</v>
      </c>
      <c r="AD14" s="2">
        <f t="shared" si="0"/>
        <v>0.30000000000000426</v>
      </c>
      <c r="AE14" s="138">
        <f t="shared" si="1"/>
        <v>9.5846645367412275E-3</v>
      </c>
    </row>
    <row r="15" spans="1:31" x14ac:dyDescent="0.25">
      <c r="H15" s="72"/>
      <c r="W15" s="133">
        <v>42570</v>
      </c>
      <c r="X15" s="10">
        <v>46.98</v>
      </c>
      <c r="Y15" s="10">
        <v>47.06</v>
      </c>
      <c r="Z15" s="10">
        <v>46.83</v>
      </c>
      <c r="AA15" s="10">
        <v>46.95</v>
      </c>
      <c r="AB15" s="95">
        <v>4647500</v>
      </c>
      <c r="AC15" s="10">
        <v>46.95</v>
      </c>
      <c r="AD15" s="2">
        <f t="shared" si="0"/>
        <v>0.23000000000000398</v>
      </c>
      <c r="AE15" s="138">
        <f t="shared" si="1"/>
        <v>-7.609384908053296E-3</v>
      </c>
    </row>
    <row r="16" spans="1:31" x14ac:dyDescent="0.25">
      <c r="H16" s="72"/>
      <c r="W16" s="133">
        <v>42569</v>
      </c>
      <c r="X16" s="10">
        <v>47.22</v>
      </c>
      <c r="Y16" s="10">
        <v>47.56</v>
      </c>
      <c r="Z16" s="10">
        <v>47.11</v>
      </c>
      <c r="AA16" s="10">
        <v>47.31</v>
      </c>
      <c r="AB16" s="95">
        <v>7433800</v>
      </c>
      <c r="AC16" s="10">
        <v>47.31</v>
      </c>
      <c r="AD16" s="2">
        <f t="shared" si="0"/>
        <v>0.45000000000000284</v>
      </c>
      <c r="AE16" s="138">
        <f t="shared" si="1"/>
        <v>1.9059720457434981E-3</v>
      </c>
    </row>
    <row r="17" spans="1:31" x14ac:dyDescent="0.25">
      <c r="W17" s="133">
        <v>42566</v>
      </c>
      <c r="X17" s="10">
        <v>47.32</v>
      </c>
      <c r="Y17" s="10">
        <v>47.39</v>
      </c>
      <c r="Z17" s="10">
        <v>47.1</v>
      </c>
      <c r="AA17" s="10">
        <v>47.22</v>
      </c>
      <c r="AB17" s="95">
        <v>10403600</v>
      </c>
      <c r="AC17" s="10">
        <v>47.22</v>
      </c>
      <c r="AD17" s="2">
        <f t="shared" si="0"/>
        <v>0.28999999999999915</v>
      </c>
      <c r="AE17" s="138">
        <f t="shared" si="1"/>
        <v>-6.1039781098716217E-3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42565</v>
      </c>
      <c r="X18" s="10">
        <v>47.54</v>
      </c>
      <c r="Y18" s="10">
        <v>47.67</v>
      </c>
      <c r="Z18" s="10">
        <v>47.43</v>
      </c>
      <c r="AA18" s="10">
        <v>47.51</v>
      </c>
      <c r="AB18" s="95">
        <v>17420400</v>
      </c>
      <c r="AC18" s="10">
        <v>47.51</v>
      </c>
      <c r="AD18" s="2">
        <f t="shared" si="0"/>
        <v>0.24000000000000199</v>
      </c>
      <c r="AE18" s="138">
        <f t="shared" si="1"/>
        <v>1.0421097405359347E-2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42564</v>
      </c>
      <c r="X19" s="10">
        <v>47.24</v>
      </c>
      <c r="Y19" s="10">
        <v>47.41</v>
      </c>
      <c r="Z19" s="10">
        <v>46.99</v>
      </c>
      <c r="AA19" s="10">
        <v>47.02</v>
      </c>
      <c r="AB19" s="95">
        <v>7892100</v>
      </c>
      <c r="AC19" s="10">
        <v>47.02</v>
      </c>
      <c r="AD19" s="2">
        <f t="shared" si="0"/>
        <v>0.4199999999999946</v>
      </c>
      <c r="AE19" s="138">
        <f t="shared" si="1"/>
        <v>0</v>
      </c>
    </row>
    <row r="20" spans="1:31" x14ac:dyDescent="0.25">
      <c r="W20" s="133">
        <v>42563</v>
      </c>
      <c r="X20" s="10">
        <v>47.07</v>
      </c>
      <c r="Y20" s="10">
        <v>47.31</v>
      </c>
      <c r="Z20" s="10">
        <v>46.99</v>
      </c>
      <c r="AA20" s="10">
        <v>47.02</v>
      </c>
      <c r="AB20" s="95">
        <v>6164700</v>
      </c>
      <c r="AC20" s="10">
        <v>47.02</v>
      </c>
      <c r="AD20" s="2">
        <f t="shared" si="0"/>
        <v>0.32000000000000028</v>
      </c>
      <c r="AE20" s="138">
        <f t="shared" si="1"/>
        <v>1.4674147604661236E-2</v>
      </c>
    </row>
    <row r="21" spans="1:31" x14ac:dyDescent="0.25">
      <c r="W21" s="133">
        <v>42562</v>
      </c>
      <c r="X21" s="10">
        <v>46.3</v>
      </c>
      <c r="Y21" s="10">
        <v>46.53</v>
      </c>
      <c r="Z21" s="10">
        <v>46.28</v>
      </c>
      <c r="AA21" s="10">
        <v>46.34</v>
      </c>
      <c r="AB21" s="95">
        <v>6794500</v>
      </c>
      <c r="AC21" s="10">
        <v>46.34</v>
      </c>
      <c r="AD21" s="2">
        <f t="shared" si="0"/>
        <v>0.25</v>
      </c>
      <c r="AE21" s="138">
        <f t="shared" si="1"/>
        <v>1.4892685063513156E-2</v>
      </c>
    </row>
    <row r="22" spans="1:31" x14ac:dyDescent="0.25">
      <c r="W22" s="133">
        <v>42559</v>
      </c>
      <c r="X22" s="10">
        <v>45.66</v>
      </c>
      <c r="Y22" s="10">
        <v>45.73</v>
      </c>
      <c r="Z22" s="10">
        <v>45.48</v>
      </c>
      <c r="AA22" s="10">
        <v>45.66</v>
      </c>
      <c r="AB22" s="95">
        <v>7459000</v>
      </c>
      <c r="AC22" s="10">
        <v>45.66</v>
      </c>
      <c r="AD22" s="2">
        <f t="shared" si="0"/>
        <v>0.25</v>
      </c>
      <c r="AE22" s="138">
        <f t="shared" si="1"/>
        <v>1.6473731077470966E-2</v>
      </c>
    </row>
    <row r="23" spans="1:31" x14ac:dyDescent="0.25">
      <c r="W23" s="133">
        <v>42558</v>
      </c>
      <c r="X23" s="10">
        <v>45.25</v>
      </c>
      <c r="Y23" s="10">
        <v>45.43</v>
      </c>
      <c r="Z23" s="10">
        <v>44.74</v>
      </c>
      <c r="AA23" s="10">
        <v>44.92</v>
      </c>
      <c r="AB23" s="95">
        <v>6712900</v>
      </c>
      <c r="AC23" s="10">
        <v>44.92</v>
      </c>
      <c r="AD23" s="2">
        <f t="shared" si="0"/>
        <v>0.68999999999999773</v>
      </c>
      <c r="AE23" s="138">
        <f t="shared" si="1"/>
        <v>-4.2119264021280856E-3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44.67</v>
      </c>
      <c r="Y24" s="10">
        <v>45.14</v>
      </c>
      <c r="Z24" s="10">
        <v>44.29</v>
      </c>
      <c r="AA24" s="10">
        <v>45.11</v>
      </c>
      <c r="AB24" s="95">
        <v>10473300</v>
      </c>
      <c r="AC24" s="10">
        <v>45.11</v>
      </c>
      <c r="AD24" s="2">
        <f t="shared" si="0"/>
        <v>0.85000000000000142</v>
      </c>
      <c r="AE24" s="138">
        <f t="shared" si="1"/>
        <v>-3.0939226519337559E-3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42556</v>
      </c>
      <c r="X25" s="10">
        <v>45.78</v>
      </c>
      <c r="Y25" s="10">
        <v>45.81</v>
      </c>
      <c r="Z25" s="10">
        <v>45.13</v>
      </c>
      <c r="AA25" s="10">
        <v>45.25</v>
      </c>
      <c r="AB25" s="95">
        <v>8668300</v>
      </c>
      <c r="AC25" s="10">
        <v>45.25</v>
      </c>
      <c r="AD25" s="2">
        <f t="shared" si="0"/>
        <v>0.67999999999999972</v>
      </c>
      <c r="AE25" s="138">
        <f t="shared" si="1"/>
        <v>-3.1464041095890405E-2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42552</v>
      </c>
      <c r="X26" s="10">
        <v>46.76</v>
      </c>
      <c r="Y26" s="10">
        <v>46.88</v>
      </c>
      <c r="Z26" s="10">
        <v>46.63</v>
      </c>
      <c r="AA26" s="10">
        <v>46.72</v>
      </c>
      <c r="AB26" s="95">
        <v>8123600</v>
      </c>
      <c r="AC26" s="10">
        <v>46.72</v>
      </c>
      <c r="AD26" s="2">
        <f t="shared" si="0"/>
        <v>0.25</v>
      </c>
      <c r="AE26" s="138">
        <f t="shared" si="1"/>
        <v>1.285897985426443E-3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42551</v>
      </c>
      <c r="X27" s="10">
        <v>45.86</v>
      </c>
      <c r="Y27" s="10">
        <v>46.66</v>
      </c>
      <c r="Z27" s="10">
        <v>45.79</v>
      </c>
      <c r="AA27" s="10">
        <v>46.66</v>
      </c>
      <c r="AB27" s="95">
        <v>12204600</v>
      </c>
      <c r="AC27" s="10">
        <v>46.66</v>
      </c>
      <c r="AD27" s="2">
        <f t="shared" si="0"/>
        <v>0.86999999999999744</v>
      </c>
      <c r="AE27" s="138">
        <f t="shared" si="1"/>
        <v>2.2124863088718527E-2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42550</v>
      </c>
      <c r="X28" s="10">
        <v>45.51</v>
      </c>
      <c r="Y28" s="10">
        <v>45.88</v>
      </c>
      <c r="Z28" s="10">
        <v>45.37</v>
      </c>
      <c r="AA28" s="10">
        <v>45.65</v>
      </c>
      <c r="AB28" s="95">
        <v>7148600</v>
      </c>
      <c r="AC28" s="10">
        <v>45.65</v>
      </c>
      <c r="AD28" s="2">
        <f t="shared" si="0"/>
        <v>0.51000000000000512</v>
      </c>
      <c r="AE28" s="138">
        <f t="shared" si="1"/>
        <v>2.0339740724184097E-2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42549</v>
      </c>
      <c r="X29" s="10">
        <v>44.53</v>
      </c>
      <c r="Y29" s="10">
        <v>44.74</v>
      </c>
      <c r="Z29" s="10">
        <v>44.12</v>
      </c>
      <c r="AA29" s="10">
        <v>44.74</v>
      </c>
      <c r="AB29" s="95">
        <v>9806000</v>
      </c>
      <c r="AC29" s="10">
        <v>44.74</v>
      </c>
      <c r="AD29" s="2">
        <f t="shared" si="0"/>
        <v>0.62000000000000455</v>
      </c>
      <c r="AE29" s="138">
        <f t="shared" si="1"/>
        <v>3.2779316712834738E-2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42548</v>
      </c>
      <c r="X30" s="10">
        <v>43.57</v>
      </c>
      <c r="Y30" s="10">
        <v>43.63</v>
      </c>
      <c r="Z30" s="10">
        <v>42.73</v>
      </c>
      <c r="AA30" s="10">
        <v>43.32</v>
      </c>
      <c r="AB30" s="95">
        <v>10904600</v>
      </c>
      <c r="AC30" s="10">
        <v>43.32</v>
      </c>
      <c r="AD30" s="2">
        <f t="shared" si="0"/>
        <v>0.90000000000000568</v>
      </c>
      <c r="AE30" s="138">
        <f t="shared" si="1"/>
        <v>-2.6079136690647431E-2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42545</v>
      </c>
      <c r="X31" s="10">
        <v>44.93</v>
      </c>
      <c r="Y31" s="10">
        <v>46.02</v>
      </c>
      <c r="Z31" s="10">
        <v>44.48</v>
      </c>
      <c r="AA31" s="10">
        <v>44.48</v>
      </c>
      <c r="AB31" s="95">
        <v>29139700</v>
      </c>
      <c r="AC31" s="10">
        <v>44.48</v>
      </c>
      <c r="AD31" s="2">
        <f t="shared" si="0"/>
        <v>1.5400000000000063</v>
      </c>
      <c r="AE31" s="138">
        <f t="shared" si="1"/>
        <v>-0.11288392500997213</v>
      </c>
    </row>
    <row r="32" spans="1:31" x14ac:dyDescent="0.25">
      <c r="B32" s="195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3">
        <f t="shared" ref="H32" si="26">(E32-D32)/D32</f>
        <v>4.3535911602209917E-2</v>
      </c>
      <c r="I32" s="40"/>
      <c r="W32" s="133">
        <v>42544</v>
      </c>
      <c r="X32" s="10">
        <v>49.74</v>
      </c>
      <c r="Y32" s="10">
        <v>50.23</v>
      </c>
      <c r="Z32" s="10">
        <v>49.27</v>
      </c>
      <c r="AA32" s="10">
        <v>50.14</v>
      </c>
      <c r="AB32" s="95">
        <v>7688300</v>
      </c>
      <c r="AC32" s="10">
        <v>50.14</v>
      </c>
      <c r="AD32" s="2">
        <f t="shared" si="0"/>
        <v>0.95999999999999375</v>
      </c>
      <c r="AE32" s="138">
        <f t="shared" si="1"/>
        <v>3.1262854792266648E-2</v>
      </c>
    </row>
    <row r="33" spans="2:31" x14ac:dyDescent="0.25">
      <c r="B33" s="195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3">
        <f t="shared" ref="H33" si="29">(E33-D33)/D33</f>
        <v>3.7569060773480725E-2</v>
      </c>
      <c r="I33" s="40"/>
      <c r="W33" s="133">
        <v>42543</v>
      </c>
      <c r="X33" s="10">
        <v>48.81</v>
      </c>
      <c r="Y33" s="10">
        <v>49.09</v>
      </c>
      <c r="Z33" s="10">
        <v>48.59</v>
      </c>
      <c r="AA33" s="10">
        <v>48.62</v>
      </c>
      <c r="AB33" s="95">
        <v>9102500</v>
      </c>
      <c r="AC33" s="10">
        <v>48.62</v>
      </c>
      <c r="AD33" s="2">
        <f t="shared" si="0"/>
        <v>0.5</v>
      </c>
      <c r="AE33" s="138">
        <f t="shared" si="1"/>
        <v>4.1152263374466536E-4</v>
      </c>
    </row>
    <row r="34" spans="2:31" x14ac:dyDescent="0.25">
      <c r="B34" s="195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3">
        <f t="shared" ref="H34" si="32">(E34-D34)/D34</f>
        <v>4.7513812154696099E-2</v>
      </c>
      <c r="I34" s="40"/>
      <c r="W34" s="133">
        <v>42542</v>
      </c>
      <c r="X34" s="10">
        <v>48.44</v>
      </c>
      <c r="Y34" s="10">
        <v>48.93</v>
      </c>
      <c r="Z34" s="10">
        <v>48.24</v>
      </c>
      <c r="AA34" s="10">
        <v>48.6</v>
      </c>
      <c r="AB34" s="95">
        <v>5259200</v>
      </c>
      <c r="AC34" s="10">
        <v>48.6</v>
      </c>
      <c r="AD34" s="2">
        <f t="shared" si="0"/>
        <v>0.68999999999999773</v>
      </c>
      <c r="AE34" s="138">
        <f t="shared" si="1"/>
        <v>9.5554632322392141E-3</v>
      </c>
    </row>
    <row r="35" spans="2:31" x14ac:dyDescent="0.25">
      <c r="B35" s="195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3">
        <f t="shared" ref="H35" si="35">(E35-D35)/D35</f>
        <v>4.4419889502762384E-2</v>
      </c>
      <c r="I35" s="40"/>
      <c r="W35" s="133">
        <v>42541</v>
      </c>
      <c r="X35" s="10">
        <v>48.49</v>
      </c>
      <c r="Y35" s="10">
        <v>48.52</v>
      </c>
      <c r="Z35" s="10">
        <v>48.12</v>
      </c>
      <c r="AA35" s="10">
        <v>48.14</v>
      </c>
      <c r="AB35" s="95">
        <v>7925800</v>
      </c>
      <c r="AC35" s="10">
        <v>48.14</v>
      </c>
      <c r="AD35" s="2">
        <f t="shared" si="0"/>
        <v>0.40000000000000568</v>
      </c>
      <c r="AE35" s="138">
        <f t="shared" si="1"/>
        <v>2.7096223597183666E-2</v>
      </c>
    </row>
    <row r="36" spans="2:31" x14ac:dyDescent="0.25">
      <c r="B36" s="195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3">
        <f t="shared" ref="H36" si="38">(E36-D36)/D36</f>
        <v>4.6187845303867478E-2</v>
      </c>
      <c r="I36" s="40"/>
      <c r="W36" s="133">
        <v>42538</v>
      </c>
      <c r="X36" s="10">
        <v>46.41</v>
      </c>
      <c r="Y36" s="10">
        <v>46.92</v>
      </c>
      <c r="Z36" s="10">
        <v>46.21</v>
      </c>
      <c r="AA36" s="10">
        <v>46.87</v>
      </c>
      <c r="AB36" s="95">
        <v>9032800</v>
      </c>
      <c r="AC36" s="10">
        <v>46.87</v>
      </c>
      <c r="AD36" s="2">
        <f t="shared" si="0"/>
        <v>0.71000000000000085</v>
      </c>
      <c r="AE36" s="138">
        <f t="shared" si="1"/>
        <v>1.7144097222222099E-2</v>
      </c>
    </row>
    <row r="37" spans="2:31" x14ac:dyDescent="0.25">
      <c r="B37" s="195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3">
        <f t="shared" ref="H37" si="41">(E37-D37)/D37</f>
        <v>0.10462547382619015</v>
      </c>
      <c r="I37" s="40"/>
      <c r="W37" s="133">
        <v>42537</v>
      </c>
      <c r="X37" s="10">
        <v>45.17</v>
      </c>
      <c r="Y37" s="10">
        <v>46.1</v>
      </c>
      <c r="Z37" s="10">
        <v>44.83</v>
      </c>
      <c r="AA37" s="10">
        <v>46.08</v>
      </c>
      <c r="AB37" s="95">
        <v>7857600</v>
      </c>
      <c r="AC37" s="10">
        <v>46.08</v>
      </c>
      <c r="AD37" s="2">
        <f t="shared" si="0"/>
        <v>1.2700000000000031</v>
      </c>
      <c r="AE37" s="138">
        <f t="shared" si="1"/>
        <v>4.7972088966419246E-3</v>
      </c>
    </row>
    <row r="38" spans="2:31" x14ac:dyDescent="0.25">
      <c r="B38" s="195">
        <v>42580</v>
      </c>
      <c r="C38" s="10">
        <v>0</v>
      </c>
      <c r="D38" s="40"/>
      <c r="E38" s="40"/>
      <c r="F38" s="40">
        <v>257.89999999999998</v>
      </c>
      <c r="G38" s="40"/>
      <c r="H38" s="233"/>
      <c r="I38" s="40"/>
      <c r="W38" s="133">
        <v>42536</v>
      </c>
      <c r="X38" s="10">
        <v>45.97</v>
      </c>
      <c r="Y38" s="10">
        <v>46.21</v>
      </c>
      <c r="Z38" s="10">
        <v>45.78</v>
      </c>
      <c r="AA38" s="10">
        <v>45.86</v>
      </c>
      <c r="AB38" s="95">
        <v>6372700</v>
      </c>
      <c r="AC38" s="10">
        <v>45.86</v>
      </c>
      <c r="AD38" s="2">
        <f t="shared" si="0"/>
        <v>0.42999999999999972</v>
      </c>
      <c r="AE38" s="138">
        <f t="shared" si="1"/>
        <v>6.36383585692335E-3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42535</v>
      </c>
      <c r="X39" s="10">
        <v>45.88</v>
      </c>
      <c r="Y39" s="10">
        <v>45.99</v>
      </c>
      <c r="Z39" s="10">
        <v>45.33</v>
      </c>
      <c r="AA39" s="10">
        <v>45.57</v>
      </c>
      <c r="AB39" s="95">
        <v>8372300</v>
      </c>
      <c r="AC39" s="10">
        <v>45.57</v>
      </c>
      <c r="AD39" s="2">
        <f t="shared" si="0"/>
        <v>0.66000000000000369</v>
      </c>
      <c r="AE39" s="138" t="e">
        <f t="shared" si="1"/>
        <v>#DIV/0!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5" t="s">
        <v>78</v>
      </c>
      <c r="P40" s="525"/>
      <c r="W40" s="133">
        <v>42535</v>
      </c>
      <c r="X40" s="10" t="s">
        <v>281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52.723000000000006</v>
      </c>
      <c r="Q41" s="2"/>
      <c r="W41" s="133">
        <v>42534</v>
      </c>
      <c r="X41" s="10">
        <v>47.51</v>
      </c>
      <c r="Y41" s="10">
        <v>47.92</v>
      </c>
      <c r="Z41" s="10">
        <v>47.27</v>
      </c>
      <c r="AA41" s="10">
        <v>47.36</v>
      </c>
      <c r="AB41" s="95">
        <v>5610400</v>
      </c>
      <c r="AC41" s="10">
        <v>46.44</v>
      </c>
      <c r="AD41" s="2">
        <f t="shared" si="0"/>
        <v>0.64999999999999858</v>
      </c>
      <c r="AE41" s="138">
        <f t="shared" si="1"/>
        <v>-1.6101694915254372E-2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52.243700000000004</v>
      </c>
      <c r="Q42" s="2"/>
      <c r="T42" s="91" t="s">
        <v>113</v>
      </c>
      <c r="W42" s="133">
        <v>42531</v>
      </c>
      <c r="X42" s="10">
        <v>48.7</v>
      </c>
      <c r="Y42" s="10">
        <v>48.73</v>
      </c>
      <c r="Z42" s="10">
        <v>48.02</v>
      </c>
      <c r="AA42" s="10">
        <v>48.14</v>
      </c>
      <c r="AB42" s="95">
        <v>4333200</v>
      </c>
      <c r="AC42" s="10">
        <v>47.2</v>
      </c>
      <c r="AD42" s="2">
        <f t="shared" si="0"/>
        <v>0.70999999999999375</v>
      </c>
      <c r="AE42" s="138">
        <f t="shared" si="1"/>
        <v>-3.3974621367171443E-2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42"/>
        <v>51.764400000000002</v>
      </c>
      <c r="Q43" s="2"/>
      <c r="T43" s="128" t="s">
        <v>98</v>
      </c>
      <c r="U43" s="98">
        <v>47.71</v>
      </c>
      <c r="W43" s="133">
        <v>42530</v>
      </c>
      <c r="X43" s="10">
        <v>49.85</v>
      </c>
      <c r="Y43" s="10">
        <v>50.03</v>
      </c>
      <c r="Z43" s="10">
        <v>49.71</v>
      </c>
      <c r="AA43" s="10">
        <v>49.83</v>
      </c>
      <c r="AB43" s="95">
        <v>2563700</v>
      </c>
      <c r="AC43" s="10">
        <v>48.86</v>
      </c>
      <c r="AD43" s="2">
        <f t="shared" si="0"/>
        <v>0.32000000000000028</v>
      </c>
      <c r="AE43" s="138">
        <f t="shared" si="1"/>
        <v>-1.4323179342344172E-2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42"/>
        <v>51.2851</v>
      </c>
      <c r="Q44" s="2"/>
      <c r="T44" s="93" t="s">
        <v>99</v>
      </c>
      <c r="U44" s="88">
        <v>47.65</v>
      </c>
      <c r="W44" s="133">
        <v>42529</v>
      </c>
      <c r="X44" s="10">
        <v>50.61</v>
      </c>
      <c r="Y44" s="10">
        <v>50.7</v>
      </c>
      <c r="Z44" s="10">
        <v>50.5</v>
      </c>
      <c r="AA44" s="10">
        <v>50.56</v>
      </c>
      <c r="AB44" s="95">
        <v>4458800</v>
      </c>
      <c r="AC44" s="10">
        <v>49.57</v>
      </c>
      <c r="AD44" s="2">
        <f t="shared" si="0"/>
        <v>0.20000000000000284</v>
      </c>
      <c r="AE44" s="138">
        <f t="shared" si="1"/>
        <v>1.4141414141413122E-3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42"/>
        <v>50.805800000000005</v>
      </c>
      <c r="Q45" s="2"/>
      <c r="T45" s="93" t="s">
        <v>100</v>
      </c>
      <c r="U45" s="88" t="s">
        <v>516</v>
      </c>
      <c r="W45" s="133">
        <v>42528</v>
      </c>
      <c r="X45" s="10">
        <v>50.52</v>
      </c>
      <c r="Y45" s="10">
        <v>50.68</v>
      </c>
      <c r="Z45" s="10">
        <v>50.45</v>
      </c>
      <c r="AA45" s="10">
        <v>50.49</v>
      </c>
      <c r="AB45" s="95">
        <v>6441300</v>
      </c>
      <c r="AC45" s="10">
        <v>49.5</v>
      </c>
      <c r="AD45" s="2">
        <f t="shared" si="0"/>
        <v>0.22999999999999687</v>
      </c>
      <c r="AE45" s="138">
        <f t="shared" si="1"/>
        <v>6.9161920260374377E-3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42"/>
        <v>50.326500000000003</v>
      </c>
      <c r="Q46" s="2"/>
      <c r="T46" s="93" t="s">
        <v>101</v>
      </c>
      <c r="U46" s="88" t="s">
        <v>517</v>
      </c>
      <c r="W46" s="133">
        <v>42527</v>
      </c>
      <c r="X46" s="10">
        <v>49.97</v>
      </c>
      <c r="Y46" s="10">
        <v>50.26</v>
      </c>
      <c r="Z46" s="10">
        <v>49.94</v>
      </c>
      <c r="AA46" s="10">
        <v>50.14</v>
      </c>
      <c r="AB46" s="95">
        <v>3202100</v>
      </c>
      <c r="AC46" s="10">
        <v>49.16</v>
      </c>
      <c r="AD46" s="2">
        <f t="shared" si="0"/>
        <v>0.32000000000000028</v>
      </c>
      <c r="AE46" s="138">
        <f t="shared" si="1"/>
        <v>2.6514378951660866E-3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49.847200000000001</v>
      </c>
      <c r="Q47" s="2"/>
      <c r="T47" s="93" t="s">
        <v>251</v>
      </c>
      <c r="U47" s="88">
        <v>47.68</v>
      </c>
      <c r="W47" s="133">
        <v>42524</v>
      </c>
      <c r="X47" s="10">
        <v>49.78</v>
      </c>
      <c r="Y47" s="10">
        <v>50.02</v>
      </c>
      <c r="Z47" s="10">
        <v>49.55</v>
      </c>
      <c r="AA47" s="10">
        <v>50.01</v>
      </c>
      <c r="AB47" s="95">
        <v>5386600</v>
      </c>
      <c r="AC47" s="10">
        <v>49.03</v>
      </c>
      <c r="AD47" s="2">
        <f t="shared" si="0"/>
        <v>0.47000000000000597</v>
      </c>
      <c r="AE47" s="138">
        <f t="shared" si="1"/>
        <v>6.5694929172654959E-3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49.367899999999999</v>
      </c>
      <c r="Q48" s="2"/>
      <c r="T48" s="93" t="s">
        <v>252</v>
      </c>
      <c r="U48" s="88" t="s">
        <v>518</v>
      </c>
      <c r="W48" s="133">
        <v>42523</v>
      </c>
      <c r="X48" s="10">
        <v>49.37</v>
      </c>
      <c r="Y48" s="10">
        <v>49.68</v>
      </c>
      <c r="Z48" s="10">
        <v>49.33</v>
      </c>
      <c r="AA48" s="10">
        <v>49.68</v>
      </c>
      <c r="AB48" s="95">
        <v>11306100</v>
      </c>
      <c r="AC48" s="10">
        <v>48.71</v>
      </c>
      <c r="AD48" s="2">
        <f t="shared" si="0"/>
        <v>0.35000000000000142</v>
      </c>
      <c r="AE48" s="138">
        <f t="shared" si="1"/>
        <v>2.8824377187564032E-3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42"/>
        <v>48.888600000000004</v>
      </c>
      <c r="Q49" s="2"/>
      <c r="T49" s="93" t="s">
        <v>253</v>
      </c>
      <c r="U49" s="470">
        <v>-6.7999999999999996E-3</v>
      </c>
      <c r="W49" s="133">
        <v>42522</v>
      </c>
      <c r="X49" s="10">
        <v>49.26</v>
      </c>
      <c r="Y49" s="10">
        <v>49.6</v>
      </c>
      <c r="Z49" s="10">
        <v>49.25</v>
      </c>
      <c r="AA49" s="10">
        <v>49.54</v>
      </c>
      <c r="AB49" s="95">
        <v>3351600</v>
      </c>
      <c r="AC49" s="10">
        <v>48.57</v>
      </c>
      <c r="AD49" s="2">
        <f t="shared" si="0"/>
        <v>0.35000000000000142</v>
      </c>
      <c r="AE49" s="138">
        <f t="shared" si="1"/>
        <v>-1.4391447368421462E-3</v>
      </c>
    </row>
    <row r="50" spans="1:31" x14ac:dyDescent="0.25">
      <c r="O50" s="83">
        <v>1.01</v>
      </c>
      <c r="P50" s="83">
        <f t="shared" si="42"/>
        <v>48.409300000000002</v>
      </c>
      <c r="Q50" s="2"/>
      <c r="T50" s="93"/>
      <c r="U50" s="88"/>
      <c r="W50" s="133">
        <v>42521</v>
      </c>
      <c r="X50" s="10">
        <v>50.13</v>
      </c>
      <c r="Y50" s="10">
        <v>50.23</v>
      </c>
      <c r="Z50" s="10">
        <v>49.48</v>
      </c>
      <c r="AA50" s="10">
        <v>49.61</v>
      </c>
      <c r="AB50" s="95">
        <v>4226000</v>
      </c>
      <c r="AC50" s="10">
        <v>48.64</v>
      </c>
      <c r="AD50" s="2">
        <f t="shared" si="0"/>
        <v>0.75</v>
      </c>
      <c r="AE50" s="138">
        <f t="shared" si="1"/>
        <v>-7.3469387755101812E-3</v>
      </c>
    </row>
    <row r="51" spans="1:31" x14ac:dyDescent="0.25">
      <c r="O51" s="83">
        <v>1</v>
      </c>
      <c r="P51" s="83">
        <f t="shared" si="42"/>
        <v>47.93</v>
      </c>
      <c r="Q51" s="2"/>
      <c r="T51" s="93" t="s">
        <v>105</v>
      </c>
      <c r="U51" s="88" t="s">
        <v>519</v>
      </c>
      <c r="W51" s="133">
        <v>42517</v>
      </c>
      <c r="X51" s="10">
        <v>50.02</v>
      </c>
      <c r="Y51" s="10">
        <v>50.09</v>
      </c>
      <c r="Z51" s="10">
        <v>49.88</v>
      </c>
      <c r="AA51" s="10">
        <v>49.97</v>
      </c>
      <c r="AB51" s="95">
        <v>4377500</v>
      </c>
      <c r="AC51" s="10">
        <v>49</v>
      </c>
      <c r="AD51" s="2">
        <f t="shared" si="0"/>
        <v>0.21000000000000085</v>
      </c>
      <c r="AE51" s="138">
        <f t="shared" si="1"/>
        <v>-2.4429967426710109E-3</v>
      </c>
    </row>
    <row r="52" spans="1:31" x14ac:dyDescent="0.25">
      <c r="O52" s="83">
        <v>0.99</v>
      </c>
      <c r="P52" s="83">
        <f t="shared" si="42"/>
        <v>47.450699999999998</v>
      </c>
      <c r="Q52" s="2"/>
      <c r="T52" s="93" t="s">
        <v>106</v>
      </c>
      <c r="U52" s="88" t="s">
        <v>330</v>
      </c>
      <c r="W52" s="133">
        <v>42516</v>
      </c>
      <c r="X52" s="10">
        <v>50.19</v>
      </c>
      <c r="Y52" s="10">
        <v>50.26</v>
      </c>
      <c r="Z52" s="10">
        <v>49.97</v>
      </c>
      <c r="AA52" s="10">
        <v>50.1</v>
      </c>
      <c r="AB52" s="95">
        <v>2557400</v>
      </c>
      <c r="AC52" s="10">
        <v>49.12</v>
      </c>
      <c r="AD52" s="2">
        <f t="shared" si="0"/>
        <v>0.28999999999999915</v>
      </c>
      <c r="AE52" s="138">
        <f t="shared" si="1"/>
        <v>3.2679738562091387E-3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46.971399999999996</v>
      </c>
      <c r="Q53" s="2"/>
      <c r="T53" s="93" t="s">
        <v>107</v>
      </c>
      <c r="U53" s="90">
        <v>2450171</v>
      </c>
      <c r="W53" s="133">
        <v>42515</v>
      </c>
      <c r="X53" s="10">
        <v>49.74</v>
      </c>
      <c r="Y53" s="10">
        <v>50</v>
      </c>
      <c r="Z53" s="10">
        <v>49.74</v>
      </c>
      <c r="AA53" s="10">
        <v>49.93</v>
      </c>
      <c r="AB53" s="95">
        <v>3403900</v>
      </c>
      <c r="AC53" s="10">
        <v>48.96</v>
      </c>
      <c r="AD53" s="2">
        <f t="shared" si="0"/>
        <v>0.25999999999999801</v>
      </c>
      <c r="AE53" s="138">
        <f t="shared" si="1"/>
        <v>1.1152416356877248E-2</v>
      </c>
    </row>
    <row r="54" spans="1:31" x14ac:dyDescent="0.25">
      <c r="A54" s="267" t="s">
        <v>1</v>
      </c>
      <c r="B54" s="267" t="s">
        <v>2</v>
      </c>
      <c r="C54" s="267" t="s">
        <v>4</v>
      </c>
      <c r="D54" s="268" t="s">
        <v>5</v>
      </c>
      <c r="E54" s="268" t="s">
        <v>94</v>
      </c>
      <c r="F54" s="268" t="s">
        <v>60</v>
      </c>
      <c r="G54" s="267" t="s">
        <v>3</v>
      </c>
      <c r="H54" s="267" t="s">
        <v>6</v>
      </c>
      <c r="I54" s="268" t="s">
        <v>7</v>
      </c>
      <c r="J54" s="268" t="s">
        <v>95</v>
      </c>
      <c r="K54" s="268" t="s">
        <v>61</v>
      </c>
      <c r="L54" s="267" t="s">
        <v>37</v>
      </c>
      <c r="M54" s="267" t="s">
        <v>38</v>
      </c>
      <c r="O54" s="83">
        <v>0.97</v>
      </c>
      <c r="P54" s="83">
        <f t="shared" si="42"/>
        <v>46.492100000000001</v>
      </c>
      <c r="T54" s="93" t="s">
        <v>110</v>
      </c>
      <c r="U54" s="90">
        <v>6180850</v>
      </c>
      <c r="W54" s="133">
        <v>42514</v>
      </c>
      <c r="X54" s="10">
        <v>48.96</v>
      </c>
      <c r="Y54" s="10">
        <v>49.46</v>
      </c>
      <c r="Z54" s="10">
        <v>48.94</v>
      </c>
      <c r="AA54" s="10">
        <v>49.38</v>
      </c>
      <c r="AB54" s="95">
        <v>10452400</v>
      </c>
      <c r="AC54" s="10">
        <v>48.42</v>
      </c>
      <c r="AD54" s="2">
        <f t="shared" si="0"/>
        <v>0.52000000000000313</v>
      </c>
      <c r="AE54" s="138">
        <f t="shared" si="1"/>
        <v>1.8725015779507581E-2</v>
      </c>
    </row>
    <row r="55" spans="1:31" x14ac:dyDescent="0.25">
      <c r="A55" s="269" t="s">
        <v>268</v>
      </c>
      <c r="B55" s="270">
        <v>42545</v>
      </c>
      <c r="C55" s="265">
        <v>100</v>
      </c>
      <c r="D55" s="266">
        <v>45.25</v>
      </c>
      <c r="E55" s="266">
        <v>0</v>
      </c>
      <c r="F55" s="266">
        <f>D55*C55+E55</f>
        <v>4525</v>
      </c>
      <c r="G55" s="270">
        <v>42577</v>
      </c>
      <c r="H55" s="271">
        <v>50</v>
      </c>
      <c r="I55" s="266">
        <v>47.5</v>
      </c>
      <c r="J55" s="266">
        <v>0.05</v>
      </c>
      <c r="K55" s="266">
        <f>H55*I55-J55</f>
        <v>2374.9499999999998</v>
      </c>
      <c r="L55" s="270" t="s">
        <v>309</v>
      </c>
      <c r="M55" s="265"/>
      <c r="O55" s="83">
        <v>0.96</v>
      </c>
      <c r="P55" s="83">
        <f t="shared" si="42"/>
        <v>46.012799999999999</v>
      </c>
      <c r="T55" s="93" t="s">
        <v>254</v>
      </c>
      <c r="U55" s="88">
        <v>16</v>
      </c>
      <c r="W55" s="133">
        <v>42513</v>
      </c>
      <c r="X55" s="10">
        <v>48.43</v>
      </c>
      <c r="Y55" s="10">
        <v>48.6</v>
      </c>
      <c r="Z55" s="10">
        <v>48.35</v>
      </c>
      <c r="AA55" s="10">
        <v>48.48</v>
      </c>
      <c r="AB55" s="95">
        <v>2771800</v>
      </c>
      <c r="AC55" s="10">
        <v>47.53</v>
      </c>
      <c r="AD55" s="2">
        <f t="shared" si="0"/>
        <v>0.25</v>
      </c>
      <c r="AE55" s="138">
        <f t="shared" si="1"/>
        <v>-2.5183630640083221E-3</v>
      </c>
    </row>
    <row r="56" spans="1:31" x14ac:dyDescent="0.25">
      <c r="A56" s="272" t="s">
        <v>71</v>
      </c>
      <c r="B56" s="270"/>
      <c r="C56" s="265"/>
      <c r="D56" s="266"/>
      <c r="E56" s="266"/>
      <c r="F56" s="266"/>
      <c r="G56" s="270">
        <v>42580</v>
      </c>
      <c r="H56" s="271">
        <v>50</v>
      </c>
      <c r="I56" s="266">
        <v>48.16</v>
      </c>
      <c r="J56" s="266">
        <v>0.3</v>
      </c>
      <c r="K56" s="266">
        <f>H56*I56-J56</f>
        <v>2407.6999999999998</v>
      </c>
      <c r="L56" s="265"/>
      <c r="M56" s="265"/>
      <c r="O56" s="83">
        <v>0.95</v>
      </c>
      <c r="P56" s="83">
        <f t="shared" si="42"/>
        <v>45.533499999999997</v>
      </c>
      <c r="T56" s="93" t="s">
        <v>255</v>
      </c>
      <c r="U56" s="88">
        <v>3.36</v>
      </c>
      <c r="W56" s="133">
        <v>42510</v>
      </c>
      <c r="X56" s="10">
        <v>48.53</v>
      </c>
      <c r="Y56" s="10">
        <v>48.7</v>
      </c>
      <c r="Z56" s="10">
        <v>48.49</v>
      </c>
      <c r="AA56" s="10">
        <v>48.6</v>
      </c>
      <c r="AB56" s="95">
        <v>2990600</v>
      </c>
      <c r="AC56" s="10">
        <v>47.65</v>
      </c>
      <c r="AD56" s="2">
        <f t="shared" si="0"/>
        <v>0.21000000000000085</v>
      </c>
      <c r="AE56" s="138">
        <f t="shared" si="1"/>
        <v>9.1063108852180719E-3</v>
      </c>
    </row>
    <row r="57" spans="1:31" x14ac:dyDescent="0.25">
      <c r="A57" s="265"/>
      <c r="B57" s="270"/>
      <c r="C57" s="265"/>
      <c r="D57" s="266"/>
      <c r="E57" s="266"/>
      <c r="F57" s="266"/>
      <c r="G57" s="265"/>
      <c r="H57" s="271"/>
      <c r="I57" s="266"/>
      <c r="J57" s="266"/>
      <c r="K57" s="266"/>
      <c r="L57" s="265"/>
      <c r="M57" s="265"/>
      <c r="O57" s="83">
        <v>0.94</v>
      </c>
      <c r="P57" s="83">
        <f t="shared" si="42"/>
        <v>45.054199999999994</v>
      </c>
      <c r="T57" s="93"/>
      <c r="U57" s="88"/>
      <c r="W57" s="133">
        <v>42509</v>
      </c>
      <c r="X57" s="10">
        <v>48.18</v>
      </c>
      <c r="Y57" s="10">
        <v>48.28</v>
      </c>
      <c r="Z57" s="10">
        <v>47.98</v>
      </c>
      <c r="AA57" s="10">
        <v>48.16</v>
      </c>
      <c r="AB57" s="95">
        <v>4192900</v>
      </c>
      <c r="AC57" s="10">
        <v>47.22</v>
      </c>
      <c r="AD57" s="2">
        <f t="shared" si="0"/>
        <v>0.30000000000000426</v>
      </c>
      <c r="AE57" s="138">
        <f t="shared" si="1"/>
        <v>-6.1039781098716217E-3</v>
      </c>
    </row>
    <row r="58" spans="1:31" x14ac:dyDescent="0.25">
      <c r="A58" s="265"/>
      <c r="B58" s="270"/>
      <c r="C58" s="265"/>
      <c r="D58" s="266"/>
      <c r="E58" s="266"/>
      <c r="F58" s="266"/>
      <c r="G58" s="265"/>
      <c r="H58" s="271"/>
      <c r="I58" s="266"/>
      <c r="J58" s="266"/>
      <c r="K58" s="266"/>
      <c r="L58" s="265"/>
      <c r="M58" s="265"/>
      <c r="O58" s="83">
        <v>0.93</v>
      </c>
      <c r="P58" s="83">
        <f t="shared" si="42"/>
        <v>44.5749</v>
      </c>
      <c r="T58" s="93"/>
      <c r="U58" s="88"/>
      <c r="W58" s="133">
        <v>42508</v>
      </c>
      <c r="X58" s="10">
        <v>48.38</v>
      </c>
      <c r="Y58" s="10">
        <v>48.92</v>
      </c>
      <c r="Z58" s="10">
        <v>48.22</v>
      </c>
      <c r="AA58" s="10">
        <v>48.46</v>
      </c>
      <c r="AB58" s="95">
        <v>5098400</v>
      </c>
      <c r="AC58" s="10">
        <v>47.51</v>
      </c>
      <c r="AD58" s="2">
        <f t="shared" si="0"/>
        <v>0.70000000000000284</v>
      </c>
      <c r="AE58" s="138">
        <f t="shared" si="1"/>
        <v>3.1672297297296037E-3</v>
      </c>
    </row>
    <row r="59" spans="1:31" x14ac:dyDescent="0.25">
      <c r="A59" s="265"/>
      <c r="B59" s="270"/>
      <c r="C59" s="265"/>
      <c r="D59" s="266"/>
      <c r="E59" s="266"/>
      <c r="F59" s="266"/>
      <c r="G59" s="265"/>
      <c r="H59" s="271"/>
      <c r="I59" s="266"/>
      <c r="J59" s="266"/>
      <c r="K59" s="266"/>
      <c r="L59" s="265"/>
      <c r="M59" s="265"/>
      <c r="O59" s="83">
        <v>0.92</v>
      </c>
      <c r="P59" s="83">
        <f t="shared" si="42"/>
        <v>44.095600000000005</v>
      </c>
      <c r="W59" s="133">
        <v>42507</v>
      </c>
      <c r="X59" s="10">
        <v>48.57</v>
      </c>
      <c r="Y59" s="10">
        <v>48.75</v>
      </c>
      <c r="Z59" s="10">
        <v>48.26</v>
      </c>
      <c r="AA59" s="10">
        <v>48.3</v>
      </c>
      <c r="AB59" s="95">
        <v>4697000</v>
      </c>
      <c r="AC59" s="10">
        <v>47.36</v>
      </c>
      <c r="AD59" s="2">
        <f t="shared" si="0"/>
        <v>0.49000000000000199</v>
      </c>
      <c r="AE59" s="138">
        <f t="shared" si="1"/>
        <v>-7.9597821533305968E-3</v>
      </c>
    </row>
    <row r="60" spans="1:31" x14ac:dyDescent="0.25">
      <c r="A60" s="265"/>
      <c r="B60" s="265"/>
      <c r="C60" s="265"/>
      <c r="D60" s="266"/>
      <c r="E60" s="266"/>
      <c r="F60" s="266"/>
      <c r="G60" s="265"/>
      <c r="H60" s="271"/>
      <c r="I60" s="266"/>
      <c r="J60" s="266"/>
      <c r="K60" s="266"/>
      <c r="L60" s="265"/>
      <c r="M60" s="265"/>
      <c r="O60" s="83">
        <v>0.91</v>
      </c>
      <c r="P60" s="83">
        <f t="shared" si="42"/>
        <v>43.616300000000003</v>
      </c>
      <c r="W60" s="133">
        <v>42506</v>
      </c>
      <c r="X60" s="10">
        <v>48.3</v>
      </c>
      <c r="Y60" s="10">
        <v>48.72</v>
      </c>
      <c r="Z60" s="10">
        <v>48.23</v>
      </c>
      <c r="AA60" s="10">
        <v>48.69</v>
      </c>
      <c r="AB60" s="95">
        <v>3364700</v>
      </c>
      <c r="AC60" s="10">
        <v>47.74</v>
      </c>
      <c r="AD60" s="2">
        <f t="shared" si="0"/>
        <v>0.49000000000000199</v>
      </c>
      <c r="AE60" s="138">
        <f t="shared" si="1"/>
        <v>1.2298558100084955E-2</v>
      </c>
    </row>
    <row r="61" spans="1:31" x14ac:dyDescent="0.25">
      <c r="A61" s="265"/>
      <c r="B61" s="265"/>
      <c r="C61" s="265"/>
      <c r="D61" s="266"/>
      <c r="E61" s="266"/>
      <c r="F61" s="266"/>
      <c r="G61" s="265"/>
      <c r="H61" s="271"/>
      <c r="I61" s="266"/>
      <c r="J61" s="266"/>
      <c r="K61" s="266"/>
      <c r="L61" s="265"/>
      <c r="M61" s="265"/>
      <c r="O61" s="83">
        <v>0.9</v>
      </c>
      <c r="P61" s="83">
        <f t="shared" si="42"/>
        <v>43.137</v>
      </c>
      <c r="W61" s="133">
        <v>42503</v>
      </c>
      <c r="X61" s="10">
        <v>48.27</v>
      </c>
      <c r="Y61" s="10">
        <v>48.52</v>
      </c>
      <c r="Z61" s="10">
        <v>48.02</v>
      </c>
      <c r="AA61" s="10">
        <v>48.1</v>
      </c>
      <c r="AB61" s="95">
        <v>3811600</v>
      </c>
      <c r="AC61" s="10">
        <v>47.16</v>
      </c>
      <c r="AD61" s="2">
        <f t="shared" si="0"/>
        <v>0.5</v>
      </c>
      <c r="AE61" s="138">
        <f t="shared" si="1"/>
        <v>-1.0283315844700991E-2</v>
      </c>
    </row>
    <row r="62" spans="1:31" x14ac:dyDescent="0.25">
      <c r="A62" s="265"/>
      <c r="B62" s="265"/>
      <c r="C62" s="265"/>
      <c r="D62" s="266"/>
      <c r="E62" s="266"/>
      <c r="F62" s="266"/>
      <c r="G62" s="265"/>
      <c r="H62" s="271"/>
      <c r="I62" s="266"/>
      <c r="J62" s="266"/>
      <c r="K62" s="266"/>
      <c r="L62" s="265"/>
      <c r="M62" s="265"/>
      <c r="W62" s="133">
        <v>42502</v>
      </c>
      <c r="X62" s="10">
        <v>49.11</v>
      </c>
      <c r="Y62" s="10">
        <v>49.16</v>
      </c>
      <c r="Z62" s="10">
        <v>48.4</v>
      </c>
      <c r="AA62" s="10">
        <v>48.6</v>
      </c>
      <c r="AB62" s="95">
        <v>3459400</v>
      </c>
      <c r="AC62" s="10">
        <v>47.65</v>
      </c>
      <c r="AD62" s="2">
        <f t="shared" si="0"/>
        <v>0.75999999999999801</v>
      </c>
      <c r="AE62" s="138">
        <f t="shared" si="1"/>
        <v>-3.1380753138074979E-3</v>
      </c>
    </row>
    <row r="63" spans="1:31" x14ac:dyDescent="0.25">
      <c r="A63" s="265"/>
      <c r="B63" s="265"/>
      <c r="C63" s="265"/>
      <c r="D63" s="266"/>
      <c r="E63" s="266"/>
      <c r="F63" s="266"/>
      <c r="G63" s="265"/>
      <c r="H63" s="271"/>
      <c r="I63" s="266"/>
      <c r="J63" s="266"/>
      <c r="K63" s="266"/>
      <c r="L63" s="265"/>
      <c r="M63" s="265"/>
      <c r="W63" s="133">
        <v>42501</v>
      </c>
      <c r="X63" s="10">
        <v>48.78</v>
      </c>
      <c r="Y63" s="10">
        <v>49.02</v>
      </c>
      <c r="Z63" s="10">
        <v>48.67</v>
      </c>
      <c r="AA63" s="10">
        <v>48.75</v>
      </c>
      <c r="AB63" s="95">
        <v>2922700</v>
      </c>
      <c r="AC63" s="10">
        <v>47.8</v>
      </c>
      <c r="AD63" s="2">
        <f t="shared" si="0"/>
        <v>0.35000000000000142</v>
      </c>
      <c r="AE63" s="138">
        <f t="shared" si="1"/>
        <v>-5.202913631633721E-3</v>
      </c>
    </row>
    <row r="64" spans="1:31" x14ac:dyDescent="0.25">
      <c r="A64" s="265"/>
      <c r="B64" s="265"/>
      <c r="C64" s="265"/>
      <c r="D64" s="266"/>
      <c r="E64" s="266"/>
      <c r="F64" s="266"/>
      <c r="G64" s="265"/>
      <c r="H64" s="271"/>
      <c r="I64" s="266"/>
      <c r="J64" s="266"/>
      <c r="K64" s="266"/>
      <c r="L64" s="265"/>
      <c r="M64" s="265"/>
      <c r="W64" s="133">
        <v>42500</v>
      </c>
      <c r="X64" s="10">
        <v>48.72</v>
      </c>
      <c r="Y64" s="10">
        <v>49.04</v>
      </c>
      <c r="Z64" s="10">
        <v>48.7</v>
      </c>
      <c r="AA64" s="10">
        <v>49.01</v>
      </c>
      <c r="AB64" s="95">
        <v>2717900</v>
      </c>
      <c r="AC64" s="10">
        <v>48.05</v>
      </c>
      <c r="AD64" s="2">
        <f t="shared" si="0"/>
        <v>0.33999999999999631</v>
      </c>
      <c r="AE64" s="138">
        <f t="shared" si="1"/>
        <v>9.8781000420344878E-3</v>
      </c>
    </row>
    <row r="65" spans="1:31" x14ac:dyDescent="0.25">
      <c r="A65" s="265"/>
      <c r="B65" s="265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42499</v>
      </c>
      <c r="X65" s="10">
        <v>48.64</v>
      </c>
      <c r="Y65" s="10">
        <v>48.77</v>
      </c>
      <c r="Z65" s="10">
        <v>48.45</v>
      </c>
      <c r="AA65" s="10">
        <v>48.53</v>
      </c>
      <c r="AB65" s="95">
        <v>1978800</v>
      </c>
      <c r="AC65" s="10">
        <v>47.58</v>
      </c>
      <c r="AD65" s="2">
        <f t="shared" si="0"/>
        <v>0.32000000000000028</v>
      </c>
      <c r="AE65" s="138">
        <f t="shared" si="1"/>
        <v>-2.3065632208010278E-3</v>
      </c>
    </row>
    <row r="66" spans="1:31" x14ac:dyDescent="0.25">
      <c r="A66" s="265"/>
      <c r="B66" s="265"/>
      <c r="C66" s="265"/>
      <c r="D66" s="266"/>
      <c r="E66" s="266"/>
      <c r="F66" s="266"/>
      <c r="G66" s="265"/>
      <c r="H66" s="271"/>
      <c r="I66" s="266"/>
      <c r="J66" s="266"/>
      <c r="K66" s="266"/>
      <c r="L66" s="265"/>
      <c r="M66" s="265"/>
      <c r="W66" s="133">
        <v>42496</v>
      </c>
      <c r="X66" s="10">
        <v>48.22</v>
      </c>
      <c r="Y66" s="10">
        <v>48.64</v>
      </c>
      <c r="Z66" s="10">
        <v>48.2</v>
      </c>
      <c r="AA66" s="10">
        <v>48.64</v>
      </c>
      <c r="AB66" s="95">
        <v>3070700</v>
      </c>
      <c r="AC66" s="10">
        <v>47.69</v>
      </c>
      <c r="AD66" s="2">
        <f t="shared" si="0"/>
        <v>0.43999999999999773</v>
      </c>
      <c r="AE66" s="138">
        <f t="shared" si="1"/>
        <v>4.0000000000000036E-3</v>
      </c>
    </row>
    <row r="67" spans="1:31" x14ac:dyDescent="0.25">
      <c r="A67" s="265"/>
      <c r="B67" s="265"/>
      <c r="C67" s="265"/>
      <c r="D67" s="266"/>
      <c r="E67" s="266"/>
      <c r="F67" s="266"/>
      <c r="G67" s="265"/>
      <c r="H67" s="271"/>
      <c r="I67" s="266"/>
      <c r="J67" s="266"/>
      <c r="K67" s="266"/>
      <c r="L67" s="265"/>
      <c r="M67" s="265"/>
      <c r="W67" s="133">
        <v>42495</v>
      </c>
      <c r="X67" s="10">
        <v>48.57</v>
      </c>
      <c r="Y67" s="10">
        <v>48.65</v>
      </c>
      <c r="Z67" s="10">
        <v>48.32</v>
      </c>
      <c r="AA67" s="10">
        <v>48.45</v>
      </c>
      <c r="AB67" s="95">
        <v>2842200</v>
      </c>
      <c r="AC67" s="10">
        <v>47.5</v>
      </c>
      <c r="AD67" s="2">
        <f>Y67-Z67</f>
        <v>0.32999999999999829</v>
      </c>
      <c r="AE67" s="138" t="e">
        <f>AC67/#REF!-1</f>
        <v>#REF!</v>
      </c>
    </row>
    <row r="68" spans="1:31" x14ac:dyDescent="0.25">
      <c r="A68" s="265"/>
      <c r="B68" s="265"/>
      <c r="C68" s="265"/>
      <c r="D68" s="266"/>
      <c r="E68" s="266"/>
      <c r="F68" s="266"/>
      <c r="G68" s="265"/>
      <c r="H68" s="271"/>
      <c r="I68" s="266"/>
      <c r="J68" s="266"/>
      <c r="K68" s="266"/>
      <c r="L68" s="265"/>
      <c r="M68" s="265"/>
      <c r="W68" s="133">
        <v>42494</v>
      </c>
      <c r="X68" s="10">
        <v>48.82</v>
      </c>
      <c r="Y68" s="10">
        <v>48.95</v>
      </c>
      <c r="Z68" s="10">
        <v>48.56</v>
      </c>
      <c r="AA68" s="10">
        <v>48.69</v>
      </c>
      <c r="AB68" s="95">
        <v>7107100</v>
      </c>
      <c r="AC68" s="10">
        <v>47.74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5"/>
      <c r="B69" s="265"/>
      <c r="C69" s="265"/>
      <c r="D69" s="266"/>
      <c r="E69" s="266"/>
      <c r="F69" s="266"/>
      <c r="G69" s="265"/>
      <c r="H69" s="271"/>
      <c r="I69" s="266"/>
      <c r="J69" s="266"/>
      <c r="K69" s="266"/>
      <c r="L69" s="265"/>
      <c r="M69" s="265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65"/>
      <c r="C70" s="265"/>
      <c r="D70" s="266"/>
      <c r="E70" s="266"/>
      <c r="F70" s="266"/>
      <c r="G70" s="265"/>
      <c r="H70" s="265"/>
      <c r="I70" s="266"/>
      <c r="J70" s="266"/>
      <c r="K70" s="266"/>
      <c r="L70" s="265"/>
      <c r="M70" s="265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96" t="s">
        <v>206</v>
      </c>
      <c r="B72" s="497"/>
      <c r="C72" s="498">
        <f>SumByColor($A$19,C55:C70)</f>
        <v>0</v>
      </c>
      <c r="D72" s="498"/>
      <c r="E72" s="498"/>
      <c r="F72" s="499">
        <f>SumByColor($A$19,F55:F70)</f>
        <v>0</v>
      </c>
      <c r="G72" s="498"/>
      <c r="H72" s="498">
        <f>SumByColor($A$19,H55:H70)</f>
        <v>0</v>
      </c>
      <c r="I72" s="498"/>
      <c r="J72" s="498"/>
      <c r="K72" s="499">
        <f>SumByColor($A$19,K55:K70)</f>
        <v>0</v>
      </c>
      <c r="L72" s="498"/>
      <c r="M72" s="499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43" priority="9">
      <formula>F39&gt;0</formula>
    </cfRule>
    <cfRule type="expression" dxfId="442" priority="10">
      <formula>F39&lt;0</formula>
    </cfRule>
  </conditionalFormatting>
  <conditionalFormatting sqref="F25:F38">
    <cfRule type="expression" dxfId="441" priority="7">
      <formula>F25&gt;0</formula>
    </cfRule>
    <cfRule type="expression" dxfId="440" priority="8">
      <formula>F25&lt;0</formula>
    </cfRule>
  </conditionalFormatting>
  <conditionalFormatting sqref="H25:H38">
    <cfRule type="expression" dxfId="439" priority="5">
      <formula>H25&gt;0</formula>
    </cfRule>
    <cfRule type="expression" dxfId="438" priority="6">
      <formula>H25&lt;0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4000</v>
      </c>
      <c r="T2" s="488">
        <v>42568</v>
      </c>
      <c r="U2" s="127" t="s">
        <v>321</v>
      </c>
      <c r="V2" s="16"/>
      <c r="W2" s="141">
        <v>42587</v>
      </c>
      <c r="X2" s="142">
        <v>14.22</v>
      </c>
      <c r="Y2" s="142">
        <v>14.78</v>
      </c>
      <c r="Z2" s="10">
        <v>14.2</v>
      </c>
      <c r="AA2" s="10">
        <v>14.52</v>
      </c>
      <c r="AB2" s="95">
        <v>29087000</v>
      </c>
      <c r="AC2" s="10">
        <v>14.52</v>
      </c>
      <c r="AD2">
        <f>Y2-Z2</f>
        <v>0.58000000000000007</v>
      </c>
      <c r="AE2" s="138">
        <f>AC2/AC3-1</f>
        <v>3.4925160370634423E-2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16.157953250000109</v>
      </c>
      <c r="W3" s="133">
        <v>42586</v>
      </c>
      <c r="X3" s="10">
        <v>13.61</v>
      </c>
      <c r="Y3" s="10">
        <v>14.2</v>
      </c>
      <c r="Z3" s="10">
        <v>13.6</v>
      </c>
      <c r="AA3" s="10">
        <v>14.03</v>
      </c>
      <c r="AB3" s="95">
        <v>23360500</v>
      </c>
      <c r="AC3" s="10">
        <v>14.03</v>
      </c>
      <c r="AD3">
        <f t="shared" ref="AD3:AD66" si="2">Y3-Z3</f>
        <v>0.59999999999999964</v>
      </c>
      <c r="AE3" s="138">
        <f t="shared" ref="AE3:AE66" si="3">AC3/AC4-1</f>
        <v>3.8490007401924542E-2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14.42</v>
      </c>
      <c r="T4" s="1"/>
      <c r="W4" s="133">
        <v>42585</v>
      </c>
      <c r="X4" s="10">
        <v>13.27</v>
      </c>
      <c r="Y4" s="10">
        <v>13.58</v>
      </c>
      <c r="Z4" s="10">
        <v>13.27</v>
      </c>
      <c r="AA4" s="10">
        <v>13.51</v>
      </c>
      <c r="AB4" s="95">
        <v>17300200</v>
      </c>
      <c r="AC4" s="10">
        <v>13.51</v>
      </c>
      <c r="AD4">
        <f t="shared" si="2"/>
        <v>0.3100000000000005</v>
      </c>
      <c r="AE4" s="138">
        <f t="shared" si="3"/>
        <v>8.208955223880654E-3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57680</v>
      </c>
      <c r="W5" s="133">
        <v>42584</v>
      </c>
      <c r="X5" s="10">
        <v>13.55</v>
      </c>
      <c r="Y5" s="10">
        <v>13.58</v>
      </c>
      <c r="Z5" s="10">
        <v>13.02</v>
      </c>
      <c r="AA5" s="10">
        <v>13.4</v>
      </c>
      <c r="AB5" s="95">
        <v>23691000</v>
      </c>
      <c r="AC5" s="10">
        <v>13.4</v>
      </c>
      <c r="AD5">
        <f t="shared" si="2"/>
        <v>0.5600000000000005</v>
      </c>
      <c r="AE5" s="138">
        <f t="shared" si="3"/>
        <v>-1.179941002949858E-2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64631.813000000431</v>
      </c>
      <c r="W6" s="133">
        <v>42583</v>
      </c>
      <c r="X6" s="10">
        <v>13.81</v>
      </c>
      <c r="Y6" s="10">
        <v>13.92</v>
      </c>
      <c r="Z6" s="10">
        <v>13.55</v>
      </c>
      <c r="AA6" s="10">
        <v>13.56</v>
      </c>
      <c r="AB6" s="95">
        <v>16336400</v>
      </c>
      <c r="AC6" s="10">
        <v>13.56</v>
      </c>
      <c r="AD6">
        <f t="shared" si="2"/>
        <v>0.36999999999999922</v>
      </c>
      <c r="AE6" s="138">
        <f t="shared" si="3"/>
        <v>-1.3100436681222738E-2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188</v>
      </c>
      <c r="Q7" s="2">
        <f>Q10+Q8</f>
        <v>-6951.8130000004312</v>
      </c>
      <c r="R7">
        <v>2500</v>
      </c>
      <c r="W7" s="133">
        <v>42580</v>
      </c>
      <c r="X7" s="10">
        <v>13.91</v>
      </c>
      <c r="Y7" s="10">
        <v>13.94</v>
      </c>
      <c r="Z7" s="10">
        <v>13.62</v>
      </c>
      <c r="AA7" s="10">
        <v>13.74</v>
      </c>
      <c r="AB7" s="95">
        <v>21768900</v>
      </c>
      <c r="AC7" s="10">
        <v>13.74</v>
      </c>
      <c r="AD7">
        <f t="shared" si="2"/>
        <v>0.32000000000000028</v>
      </c>
      <c r="AE7" s="138">
        <f t="shared" si="3"/>
        <v>-5.0687907313541336E-3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192</v>
      </c>
      <c r="P8" s="34"/>
      <c r="Q8" s="2">
        <f>K134+M134-F134+Q2*Q4</f>
        <v>-6951.8130000004312</v>
      </c>
      <c r="W8" s="133">
        <v>42579</v>
      </c>
      <c r="X8" s="10">
        <v>14.13</v>
      </c>
      <c r="Y8" s="10">
        <v>14.19</v>
      </c>
      <c r="Z8" s="10">
        <v>13.7</v>
      </c>
      <c r="AA8" s="10">
        <v>13.81</v>
      </c>
      <c r="AB8" s="95">
        <v>25431700</v>
      </c>
      <c r="AC8" s="10">
        <v>13.81</v>
      </c>
      <c r="AD8">
        <f t="shared" si="2"/>
        <v>0.49000000000000021</v>
      </c>
      <c r="AE8" s="138">
        <f t="shared" si="3"/>
        <v>-2.6779422128259234E-2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231</v>
      </c>
      <c r="Q9" s="138">
        <f>IF(Q2=0, 0, Q8/Q6)</f>
        <v>-0.10756023508114161</v>
      </c>
      <c r="W9" s="133">
        <v>42578</v>
      </c>
      <c r="X9" s="10">
        <v>14.85</v>
      </c>
      <c r="Y9" s="10">
        <v>14.89</v>
      </c>
      <c r="Z9" s="10">
        <v>14.06</v>
      </c>
      <c r="AA9" s="10">
        <v>14.19</v>
      </c>
      <c r="AB9" s="95">
        <v>34907100</v>
      </c>
      <c r="AC9" s="10">
        <v>14.19</v>
      </c>
      <c r="AD9">
        <f t="shared" si="2"/>
        <v>0.83000000000000007</v>
      </c>
      <c r="AE9" s="138">
        <f t="shared" si="3"/>
        <v>-3.2719836400817992E-2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230</v>
      </c>
      <c r="P10" s="34"/>
      <c r="Q10" s="2">
        <f>M35</f>
        <v>0</v>
      </c>
      <c r="T10" s="11"/>
      <c r="W10" s="133">
        <v>42577</v>
      </c>
      <c r="X10" s="10">
        <v>14</v>
      </c>
      <c r="Y10" s="10">
        <v>14.69</v>
      </c>
      <c r="Z10" s="10">
        <v>13.93</v>
      </c>
      <c r="AA10" s="10">
        <v>14.67</v>
      </c>
      <c r="AB10" s="95">
        <v>38781600</v>
      </c>
      <c r="AC10" s="10">
        <v>14.67</v>
      </c>
      <c r="AD10">
        <f t="shared" si="2"/>
        <v>0.75999999999999979</v>
      </c>
      <c r="AE10" s="138">
        <f t="shared" si="3"/>
        <v>5.3879310344827624E-2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42576</v>
      </c>
      <c r="X11" s="10">
        <v>14</v>
      </c>
      <c r="Y11" s="10">
        <v>14.33</v>
      </c>
      <c r="Z11" s="10">
        <v>13.88</v>
      </c>
      <c r="AA11" s="10">
        <v>13.92</v>
      </c>
      <c r="AB11" s="95">
        <v>51276100</v>
      </c>
      <c r="AC11" s="10">
        <v>13.92</v>
      </c>
      <c r="AD11">
        <f t="shared" si="2"/>
        <v>0.44999999999999929</v>
      </c>
      <c r="AE11" s="138">
        <f t="shared" si="3"/>
        <v>6.0167555217060187E-2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42573</v>
      </c>
      <c r="X12" s="10">
        <v>13.21</v>
      </c>
      <c r="Y12" s="10">
        <v>13.23</v>
      </c>
      <c r="Z12" s="10">
        <v>13.02</v>
      </c>
      <c r="AA12" s="10">
        <v>13.13</v>
      </c>
      <c r="AB12" s="95">
        <v>18729100</v>
      </c>
      <c r="AC12" s="10">
        <v>13.13</v>
      </c>
      <c r="AD12">
        <f t="shared" si="2"/>
        <v>0.21000000000000085</v>
      </c>
      <c r="AE12" s="138">
        <f t="shared" si="3"/>
        <v>-3.793626707131903E-3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32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42572</v>
      </c>
      <c r="X13" s="10">
        <v>13.48</v>
      </c>
      <c r="Y13" s="10">
        <v>13.5</v>
      </c>
      <c r="Z13" s="10">
        <v>13.08</v>
      </c>
      <c r="AA13" s="10">
        <v>13.18</v>
      </c>
      <c r="AB13" s="95">
        <v>16657000</v>
      </c>
      <c r="AC13" s="10">
        <v>13.18</v>
      </c>
      <c r="AD13">
        <f t="shared" si="2"/>
        <v>0.41999999999999993</v>
      </c>
      <c r="AE13" s="138">
        <f t="shared" si="3"/>
        <v>-3.0169242089771897E-2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32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42571</v>
      </c>
      <c r="X14" s="10">
        <v>13.33</v>
      </c>
      <c r="Y14" s="10">
        <v>13.62</v>
      </c>
      <c r="Z14" s="10">
        <v>13.24</v>
      </c>
      <c r="AA14" s="10">
        <v>13.59</v>
      </c>
      <c r="AB14" s="95">
        <v>35666000</v>
      </c>
      <c r="AC14" s="10">
        <v>13.59</v>
      </c>
      <c r="AD14">
        <f t="shared" si="2"/>
        <v>0.37999999999999901</v>
      </c>
      <c r="AE14" s="138">
        <f t="shared" si="3"/>
        <v>2.7987897125567152E-2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42570</v>
      </c>
      <c r="X15" s="10">
        <v>13.22</v>
      </c>
      <c r="Y15" s="10">
        <v>13.26</v>
      </c>
      <c r="Z15" s="10">
        <v>13.05</v>
      </c>
      <c r="AA15" s="10">
        <v>13.22</v>
      </c>
      <c r="AB15" s="95">
        <v>30569900</v>
      </c>
      <c r="AC15" s="10">
        <v>13.22</v>
      </c>
      <c r="AD15">
        <f t="shared" si="2"/>
        <v>0.20999999999999908</v>
      </c>
      <c r="AE15" s="138">
        <f t="shared" si="3"/>
        <v>-8.9955022488754643E-3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42569</v>
      </c>
      <c r="X16" s="10">
        <v>13.25</v>
      </c>
      <c r="Y16" s="10">
        <v>13.36</v>
      </c>
      <c r="Z16" s="10">
        <v>13.09</v>
      </c>
      <c r="AA16" s="10">
        <v>13.34</v>
      </c>
      <c r="AB16" s="95">
        <v>17180500</v>
      </c>
      <c r="AC16" s="10">
        <v>13.34</v>
      </c>
      <c r="AD16">
        <f t="shared" si="2"/>
        <v>0.26999999999999957</v>
      </c>
      <c r="AE16" s="138">
        <f t="shared" si="3"/>
        <v>1.5993907083015957E-2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42566</v>
      </c>
      <c r="X17" s="10">
        <v>13.31</v>
      </c>
      <c r="Y17" s="10">
        <v>13.5</v>
      </c>
      <c r="Z17" s="10">
        <v>13.04</v>
      </c>
      <c r="AA17" s="10">
        <v>13.13</v>
      </c>
      <c r="AB17" s="95">
        <v>18046200</v>
      </c>
      <c r="AC17" s="10">
        <v>13.13</v>
      </c>
      <c r="AD17">
        <f t="shared" si="2"/>
        <v>0.46000000000000085</v>
      </c>
      <c r="AE17" s="138">
        <f t="shared" si="3"/>
        <v>-1.2039127163280594E-2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42565</v>
      </c>
      <c r="X18" s="10">
        <v>13.5</v>
      </c>
      <c r="Y18" s="10">
        <v>13.55</v>
      </c>
      <c r="Z18" s="10">
        <v>13.27</v>
      </c>
      <c r="AA18" s="10">
        <v>13.29</v>
      </c>
      <c r="AB18" s="95">
        <v>18698900</v>
      </c>
      <c r="AC18" s="10">
        <v>13.29</v>
      </c>
      <c r="AD18">
        <f t="shared" si="2"/>
        <v>0.28000000000000114</v>
      </c>
      <c r="AE18" s="138">
        <f t="shared" si="3"/>
        <v>0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42564</v>
      </c>
      <c r="X19" s="10">
        <v>13.24</v>
      </c>
      <c r="Y19" s="10">
        <v>13.39</v>
      </c>
      <c r="Z19" s="10">
        <v>13.07</v>
      </c>
      <c r="AA19" s="10">
        <v>13.29</v>
      </c>
      <c r="AB19" s="95">
        <v>23067400</v>
      </c>
      <c r="AC19" s="10">
        <v>13.29</v>
      </c>
      <c r="AD19">
        <f t="shared" si="2"/>
        <v>0.32000000000000028</v>
      </c>
      <c r="AE19" s="138">
        <f t="shared" si="3"/>
        <v>4.5351473922901064E-3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42563</v>
      </c>
      <c r="X20" s="10">
        <v>13</v>
      </c>
      <c r="Y20" s="10">
        <v>13.46</v>
      </c>
      <c r="Z20" s="10">
        <v>12.98</v>
      </c>
      <c r="AA20" s="10">
        <v>13.23</v>
      </c>
      <c r="AB20" s="95">
        <v>35226800</v>
      </c>
      <c r="AC20" s="10">
        <v>13.23</v>
      </c>
      <c r="AD20">
        <f t="shared" si="2"/>
        <v>0.48000000000000043</v>
      </c>
      <c r="AE20" s="138">
        <f t="shared" si="3"/>
        <v>4.6677215189873333E-2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42562</v>
      </c>
      <c r="X21" s="10">
        <v>12.79</v>
      </c>
      <c r="Y21" s="10">
        <v>12.98</v>
      </c>
      <c r="Z21" s="10">
        <v>12.61</v>
      </c>
      <c r="AA21" s="10">
        <v>12.64</v>
      </c>
      <c r="AB21" s="95">
        <v>22797100</v>
      </c>
      <c r="AC21" s="10">
        <v>12.64</v>
      </c>
      <c r="AD21">
        <f t="shared" si="2"/>
        <v>0.37000000000000099</v>
      </c>
      <c r="AE21" s="138">
        <f t="shared" si="3"/>
        <v>1.5847860538829028E-3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42559</v>
      </c>
      <c r="X22" s="10">
        <v>12.39</v>
      </c>
      <c r="Y22" s="10">
        <v>12.72</v>
      </c>
      <c r="Z22" s="10">
        <v>12.38</v>
      </c>
      <c r="AA22" s="10">
        <v>12.62</v>
      </c>
      <c r="AB22" s="95">
        <v>27955700</v>
      </c>
      <c r="AC22" s="10">
        <v>12.62</v>
      </c>
      <c r="AD22">
        <f t="shared" si="2"/>
        <v>0.33999999999999986</v>
      </c>
      <c r="AE22" s="138">
        <f t="shared" si="3"/>
        <v>3.4426229508196737E-2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42558</v>
      </c>
      <c r="X23" s="10">
        <v>11.9</v>
      </c>
      <c r="Y23" s="10">
        <v>12.55</v>
      </c>
      <c r="Z23" s="10">
        <v>11.89</v>
      </c>
      <c r="AA23" s="10">
        <v>12.2</v>
      </c>
      <c r="AB23" s="95">
        <v>33457100</v>
      </c>
      <c r="AC23" s="10">
        <v>12.2</v>
      </c>
      <c r="AD23">
        <f t="shared" si="2"/>
        <v>0.66000000000000014</v>
      </c>
      <c r="AE23" s="138">
        <f t="shared" si="3"/>
        <v>4.0068201193520725E-2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42557</v>
      </c>
      <c r="X24" s="10">
        <v>11.76</v>
      </c>
      <c r="Y24" s="10">
        <v>11.85</v>
      </c>
      <c r="Z24" s="10">
        <v>11.5</v>
      </c>
      <c r="AA24" s="10">
        <v>11.73</v>
      </c>
      <c r="AB24" s="95">
        <v>35747800</v>
      </c>
      <c r="AC24" s="10">
        <v>11.73</v>
      </c>
      <c r="AD24">
        <f t="shared" si="2"/>
        <v>0.34999999999999964</v>
      </c>
      <c r="AE24" s="138">
        <f t="shared" si="3"/>
        <v>-1.5113350125944613E-2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42556</v>
      </c>
      <c r="X25" s="10">
        <v>12.38</v>
      </c>
      <c r="Y25" s="10">
        <v>12.45</v>
      </c>
      <c r="Z25" s="10">
        <v>11.8</v>
      </c>
      <c r="AA25" s="10">
        <v>11.91</v>
      </c>
      <c r="AB25" s="95">
        <v>37298900</v>
      </c>
      <c r="AC25" s="10">
        <v>11.91</v>
      </c>
      <c r="AD25">
        <f t="shared" si="2"/>
        <v>0.64999999999999858</v>
      </c>
      <c r="AE25" s="138">
        <f t="shared" si="3"/>
        <v>-4.720000000000002E-2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42552</v>
      </c>
      <c r="X26" s="10">
        <v>12.58</v>
      </c>
      <c r="Y26" s="10">
        <v>12.9</v>
      </c>
      <c r="Z26" s="10">
        <v>12.31</v>
      </c>
      <c r="AA26" s="10">
        <v>12.5</v>
      </c>
      <c r="AB26" s="95">
        <v>68847100</v>
      </c>
      <c r="AC26" s="10">
        <v>12.5</v>
      </c>
      <c r="AD26">
        <f t="shared" si="2"/>
        <v>0.58999999999999986</v>
      </c>
      <c r="AE26" s="138">
        <f t="shared" si="3"/>
        <v>-9.1569767441860406E-2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42551</v>
      </c>
      <c r="X27" s="10">
        <v>13.34</v>
      </c>
      <c r="Y27" s="10">
        <v>13.78</v>
      </c>
      <c r="Z27" s="10">
        <v>13.22</v>
      </c>
      <c r="AA27" s="10">
        <v>13.76</v>
      </c>
      <c r="AB27" s="95">
        <v>48486100</v>
      </c>
      <c r="AC27" s="10">
        <v>13.76</v>
      </c>
      <c r="AD27">
        <f t="shared" si="2"/>
        <v>0.55999999999999872</v>
      </c>
      <c r="AE27" s="138">
        <f t="shared" si="3"/>
        <v>4.321455648218353E-2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42550</v>
      </c>
      <c r="X28" s="10">
        <v>13.3</v>
      </c>
      <c r="Y28" s="10">
        <v>13.42</v>
      </c>
      <c r="Z28" s="10">
        <v>12.94</v>
      </c>
      <c r="AA28" s="10">
        <v>13.19</v>
      </c>
      <c r="AB28" s="95">
        <v>36879800</v>
      </c>
      <c r="AC28" s="10">
        <v>13.19</v>
      </c>
      <c r="AD28">
        <f t="shared" si="2"/>
        <v>0.48000000000000043</v>
      </c>
      <c r="AE28" s="138">
        <f t="shared" si="3"/>
        <v>1.5396458814472602E-2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531" t="s">
        <v>190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42549</v>
      </c>
      <c r="X29" s="10">
        <v>12.64</v>
      </c>
      <c r="Y29" s="10">
        <v>13.05</v>
      </c>
      <c r="Z29" s="10">
        <v>12.62</v>
      </c>
      <c r="AA29" s="10">
        <v>12.99</v>
      </c>
      <c r="AB29" s="95">
        <v>34838100</v>
      </c>
      <c r="AC29" s="10">
        <v>12.99</v>
      </c>
      <c r="AD29">
        <f t="shared" si="2"/>
        <v>0.43000000000000149</v>
      </c>
      <c r="AE29" s="138">
        <f t="shared" si="3"/>
        <v>6.214227309893694E-2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531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42548</v>
      </c>
      <c r="X30" s="10">
        <v>13.13</v>
      </c>
      <c r="Y30" s="10">
        <v>13.24</v>
      </c>
      <c r="Z30" s="10">
        <v>12.1</v>
      </c>
      <c r="AA30" s="10">
        <v>12.23</v>
      </c>
      <c r="AB30" s="95">
        <v>45700500</v>
      </c>
      <c r="AC30" s="10">
        <v>12.23</v>
      </c>
      <c r="AD30">
        <f t="shared" si="2"/>
        <v>1.1400000000000006</v>
      </c>
      <c r="AE30" s="138">
        <f t="shared" si="3"/>
        <v>-7.4186222558667692E-2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531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42545</v>
      </c>
      <c r="X31" s="10">
        <v>13.5</v>
      </c>
      <c r="Y31" s="10">
        <v>13.85</v>
      </c>
      <c r="Z31" s="10">
        <v>13.13</v>
      </c>
      <c r="AA31" s="10">
        <v>13.21</v>
      </c>
      <c r="AB31" s="95">
        <v>77486100</v>
      </c>
      <c r="AC31" s="10">
        <v>13.21</v>
      </c>
      <c r="AD31">
        <f t="shared" si="2"/>
        <v>0.71999999999999886</v>
      </c>
      <c r="AE31" s="138">
        <f t="shared" si="3"/>
        <v>-5.9786476868327387E-2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531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42544</v>
      </c>
      <c r="X32" s="10">
        <v>13.41</v>
      </c>
      <c r="Y32" s="10">
        <v>14.16</v>
      </c>
      <c r="Z32" s="10">
        <v>13.41</v>
      </c>
      <c r="AA32" s="10">
        <v>14.05</v>
      </c>
      <c r="AB32" s="95">
        <v>71203000</v>
      </c>
      <c r="AC32" s="10">
        <v>14.05</v>
      </c>
      <c r="AD32">
        <f t="shared" si="2"/>
        <v>0.75</v>
      </c>
      <c r="AE32" s="138">
        <f t="shared" si="3"/>
        <v>0.10455974842767302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42543</v>
      </c>
      <c r="X33" s="10">
        <v>12.78</v>
      </c>
      <c r="Y33" s="10">
        <v>13.04</v>
      </c>
      <c r="Z33" s="10">
        <v>12.67</v>
      </c>
      <c r="AA33" s="10">
        <v>12.72</v>
      </c>
      <c r="AB33" s="95">
        <v>26968200</v>
      </c>
      <c r="AC33" s="10">
        <v>12.72</v>
      </c>
      <c r="AD33">
        <f t="shared" si="2"/>
        <v>0.36999999999999922</v>
      </c>
      <c r="AE33" s="138">
        <f t="shared" si="3"/>
        <v>-2.3529411764705577E-3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42542</v>
      </c>
      <c r="X34" s="10">
        <v>12.54</v>
      </c>
      <c r="Y34" s="10">
        <v>12.83</v>
      </c>
      <c r="Z34" s="10">
        <v>12.42</v>
      </c>
      <c r="AA34" s="10">
        <v>12.75</v>
      </c>
      <c r="AB34" s="95">
        <v>25060500</v>
      </c>
      <c r="AC34" s="10">
        <v>12.75</v>
      </c>
      <c r="AD34">
        <f t="shared" si="2"/>
        <v>0.41000000000000014</v>
      </c>
      <c r="AE34" s="138">
        <f t="shared" si="3"/>
        <v>3.490259740259738E-2</v>
      </c>
    </row>
    <row r="35" spans="2:41" x14ac:dyDescent="0.25">
      <c r="B35" s="74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42541</v>
      </c>
      <c r="X35" s="10">
        <v>12.51</v>
      </c>
      <c r="Y35" s="10">
        <v>12.66</v>
      </c>
      <c r="Z35" s="10">
        <v>12.29</v>
      </c>
      <c r="AA35" s="10">
        <v>12.32</v>
      </c>
      <c r="AB35" s="95">
        <v>21481700</v>
      </c>
      <c r="AC35" s="10">
        <v>12.32</v>
      </c>
      <c r="AD35">
        <f t="shared" si="2"/>
        <v>0.37000000000000099</v>
      </c>
      <c r="AE35" s="138">
        <f t="shared" si="3"/>
        <v>9.8360655737705915E-3</v>
      </c>
    </row>
    <row r="36" spans="2:41" x14ac:dyDescent="0.25">
      <c r="B36" s="74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42538</v>
      </c>
      <c r="X36" s="10">
        <v>11.97</v>
      </c>
      <c r="Y36" s="10">
        <v>12.35</v>
      </c>
      <c r="Z36" s="10">
        <v>11.95</v>
      </c>
      <c r="AA36" s="10">
        <v>12.2</v>
      </c>
      <c r="AB36" s="95">
        <v>20604200</v>
      </c>
      <c r="AC36" s="10">
        <v>12.2</v>
      </c>
      <c r="AD36">
        <f t="shared" si="2"/>
        <v>0.40000000000000036</v>
      </c>
      <c r="AE36" s="138">
        <f t="shared" si="3"/>
        <v>2.0920502092050208E-2</v>
      </c>
      <c r="AL36" s="236"/>
    </row>
    <row r="37" spans="2:41" x14ac:dyDescent="0.25">
      <c r="B37" s="74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32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42537</v>
      </c>
      <c r="X37" s="10">
        <v>11.87</v>
      </c>
      <c r="Y37" s="10">
        <v>11.99</v>
      </c>
      <c r="Z37" s="10">
        <v>11.58</v>
      </c>
      <c r="AA37" s="10">
        <v>11.95</v>
      </c>
      <c r="AB37" s="95">
        <v>22453100</v>
      </c>
      <c r="AC37" s="10">
        <v>11.95</v>
      </c>
      <c r="AD37">
        <f t="shared" si="2"/>
        <v>0.41000000000000014</v>
      </c>
      <c r="AE37" s="138">
        <f t="shared" si="3"/>
        <v>-5.8236272878535722E-3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32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42536</v>
      </c>
      <c r="X38" s="10">
        <v>12.16</v>
      </c>
      <c r="Y38" s="10">
        <v>12.25</v>
      </c>
      <c r="Z38" s="10">
        <v>11.95</v>
      </c>
      <c r="AA38" s="10">
        <v>12.02</v>
      </c>
      <c r="AB38" s="95">
        <v>17491700</v>
      </c>
      <c r="AC38" s="10">
        <v>12.02</v>
      </c>
      <c r="AD38">
        <f t="shared" si="2"/>
        <v>0.30000000000000071</v>
      </c>
      <c r="AE38" s="138">
        <f t="shared" si="3"/>
        <v>8.3892617449663476E-3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32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42535</v>
      </c>
      <c r="X39" s="10">
        <v>12.07</v>
      </c>
      <c r="Y39" s="10">
        <v>12.32</v>
      </c>
      <c r="Z39" s="10">
        <v>11.74</v>
      </c>
      <c r="AA39" s="10">
        <v>11.92</v>
      </c>
      <c r="AB39" s="95">
        <v>21913200</v>
      </c>
      <c r="AC39" s="10">
        <v>11.92</v>
      </c>
      <c r="AD39">
        <f t="shared" si="2"/>
        <v>0.58000000000000007</v>
      </c>
      <c r="AE39" s="138">
        <f t="shared" si="3"/>
        <v>-1.0788381742738662E-2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42534</v>
      </c>
      <c r="X40" s="10">
        <v>12</v>
      </c>
      <c r="Y40" s="10">
        <v>12.36</v>
      </c>
      <c r="Z40" s="10">
        <v>11.94</v>
      </c>
      <c r="AA40" s="10">
        <v>12.05</v>
      </c>
      <c r="AB40" s="95">
        <v>15570200</v>
      </c>
      <c r="AC40" s="10">
        <v>12.05</v>
      </c>
      <c r="AD40">
        <f t="shared" si="2"/>
        <v>0.41999999999999993</v>
      </c>
      <c r="AE40" s="138">
        <f t="shared" si="3"/>
        <v>-7.4135090609555032E-3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42531</v>
      </c>
      <c r="X41" s="10">
        <v>12.32</v>
      </c>
      <c r="Y41" s="10">
        <v>12.37</v>
      </c>
      <c r="Z41" s="10">
        <v>12.05</v>
      </c>
      <c r="AA41" s="10">
        <v>12.14</v>
      </c>
      <c r="AB41" s="95">
        <v>21439300</v>
      </c>
      <c r="AC41" s="10">
        <v>12.14</v>
      </c>
      <c r="AD41">
        <f t="shared" si="2"/>
        <v>0.31999999999999851</v>
      </c>
      <c r="AE41" s="138">
        <f t="shared" si="3"/>
        <v>-2.9576338928856805E-2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42530</v>
      </c>
      <c r="X42" s="10">
        <v>12.47</v>
      </c>
      <c r="Y42" s="10">
        <v>12.7</v>
      </c>
      <c r="Z42" s="10">
        <v>12.24</v>
      </c>
      <c r="AA42" s="10">
        <v>12.51</v>
      </c>
      <c r="AB42" s="95">
        <v>21881700</v>
      </c>
      <c r="AC42" s="10">
        <v>12.51</v>
      </c>
      <c r="AD42">
        <f t="shared" si="2"/>
        <v>0.45999999999999908</v>
      </c>
      <c r="AE42" s="138">
        <f t="shared" si="3"/>
        <v>-5.564387917329161E-3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14.03</v>
      </c>
      <c r="W43" s="133">
        <v>42529</v>
      </c>
      <c r="X43" s="10">
        <v>13.08</v>
      </c>
      <c r="Y43" s="10">
        <v>13.09</v>
      </c>
      <c r="Z43" s="10">
        <v>12.51</v>
      </c>
      <c r="AA43" s="10">
        <v>12.58</v>
      </c>
      <c r="AB43" s="95">
        <v>25869800</v>
      </c>
      <c r="AC43" s="10">
        <v>12.58</v>
      </c>
      <c r="AD43">
        <f t="shared" si="2"/>
        <v>0.58000000000000007</v>
      </c>
      <c r="AE43" s="138">
        <f t="shared" si="3"/>
        <v>-3.230769230769226E-2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25" t="s">
        <v>78</v>
      </c>
      <c r="P44" s="525"/>
      <c r="T44" s="93" t="s">
        <v>99</v>
      </c>
      <c r="U44" s="130">
        <v>14.2</v>
      </c>
      <c r="W44" s="133">
        <v>42528</v>
      </c>
      <c r="X44" s="10">
        <v>12.83</v>
      </c>
      <c r="Y44" s="10">
        <v>13.15</v>
      </c>
      <c r="Z44" s="10">
        <v>12.81</v>
      </c>
      <c r="AA44" s="10">
        <v>13</v>
      </c>
      <c r="AB44" s="95">
        <v>21409500</v>
      </c>
      <c r="AC44" s="10">
        <v>13</v>
      </c>
      <c r="AD44">
        <f t="shared" si="2"/>
        <v>0.33999999999999986</v>
      </c>
      <c r="AE44" s="138">
        <f t="shared" si="3"/>
        <v>1.8010963194988294E-2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15.862000000000002</v>
      </c>
      <c r="T45" s="93" t="s">
        <v>100</v>
      </c>
      <c r="U45" s="130" t="s">
        <v>520</v>
      </c>
      <c r="W45" s="133">
        <v>42527</v>
      </c>
      <c r="X45" s="10">
        <v>12.89</v>
      </c>
      <c r="Y45" s="10">
        <v>13.04</v>
      </c>
      <c r="Z45" s="10">
        <v>12.76</v>
      </c>
      <c r="AA45" s="10">
        <v>12.77</v>
      </c>
      <c r="AB45" s="95">
        <v>24861200</v>
      </c>
      <c r="AC45" s="10">
        <v>12.77</v>
      </c>
      <c r="AD45">
        <f t="shared" si="2"/>
        <v>0.27999999999999936</v>
      </c>
      <c r="AE45" s="138">
        <f t="shared" si="3"/>
        <v>-6.9984447900466318E-3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15.7178</v>
      </c>
      <c r="T46" s="93" t="s">
        <v>101</v>
      </c>
      <c r="U46" s="130" t="s">
        <v>521</v>
      </c>
      <c r="W46" s="133">
        <v>42524</v>
      </c>
      <c r="X46" s="10">
        <v>13.02</v>
      </c>
      <c r="Y46" s="10">
        <v>13.04</v>
      </c>
      <c r="Z46" s="10">
        <v>12.63</v>
      </c>
      <c r="AA46" s="10">
        <v>12.86</v>
      </c>
      <c r="AB46" s="95">
        <v>28326000</v>
      </c>
      <c r="AC46" s="10">
        <v>12.86</v>
      </c>
      <c r="AD46">
        <f t="shared" si="2"/>
        <v>0.40999999999999837</v>
      </c>
      <c r="AE46" s="138">
        <f t="shared" si="3"/>
        <v>-1.9069412662090057E-2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15.573600000000001</v>
      </c>
      <c r="T47" s="93" t="s">
        <v>102</v>
      </c>
      <c r="U47" s="130">
        <v>15.71</v>
      </c>
      <c r="W47" s="133">
        <v>42523</v>
      </c>
      <c r="X47" s="10">
        <v>12.95</v>
      </c>
      <c r="Y47" s="10">
        <v>13.21</v>
      </c>
      <c r="Z47" s="10">
        <v>12.75</v>
      </c>
      <c r="AA47" s="10">
        <v>13.11</v>
      </c>
      <c r="AB47" s="95">
        <v>31941900</v>
      </c>
      <c r="AC47" s="10">
        <v>13.11</v>
      </c>
      <c r="AD47">
        <f t="shared" si="2"/>
        <v>0.46000000000000085</v>
      </c>
      <c r="AE47" s="138">
        <f t="shared" si="3"/>
        <v>1.5278838808250317E-3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15.429400000000001</v>
      </c>
      <c r="T48" s="93" t="s">
        <v>103</v>
      </c>
      <c r="U48" s="130">
        <v>2.00881</v>
      </c>
      <c r="W48" s="133">
        <v>42522</v>
      </c>
      <c r="X48" s="10">
        <v>12.61</v>
      </c>
      <c r="Y48" s="10">
        <v>13.09</v>
      </c>
      <c r="Z48" s="10">
        <v>12.31</v>
      </c>
      <c r="AA48" s="10">
        <v>13.09</v>
      </c>
      <c r="AB48" s="95">
        <v>35762100</v>
      </c>
      <c r="AC48" s="10">
        <v>13.09</v>
      </c>
      <c r="AD48">
        <f t="shared" si="2"/>
        <v>0.77999999999999936</v>
      </c>
      <c r="AE48" s="138">
        <f t="shared" si="3"/>
        <v>2.9088050314465264E-2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15.285200000000001</v>
      </c>
      <c r="T49" s="93" t="s">
        <v>123</v>
      </c>
      <c r="U49" s="130" t="s">
        <v>284</v>
      </c>
      <c r="W49" s="133">
        <v>42521</v>
      </c>
      <c r="X49" s="10">
        <v>12.66</v>
      </c>
      <c r="Y49" s="10">
        <v>12.91</v>
      </c>
      <c r="Z49" s="10">
        <v>12.26</v>
      </c>
      <c r="AA49" s="10">
        <v>12.72</v>
      </c>
      <c r="AB49" s="95">
        <v>49604300</v>
      </c>
      <c r="AC49" s="10">
        <v>12.72</v>
      </c>
      <c r="AD49">
        <f t="shared" si="2"/>
        <v>0.65000000000000036</v>
      </c>
      <c r="AE49" s="138">
        <f t="shared" si="3"/>
        <v>3.3306255077172997E-2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15.141</v>
      </c>
      <c r="T50" s="93"/>
      <c r="U50" s="130"/>
      <c r="W50" s="133">
        <v>42517</v>
      </c>
      <c r="X50" s="10">
        <v>11.97</v>
      </c>
      <c r="Y50" s="10">
        <v>12.43</v>
      </c>
      <c r="Z50" s="10">
        <v>11.83</v>
      </c>
      <c r="AA50" s="10">
        <v>12.31</v>
      </c>
      <c r="AB50" s="95">
        <v>29838400</v>
      </c>
      <c r="AC50" s="10">
        <v>12.31</v>
      </c>
      <c r="AD50">
        <f t="shared" si="2"/>
        <v>0.59999999999999964</v>
      </c>
      <c r="AE50" s="138">
        <f t="shared" si="3"/>
        <v>3.0125523012552335E-2</v>
      </c>
      <c r="AL50" s="236"/>
      <c r="AO50" s="236"/>
    </row>
    <row r="51" spans="2:41" x14ac:dyDescent="0.25">
      <c r="B51" s="532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32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14.9968</v>
      </c>
      <c r="T51" s="93" t="s">
        <v>105</v>
      </c>
      <c r="U51" s="130" t="s">
        <v>522</v>
      </c>
      <c r="W51" s="133">
        <v>42516</v>
      </c>
      <c r="X51" s="10">
        <v>11.71</v>
      </c>
      <c r="Y51" s="10">
        <v>12.03</v>
      </c>
      <c r="Z51" s="10">
        <v>11.69</v>
      </c>
      <c r="AA51" s="10">
        <v>11.95</v>
      </c>
      <c r="AB51" s="95">
        <v>23644100</v>
      </c>
      <c r="AC51" s="10">
        <v>11.95</v>
      </c>
      <c r="AD51">
        <f t="shared" si="2"/>
        <v>0.33999999999999986</v>
      </c>
      <c r="AE51" s="138">
        <f t="shared" si="3"/>
        <v>3.0172413793103425E-2</v>
      </c>
    </row>
    <row r="52" spans="2:41" x14ac:dyDescent="0.25">
      <c r="B52" s="532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32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14.852600000000001</v>
      </c>
      <c r="T52" s="93" t="s">
        <v>106</v>
      </c>
      <c r="U52" s="130" t="s">
        <v>523</v>
      </c>
      <c r="W52" s="133">
        <v>42515</v>
      </c>
      <c r="X52" s="10">
        <v>11.59</v>
      </c>
      <c r="Y52" s="10">
        <v>11.78</v>
      </c>
      <c r="Z52" s="10">
        <v>11.42</v>
      </c>
      <c r="AA52" s="10">
        <v>11.6</v>
      </c>
      <c r="AB52" s="95">
        <v>29175600</v>
      </c>
      <c r="AC52" s="10">
        <v>11.6</v>
      </c>
      <c r="AD52">
        <f t="shared" si="2"/>
        <v>0.35999999999999943</v>
      </c>
      <c r="AE52" s="138">
        <f t="shared" si="3"/>
        <v>9.5735422106177914E-3</v>
      </c>
    </row>
    <row r="53" spans="2:41" x14ac:dyDescent="0.25">
      <c r="B53" s="532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14.708400000000001</v>
      </c>
      <c r="T53" s="93" t="s">
        <v>107</v>
      </c>
      <c r="U53" s="131">
        <v>29098372</v>
      </c>
      <c r="W53" s="133">
        <v>42514</v>
      </c>
      <c r="X53" s="10">
        <v>11.31</v>
      </c>
      <c r="Y53" s="10">
        <v>11.5</v>
      </c>
      <c r="Z53" s="10">
        <v>11.16</v>
      </c>
      <c r="AA53" s="10">
        <v>11.49</v>
      </c>
      <c r="AB53" s="95">
        <v>25437300</v>
      </c>
      <c r="AC53" s="10">
        <v>11.49</v>
      </c>
      <c r="AD53">
        <f t="shared" si="2"/>
        <v>0.33999999999999986</v>
      </c>
      <c r="AE53" s="138">
        <f t="shared" si="3"/>
        <v>3.1418312387791802E-2</v>
      </c>
    </row>
    <row r="54" spans="2:41" x14ac:dyDescent="0.25">
      <c r="B54" s="532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14.5642</v>
      </c>
      <c r="T54" s="93" t="s">
        <v>110</v>
      </c>
      <c r="U54" s="131">
        <v>29111400</v>
      </c>
      <c r="W54" s="133">
        <v>42513</v>
      </c>
      <c r="X54" s="10">
        <v>10.84</v>
      </c>
      <c r="Y54" s="10">
        <v>11.17</v>
      </c>
      <c r="Z54" s="10">
        <v>10.82</v>
      </c>
      <c r="AA54" s="10">
        <v>11.14</v>
      </c>
      <c r="AB54" s="95">
        <v>28369200</v>
      </c>
      <c r="AC54" s="10">
        <v>11.14</v>
      </c>
      <c r="AD54">
        <f t="shared" si="2"/>
        <v>0.34999999999999964</v>
      </c>
      <c r="AE54" s="138">
        <f t="shared" si="3"/>
        <v>3.1481481481481444E-2</v>
      </c>
      <c r="AL54" s="236"/>
      <c r="AO54" s="236"/>
    </row>
    <row r="55" spans="2:41" x14ac:dyDescent="0.25">
      <c r="B55" s="532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14.42</v>
      </c>
      <c r="T55" s="93" t="s">
        <v>108</v>
      </c>
      <c r="U55" s="130" t="s">
        <v>524</v>
      </c>
      <c r="W55" s="133">
        <v>42510</v>
      </c>
      <c r="X55" s="10">
        <v>10.31</v>
      </c>
      <c r="Y55" s="10">
        <v>10.81</v>
      </c>
      <c r="Z55" s="10">
        <v>10.28</v>
      </c>
      <c r="AA55" s="10">
        <v>10.8</v>
      </c>
      <c r="AB55" s="95">
        <v>31189700</v>
      </c>
      <c r="AC55" s="10">
        <v>10.8</v>
      </c>
      <c r="AD55">
        <f t="shared" si="2"/>
        <v>0.53000000000000114</v>
      </c>
      <c r="AE55" s="138">
        <f t="shared" si="3"/>
        <v>7.2492552135054567E-2</v>
      </c>
    </row>
    <row r="56" spans="2:41" x14ac:dyDescent="0.25">
      <c r="B56" s="532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14.2758</v>
      </c>
      <c r="T56" s="93" t="s">
        <v>111</v>
      </c>
      <c r="U56" s="130">
        <v>41.72</v>
      </c>
      <c r="W56" s="133">
        <v>42509</v>
      </c>
      <c r="X56" s="10">
        <v>10</v>
      </c>
      <c r="Y56" s="10">
        <v>10.26</v>
      </c>
      <c r="Z56" s="10">
        <v>9.91</v>
      </c>
      <c r="AA56" s="10">
        <v>10.07</v>
      </c>
      <c r="AB56" s="95">
        <v>18852900</v>
      </c>
      <c r="AC56" s="10">
        <v>10.07</v>
      </c>
      <c r="AD56">
        <f t="shared" si="2"/>
        <v>0.34999999999999964</v>
      </c>
      <c r="AE56" s="138">
        <f t="shared" si="3"/>
        <v>1.9900497512437276E-3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14.131599999999999</v>
      </c>
      <c r="T57" s="93" t="s">
        <v>112</v>
      </c>
      <c r="U57" s="130">
        <v>0.35</v>
      </c>
      <c r="W57" s="133">
        <v>42508</v>
      </c>
      <c r="X57" s="10">
        <v>9.68</v>
      </c>
      <c r="Y57" s="10">
        <v>10.28</v>
      </c>
      <c r="Z57" s="10">
        <v>9.68</v>
      </c>
      <c r="AA57" s="10">
        <v>10.050000000000001</v>
      </c>
      <c r="AB57" s="95">
        <v>27017500</v>
      </c>
      <c r="AC57" s="10">
        <v>10.050000000000001</v>
      </c>
      <c r="AD57">
        <f t="shared" si="2"/>
        <v>0.59999999999999964</v>
      </c>
      <c r="AE57" s="138">
        <f t="shared" si="3"/>
        <v>3.9296794208893537E-2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13.987399999999999</v>
      </c>
      <c r="T58" s="93" t="s">
        <v>109</v>
      </c>
      <c r="U58" s="130" t="s">
        <v>124</v>
      </c>
      <c r="W58" s="133">
        <v>42507</v>
      </c>
      <c r="X58" s="10">
        <v>9.65</v>
      </c>
      <c r="Y58" s="10">
        <v>9.92</v>
      </c>
      <c r="Z58" s="10">
        <v>9.49</v>
      </c>
      <c r="AA58" s="10">
        <v>9.67</v>
      </c>
      <c r="AB58" s="95">
        <v>22112100</v>
      </c>
      <c r="AC58" s="10">
        <v>9.67</v>
      </c>
      <c r="AD58">
        <f t="shared" si="2"/>
        <v>0.42999999999999972</v>
      </c>
      <c r="AE58" s="138">
        <f t="shared" si="3"/>
        <v>-1.0330578512396382E-3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13.8432</v>
      </c>
      <c r="W59" s="133">
        <v>42506</v>
      </c>
      <c r="X59" s="10">
        <v>9.61</v>
      </c>
      <c r="Y59" s="10">
        <v>9.69</v>
      </c>
      <c r="Z59" s="10">
        <v>9.51</v>
      </c>
      <c r="AA59" s="10">
        <v>9.68</v>
      </c>
      <c r="AB59" s="95">
        <v>16247600</v>
      </c>
      <c r="AC59" s="10">
        <v>9.68</v>
      </c>
      <c r="AD59">
        <f t="shared" si="2"/>
        <v>0.17999999999999972</v>
      </c>
      <c r="AE59" s="138">
        <f t="shared" si="3"/>
        <v>1.2552301255229992E-2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13.699</v>
      </c>
      <c r="W60" s="133">
        <v>42503</v>
      </c>
      <c r="X60" s="10">
        <v>9.66</v>
      </c>
      <c r="Y60" s="10">
        <v>9.7899999999999991</v>
      </c>
      <c r="Z60" s="10">
        <v>9.41</v>
      </c>
      <c r="AA60" s="10">
        <v>9.56</v>
      </c>
      <c r="AB60" s="95">
        <v>21517300</v>
      </c>
      <c r="AC60" s="10">
        <v>9.56</v>
      </c>
      <c r="AD60">
        <f t="shared" si="2"/>
        <v>0.37999999999999901</v>
      </c>
      <c r="AE60" s="138">
        <f t="shared" si="3"/>
        <v>-7.2689511941849139E-3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13.554799999999998</v>
      </c>
      <c r="W61" s="133">
        <v>42502</v>
      </c>
      <c r="X61" s="10">
        <v>10.15</v>
      </c>
      <c r="Y61" s="10">
        <v>10.26</v>
      </c>
      <c r="Z61" s="10">
        <v>9.35</v>
      </c>
      <c r="AA61" s="10">
        <v>9.6300000000000008</v>
      </c>
      <c r="AB61" s="95">
        <v>41066600</v>
      </c>
      <c r="AC61" s="10">
        <v>9.6300000000000008</v>
      </c>
      <c r="AD61">
        <f t="shared" si="2"/>
        <v>0.91000000000000014</v>
      </c>
      <c r="AE61" s="138">
        <f t="shared" si="3"/>
        <v>-4.6534653465346465E-2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13.410600000000001</v>
      </c>
      <c r="W62" s="133">
        <v>42501</v>
      </c>
      <c r="X62" s="10">
        <v>10.02</v>
      </c>
      <c r="Y62" s="10">
        <v>10.33</v>
      </c>
      <c r="Z62" s="10">
        <v>10.01</v>
      </c>
      <c r="AA62" s="10">
        <v>10.1</v>
      </c>
      <c r="AB62" s="95">
        <v>17808400</v>
      </c>
      <c r="AC62" s="10">
        <v>10.1</v>
      </c>
      <c r="AD62">
        <f t="shared" si="2"/>
        <v>0.32000000000000028</v>
      </c>
      <c r="AE62" s="138">
        <f t="shared" si="3"/>
        <v>9.9108027750238747E-4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13.266400000000001</v>
      </c>
      <c r="W63" s="133">
        <v>42500</v>
      </c>
      <c r="X63" s="10">
        <v>9.94</v>
      </c>
      <c r="Y63" s="10">
        <v>10.11</v>
      </c>
      <c r="Z63" s="10">
        <v>9.84</v>
      </c>
      <c r="AA63" s="10">
        <v>10.09</v>
      </c>
      <c r="AB63" s="95">
        <v>19608200</v>
      </c>
      <c r="AC63" s="10">
        <v>10.09</v>
      </c>
      <c r="AD63">
        <f t="shared" si="2"/>
        <v>0.26999999999999957</v>
      </c>
      <c r="AE63" s="138">
        <f t="shared" si="3"/>
        <v>2.228976697061813E-2</v>
      </c>
    </row>
    <row r="64" spans="2:41" x14ac:dyDescent="0.25">
      <c r="B64" s="1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13.122200000000001</v>
      </c>
      <c r="W64" s="133">
        <v>42499</v>
      </c>
      <c r="X64" s="10">
        <v>10</v>
      </c>
      <c r="Y64" s="10">
        <v>10.07</v>
      </c>
      <c r="Z64" s="10">
        <v>9.76</v>
      </c>
      <c r="AA64" s="10">
        <v>9.8699999999999992</v>
      </c>
      <c r="AB64" s="95">
        <v>20476700</v>
      </c>
      <c r="AC64" s="10">
        <v>9.8699999999999992</v>
      </c>
      <c r="AD64">
        <f t="shared" si="2"/>
        <v>0.3100000000000005</v>
      </c>
      <c r="AE64" s="138">
        <f t="shared" si="3"/>
        <v>-1.2012012012012074E-2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12.978</v>
      </c>
      <c r="W65" s="133">
        <v>42496</v>
      </c>
      <c r="X65" s="10">
        <v>9.98</v>
      </c>
      <c r="Y65" s="10">
        <v>10.210000000000001</v>
      </c>
      <c r="Z65" s="10">
        <v>9.85</v>
      </c>
      <c r="AA65" s="10">
        <v>9.99</v>
      </c>
      <c r="AB65" s="95">
        <v>20963300</v>
      </c>
      <c r="AC65" s="10">
        <v>9.99</v>
      </c>
      <c r="AD65">
        <f t="shared" si="2"/>
        <v>0.36000000000000121</v>
      </c>
      <c r="AE65" s="138">
        <f t="shared" si="3"/>
        <v>-6.958250497017926E-3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42495</v>
      </c>
      <c r="X66" s="10">
        <v>10.06</v>
      </c>
      <c r="Y66" s="10">
        <v>10.4</v>
      </c>
      <c r="Z66" s="10">
        <v>10.01</v>
      </c>
      <c r="AA66" s="10">
        <v>10.06</v>
      </c>
      <c r="AB66" s="95">
        <v>26456300</v>
      </c>
      <c r="AC66" s="10">
        <v>10.06</v>
      </c>
      <c r="AD66">
        <f t="shared" si="2"/>
        <v>0.39000000000000057</v>
      </c>
      <c r="AE66" s="138">
        <f t="shared" si="3"/>
        <v>6.0000000000000053E-3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42494</v>
      </c>
      <c r="X67" s="10">
        <v>10.25</v>
      </c>
      <c r="Y67" s="10">
        <v>10.49</v>
      </c>
      <c r="Z67" s="10">
        <v>9.8000000000000007</v>
      </c>
      <c r="AA67" s="10">
        <v>10</v>
      </c>
      <c r="AB67" s="95">
        <v>40867200</v>
      </c>
      <c r="AC67" s="10">
        <v>10</v>
      </c>
      <c r="AD67">
        <f>Y67-Z67</f>
        <v>0.6899999999999995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3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39"/>
      <c r="P69" s="439"/>
      <c r="Q69" s="439"/>
      <c r="R69" s="439"/>
      <c r="S69" s="439"/>
      <c r="T69" s="439"/>
      <c r="U69" s="440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39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39"/>
      <c r="P78" s="439"/>
      <c r="Q78" s="439"/>
      <c r="R78" s="439"/>
      <c r="S78" s="439"/>
      <c r="T78" s="439"/>
      <c r="U78" s="440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1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38" t="s">
        <v>219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38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38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4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1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1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 t="shared" ref="K120:K125" si="11">H120*I120-J120</f>
        <v>12479.73</v>
      </c>
    </row>
    <row r="121" spans="1:11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1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1" x14ac:dyDescent="0.25">
      <c r="A122" s="1"/>
      <c r="B122" s="1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1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1" x14ac:dyDescent="0.25">
      <c r="B123" s="1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1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1" x14ac:dyDescent="0.25">
      <c r="B124" s="1">
        <v>42584</v>
      </c>
      <c r="C124" s="7">
        <v>200</v>
      </c>
      <c r="D124" s="44">
        <v>13.08</v>
      </c>
      <c r="E124" s="44">
        <v>0</v>
      </c>
      <c r="F124" s="44">
        <f t="shared" si="9"/>
        <v>2616</v>
      </c>
      <c r="G124" s="1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1" x14ac:dyDescent="0.25">
      <c r="G125" s="1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34" spans="1:13" x14ac:dyDescent="0.25">
      <c r="A134" s="22" t="s">
        <v>81</v>
      </c>
      <c r="B134" s="12"/>
      <c r="C134" s="12">
        <f>SUM(C2:C133)</f>
        <v>56835</v>
      </c>
      <c r="D134" s="12"/>
      <c r="E134" s="12"/>
      <c r="F134" s="13">
        <f>SUM(F2:F133)</f>
        <v>786836.98300000012</v>
      </c>
      <c r="G134" s="12"/>
      <c r="H134" s="12">
        <f>SUM(H2:H133)</f>
        <v>52835</v>
      </c>
      <c r="I134" s="13"/>
      <c r="J134" s="13"/>
      <c r="K134" s="13">
        <f>SUM(K2:K133)</f>
        <v>722205.16999999969</v>
      </c>
      <c r="L134" s="13"/>
      <c r="M134" s="13">
        <f>SUM(M2:M133)</f>
        <v>0</v>
      </c>
    </row>
    <row r="135" spans="1:13" ht="15.75" thickBot="1" x14ac:dyDescent="0.3">
      <c r="A135" s="363" t="s">
        <v>206</v>
      </c>
      <c r="B135" s="364"/>
      <c r="C135" s="365">
        <f>SumByColor($A$135,C2:C133)</f>
        <v>52835</v>
      </c>
      <c r="D135" s="365"/>
      <c r="E135" s="365"/>
      <c r="F135" s="366">
        <f>SumByColor($A$135,F2:F133)</f>
        <v>721340</v>
      </c>
      <c r="G135" s="365"/>
      <c r="H135" s="365">
        <f>SumByColor($A$135,H2:H133)</f>
        <v>52835</v>
      </c>
      <c r="I135" s="365"/>
      <c r="J135" s="365"/>
      <c r="K135" s="366">
        <f>SumByColor($A$135,K2:K133)</f>
        <v>722217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2">-C139*(D139-E139)</f>
        <v>-3110.9999999999973</v>
      </c>
      <c r="G139" s="40">
        <f t="shared" ref="G139:G148" si="13">IF(C139=0, 0,D139*C139)</f>
        <v>88179</v>
      </c>
      <c r="H139" s="234">
        <f t="shared" ref="H139:H153" si="14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2"/>
        <v>-1812.9999999999875</v>
      </c>
      <c r="G140" s="40">
        <f t="shared" si="13"/>
        <v>84721</v>
      </c>
      <c r="H140" s="234">
        <f t="shared" si="14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2"/>
        <v>-5303.9999999999955</v>
      </c>
      <c r="G141" s="40">
        <f t="shared" si="13"/>
        <v>87975</v>
      </c>
      <c r="H141" s="234">
        <f t="shared" si="14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2"/>
        <v>2303.5000000000036</v>
      </c>
      <c r="G142" s="40">
        <f t="shared" si="13"/>
        <v>46042.899999999994</v>
      </c>
      <c r="H142" s="234">
        <f t="shared" si="14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2"/>
        <v>1305.9000000000083</v>
      </c>
      <c r="G143" s="40">
        <f t="shared" si="13"/>
        <v>49304.979999999996</v>
      </c>
      <c r="H143" s="234">
        <f t="shared" si="14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2"/>
        <v>-2283.9999999999918</v>
      </c>
      <c r="G144" s="40">
        <f t="shared" si="13"/>
        <v>96556.1</v>
      </c>
      <c r="H144" s="234">
        <f t="shared" si="14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2"/>
        <v>-2355</v>
      </c>
      <c r="G145" s="40">
        <f t="shared" si="13"/>
        <v>79834.5</v>
      </c>
      <c r="H145" s="234">
        <f t="shared" si="14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2"/>
        <v>-5211.8000000000056</v>
      </c>
      <c r="G146" s="40">
        <f t="shared" si="13"/>
        <v>85362.200000000012</v>
      </c>
      <c r="H146" s="234">
        <f t="shared" si="14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2"/>
        <v>-9899.9999999999909</v>
      </c>
      <c r="G147" s="40">
        <f t="shared" si="13"/>
        <v>99240</v>
      </c>
      <c r="H147" s="234">
        <f t="shared" si="14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2"/>
        <v>-7337.0000000000055</v>
      </c>
      <c r="G148" s="40">
        <f t="shared" si="13"/>
        <v>84653.8</v>
      </c>
      <c r="H148" s="234">
        <f t="shared" si="14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2"/>
        <v>-6779.9999999999936</v>
      </c>
      <c r="G149" s="40">
        <f t="shared" ref="G149:G176" si="15">IF(C149=0, 0,D149*C149)</f>
        <v>99120</v>
      </c>
      <c r="H149" s="234">
        <f t="shared" si="14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2"/>
        <v>-6881.5999999999967</v>
      </c>
      <c r="G150" s="40">
        <f t="shared" si="15"/>
        <v>84400.8</v>
      </c>
      <c r="H150" s="234">
        <f t="shared" si="14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2"/>
        <v>-3768.0000000000032</v>
      </c>
      <c r="G151" s="40">
        <f t="shared" si="15"/>
        <v>78798.3</v>
      </c>
      <c r="H151" s="234">
        <f t="shared" si="14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2"/>
        <v>-4301.0000000000073</v>
      </c>
      <c r="G152" s="40">
        <f t="shared" si="15"/>
        <v>84350.200000000012</v>
      </c>
      <c r="H152" s="234">
        <f t="shared" si="14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2"/>
        <v>-5211.8000000000056</v>
      </c>
      <c r="G153" s="40">
        <f t="shared" si="15"/>
        <v>84198.400000000009</v>
      </c>
      <c r="H153" s="234">
        <f t="shared" si="14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2"/>
        <v>-11782.399999999992</v>
      </c>
      <c r="G154" s="40">
        <f t="shared" si="15"/>
        <v>87105.599999999991</v>
      </c>
      <c r="H154" s="234">
        <f t="shared" ref="H154:H176" si="16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2"/>
        <v>-9968.1999999999935</v>
      </c>
      <c r="G155" s="40">
        <f t="shared" si="15"/>
        <v>84147.799999999988</v>
      </c>
      <c r="H155" s="234">
        <f t="shared" si="16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2"/>
        <v>-13054.80000000001</v>
      </c>
      <c r="G156" s="40">
        <f t="shared" si="15"/>
        <v>84097.200000000012</v>
      </c>
      <c r="H156" s="234">
        <f t="shared" si="16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2"/>
        <v>-13079.999999999998</v>
      </c>
      <c r="G157" s="40">
        <f t="shared" si="15"/>
        <v>97320</v>
      </c>
      <c r="H157" s="234">
        <f t="shared" si="16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2"/>
        <v>-13020.000000000009</v>
      </c>
      <c r="G158" s="40">
        <f t="shared" si="15"/>
        <v>100068</v>
      </c>
      <c r="H158" s="234">
        <f t="shared" si="16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2"/>
        <v>-13043.880000000006</v>
      </c>
      <c r="G159" s="40">
        <f t="shared" si="15"/>
        <v>93366.720000000001</v>
      </c>
      <c r="H159" s="234">
        <f t="shared" si="16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2"/>
        <v>-13025.958000000004</v>
      </c>
      <c r="G160" s="40">
        <f t="shared" si="15"/>
        <v>84068.358000000007</v>
      </c>
      <c r="H160" s="234">
        <f t="shared" si="16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2"/>
        <v>-11521.114000000007</v>
      </c>
      <c r="G161" s="40">
        <f t="shared" si="15"/>
        <v>83980.314000000013</v>
      </c>
      <c r="H161" s="234">
        <f t="shared" si="16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2"/>
        <v>-11410.000000000005</v>
      </c>
      <c r="G162" s="40">
        <f t="shared" si="15"/>
        <v>111790</v>
      </c>
      <c r="H162" s="234">
        <f t="shared" si="16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2"/>
        <v>-11220.000000000005</v>
      </c>
      <c r="G163" s="40">
        <f t="shared" si="15"/>
        <v>97380</v>
      </c>
      <c r="H163" s="234">
        <f t="shared" si="16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2"/>
        <v>-11211.199999999997</v>
      </c>
      <c r="G164" s="40">
        <f t="shared" si="15"/>
        <v>90191.2</v>
      </c>
      <c r="H164" s="234">
        <f t="shared" si="16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2"/>
        <v>-9664.6</v>
      </c>
      <c r="G165" s="40">
        <f t="shared" si="15"/>
        <v>83743</v>
      </c>
      <c r="H165" s="234">
        <f t="shared" si="16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2"/>
        <v>-9794.1360000000041</v>
      </c>
      <c r="G166" s="40">
        <f t="shared" si="15"/>
        <v>83720.736000000004</v>
      </c>
      <c r="H166" s="234">
        <f t="shared" si="16"/>
        <v>-0.11698578474035398</v>
      </c>
      <c r="I166" s="40"/>
    </row>
    <row r="167" spans="2:9" x14ac:dyDescent="0.25">
      <c r="B167" s="195">
        <v>42377</v>
      </c>
      <c r="C167" s="10">
        <v>5260</v>
      </c>
      <c r="D167" s="202">
        <v>16.424099999999999</v>
      </c>
      <c r="E167" s="40">
        <v>13.33</v>
      </c>
      <c r="F167" s="40">
        <f t="shared" si="12"/>
        <v>-16274.965999999995</v>
      </c>
      <c r="G167" s="40">
        <f t="shared" si="15"/>
        <v>86390.766000000003</v>
      </c>
      <c r="H167" s="234">
        <f t="shared" si="16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2"/>
        <v>-29899.999999999993</v>
      </c>
      <c r="G168" s="40">
        <f t="shared" si="15"/>
        <v>83600</v>
      </c>
      <c r="H168" s="234">
        <f t="shared" si="16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2"/>
        <v>-28718.02199999999</v>
      </c>
      <c r="G169" s="40">
        <f t="shared" si="15"/>
        <v>86367.621999999988</v>
      </c>
      <c r="H169" s="234">
        <f t="shared" si="16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2"/>
        <v>-30321.199999999997</v>
      </c>
      <c r="G170" s="40">
        <f t="shared" si="15"/>
        <v>81015.199999999997</v>
      </c>
      <c r="H170" s="234">
        <f t="shared" si="16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2"/>
        <v>-29806.800000000003</v>
      </c>
      <c r="G171" s="40">
        <f t="shared" si="15"/>
        <v>72786.8</v>
      </c>
      <c r="H171" s="234">
        <f t="shared" si="16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2"/>
        <v>-29239.199999999993</v>
      </c>
      <c r="G172" s="40">
        <f t="shared" si="15"/>
        <v>68155.199999999997</v>
      </c>
      <c r="H172" s="234">
        <f t="shared" si="16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2"/>
        <v>-30856.212000000007</v>
      </c>
      <c r="G173" s="40">
        <f t="shared" si="15"/>
        <v>86033.612000000008</v>
      </c>
      <c r="H173" s="234">
        <f t="shared" si="16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2"/>
        <v>-24651.563999999995</v>
      </c>
      <c r="G174" s="40">
        <f t="shared" si="15"/>
        <v>80248.363999999987</v>
      </c>
      <c r="H174" s="234">
        <f t="shared" si="16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2"/>
        <v>-24751.381000000001</v>
      </c>
      <c r="G175" s="40">
        <f t="shared" si="15"/>
        <v>86009.581000000006</v>
      </c>
      <c r="H175" s="234">
        <f t="shared" si="16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2"/>
        <v>-28613.610000000004</v>
      </c>
      <c r="G176" s="40">
        <f t="shared" si="15"/>
        <v>86010.11</v>
      </c>
      <c r="H176" s="234">
        <f t="shared" si="16"/>
        <v>-0.33267728642597949</v>
      </c>
      <c r="I176" s="40"/>
    </row>
    <row r="177" spans="2:17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7">-C177*(D177-E177)</f>
        <v>-28406.616000000002</v>
      </c>
      <c r="G177" s="40">
        <f t="shared" ref="G177:G215" si="18">IF(C177=0, 0,D177*C177)</f>
        <v>85963.266000000003</v>
      </c>
      <c r="H177" s="234">
        <f t="shared" ref="H177:H215" si="19">IF(C177=0, D177, (E177-D177)/D177)</f>
        <v>-0.33045063690344201</v>
      </c>
      <c r="I177" s="40"/>
    </row>
    <row r="178" spans="2:17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7"/>
        <v>-27248.360000000008</v>
      </c>
      <c r="G178" s="40">
        <f t="shared" si="18"/>
        <v>85919.360000000015</v>
      </c>
      <c r="H178" s="234">
        <f t="shared" si="19"/>
        <v>-0.31713876825898152</v>
      </c>
      <c r="I178" s="40"/>
    </row>
    <row r="179" spans="2:17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7"/>
        <v>-26871.468499999992</v>
      </c>
      <c r="G179" s="40">
        <f t="shared" si="18"/>
        <v>84298.1685</v>
      </c>
      <c r="H179" s="234">
        <f t="shared" si="19"/>
        <v>-0.31876693145474438</v>
      </c>
      <c r="I179" s="40"/>
    </row>
    <row r="180" spans="2:17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7"/>
        <v>-24742.084500000001</v>
      </c>
      <c r="G180" s="40">
        <f t="shared" si="18"/>
        <v>70382.784499999994</v>
      </c>
      <c r="H180" s="234">
        <f t="shared" si="19"/>
        <v>-0.3515360279614968</v>
      </c>
      <c r="I180" s="40"/>
    </row>
    <row r="181" spans="2:17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7"/>
        <v>-25084.414000000001</v>
      </c>
      <c r="G181" s="40">
        <f t="shared" si="18"/>
        <v>85258.813999999998</v>
      </c>
      <c r="H181" s="234">
        <f t="shared" si="19"/>
        <v>-0.29421490662537253</v>
      </c>
      <c r="I181" s="361"/>
    </row>
    <row r="182" spans="2:17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7"/>
        <v>-29256.487999999998</v>
      </c>
      <c r="G182" s="40">
        <f t="shared" si="18"/>
        <v>86340.487999999998</v>
      </c>
      <c r="H182" s="234">
        <f t="shared" si="19"/>
        <v>-0.33885015799308427</v>
      </c>
      <c r="I182" s="361"/>
    </row>
    <row r="183" spans="2:17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7"/>
        <v>-27809.620000000003</v>
      </c>
      <c r="G183" s="40">
        <f t="shared" si="18"/>
        <v>85248.82</v>
      </c>
      <c r="H183" s="234">
        <f t="shared" si="19"/>
        <v>-0.32621706669957429</v>
      </c>
      <c r="I183" s="40"/>
    </row>
    <row r="184" spans="2:17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7"/>
        <v>-30544.820000000003</v>
      </c>
      <c r="G184" s="40">
        <f t="shared" si="18"/>
        <v>85248.82</v>
      </c>
      <c r="H184" s="234">
        <f t="shared" si="19"/>
        <v>-0.3583019682853088</v>
      </c>
      <c r="I184" s="40"/>
    </row>
    <row r="185" spans="2:17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7"/>
        <v>-30549.887999999995</v>
      </c>
      <c r="G185" s="40">
        <f t="shared" si="18"/>
        <v>90453.887999999992</v>
      </c>
      <c r="H185" s="234">
        <f t="shared" si="19"/>
        <v>-0.33773991008545695</v>
      </c>
      <c r="I185" s="40"/>
    </row>
    <row r="186" spans="2:17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7"/>
        <v>-28441.346000000009</v>
      </c>
      <c r="G186" s="40">
        <f t="shared" si="18"/>
        <v>85038.946000000011</v>
      </c>
      <c r="H186" s="234">
        <f t="shared" si="19"/>
        <v>-0.33445082915303309</v>
      </c>
      <c r="I186" s="361" t="s">
        <v>204</v>
      </c>
    </row>
    <row r="187" spans="2:17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7"/>
        <v>-31628.763999999996</v>
      </c>
      <c r="G187" s="40">
        <f t="shared" si="18"/>
        <v>91224.963999999993</v>
      </c>
      <c r="H187" s="234">
        <f t="shared" si="19"/>
        <v>-0.34671171807752094</v>
      </c>
      <c r="I187" s="40"/>
    </row>
    <row r="188" spans="2:17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7"/>
        <v>-27540.307999999997</v>
      </c>
      <c r="G188" s="40">
        <f t="shared" si="18"/>
        <v>84769.108000000007</v>
      </c>
      <c r="H188" s="234">
        <f t="shared" si="19"/>
        <v>-0.32488613658645549</v>
      </c>
      <c r="I188" s="40"/>
    </row>
    <row r="189" spans="2:17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7"/>
        <v>-28697.508000000002</v>
      </c>
      <c r="G189" s="40">
        <f t="shared" si="18"/>
        <v>84769.108000000007</v>
      </c>
      <c r="H189" s="234">
        <f t="shared" si="19"/>
        <v>-0.33853733603047942</v>
      </c>
      <c r="I189" s="40"/>
    </row>
    <row r="190" spans="2:17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7"/>
        <v>-24361.662</v>
      </c>
      <c r="G190" s="40">
        <f t="shared" si="18"/>
        <v>73394.262000000002</v>
      </c>
      <c r="H190" s="234">
        <f t="shared" si="19"/>
        <v>-0.33192870036624933</v>
      </c>
      <c r="I190" s="40"/>
    </row>
    <row r="191" spans="2:17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7"/>
        <v>-23878.821999999989</v>
      </c>
      <c r="G191" s="40">
        <f t="shared" si="18"/>
        <v>84684.421999999991</v>
      </c>
      <c r="H191" s="234">
        <f t="shared" si="19"/>
        <v>-0.28197419827698644</v>
      </c>
      <c r="I191" s="40"/>
      <c r="O191" s="4"/>
      <c r="P191" s="243"/>
      <c r="Q191" s="4"/>
    </row>
    <row r="192" spans="2:17" x14ac:dyDescent="0.25">
      <c r="B192" s="195">
        <v>42488</v>
      </c>
      <c r="C192" s="10">
        <v>5260</v>
      </c>
      <c r="D192" s="202">
        <v>16.078399999999998</v>
      </c>
      <c r="E192" s="40">
        <v>11.62</v>
      </c>
      <c r="F192" s="40">
        <f t="shared" si="17"/>
        <v>-23451.183999999997</v>
      </c>
      <c r="G192" s="40">
        <f t="shared" si="18"/>
        <v>84572.383999999991</v>
      </c>
      <c r="H192" s="234">
        <f t="shared" si="19"/>
        <v>-0.27729127276345905</v>
      </c>
      <c r="I192" s="40"/>
      <c r="O192" s="4"/>
      <c r="P192" s="4"/>
      <c r="Q192" s="4"/>
    </row>
    <row r="193" spans="2:17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7"/>
        <v>-28042.299999999996</v>
      </c>
      <c r="G193" s="40">
        <f t="shared" si="18"/>
        <v>87167.3</v>
      </c>
      <c r="H193" s="234">
        <f t="shared" si="19"/>
        <v>-0.32170664916774983</v>
      </c>
      <c r="I193" s="40"/>
      <c r="O193" s="4"/>
      <c r="P193" s="4"/>
      <c r="Q193" s="4"/>
    </row>
    <row r="194" spans="2:17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7"/>
        <v>-32191.9</v>
      </c>
      <c r="G194" s="40">
        <f t="shared" si="18"/>
        <v>97191.900000000009</v>
      </c>
      <c r="H194" s="234">
        <f t="shared" si="19"/>
        <v>-0.33121998849698381</v>
      </c>
      <c r="I194" s="40"/>
    </row>
    <row r="195" spans="2:17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7"/>
        <v>-31551.299999999996</v>
      </c>
      <c r="G195" s="40">
        <f t="shared" si="18"/>
        <v>86881.3</v>
      </c>
      <c r="H195" s="234">
        <f t="shared" si="19"/>
        <v>-0.363154096451135</v>
      </c>
      <c r="I195" s="40"/>
    </row>
    <row r="196" spans="2:17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7"/>
        <v>-34151.30000000001</v>
      </c>
      <c r="G196" s="40">
        <f t="shared" si="18"/>
        <v>115921.3</v>
      </c>
      <c r="H196" s="234">
        <f t="shared" si="19"/>
        <v>-0.2946076346624823</v>
      </c>
      <c r="I196" s="40"/>
    </row>
    <row r="197" spans="2:17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7"/>
        <v>-33961.949999999997</v>
      </c>
      <c r="G197" s="40">
        <f t="shared" si="18"/>
        <v>86651.95</v>
      </c>
      <c r="H197" s="234">
        <f t="shared" si="19"/>
        <v>-0.39193520745926663</v>
      </c>
      <c r="I197" s="40"/>
    </row>
    <row r="198" spans="2:17" x14ac:dyDescent="0.25">
      <c r="B198" s="195">
        <v>42510</v>
      </c>
      <c r="C198" s="476">
        <v>5000</v>
      </c>
      <c r="D198" s="477">
        <v>16.255400000000002</v>
      </c>
      <c r="E198" s="40">
        <v>10.8</v>
      </c>
      <c r="F198" s="40">
        <f t="shared" si="17"/>
        <v>-27277.000000000004</v>
      </c>
      <c r="G198" s="40">
        <f t="shared" si="18"/>
        <v>81277.000000000015</v>
      </c>
      <c r="H198" s="234">
        <f t="shared" si="19"/>
        <v>-0.33560539882131479</v>
      </c>
      <c r="I198" s="40"/>
    </row>
    <row r="199" spans="2:17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7"/>
        <v>-23679.899999999991</v>
      </c>
      <c r="G199" s="40">
        <f t="shared" si="18"/>
        <v>75384.899999999994</v>
      </c>
      <c r="H199" s="234">
        <f t="shared" si="19"/>
        <v>-0.31411993648595399</v>
      </c>
      <c r="I199" s="40"/>
    </row>
    <row r="200" spans="2:17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7"/>
        <v>-23160.150000000005</v>
      </c>
      <c r="G200" s="40">
        <f t="shared" si="18"/>
        <v>75360.150000000009</v>
      </c>
      <c r="H200" s="234">
        <f t="shared" si="19"/>
        <v>-0.30732621949398992</v>
      </c>
      <c r="I200" s="40"/>
    </row>
    <row r="201" spans="2:17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7"/>
        <v>-21580</v>
      </c>
      <c r="G201" s="40">
        <f t="shared" si="18"/>
        <v>69380</v>
      </c>
      <c r="H201" s="234">
        <f t="shared" si="19"/>
        <v>-0.31104064571922746</v>
      </c>
      <c r="I201" s="40"/>
    </row>
    <row r="202" spans="2:17" x14ac:dyDescent="0.25">
      <c r="B202" s="195">
        <v>42517</v>
      </c>
      <c r="C202" s="239">
        <v>4000</v>
      </c>
      <c r="D202" s="492">
        <v>17.322700000000001</v>
      </c>
      <c r="E202" s="40">
        <v>12.31</v>
      </c>
      <c r="F202" s="40">
        <f t="shared" si="17"/>
        <v>-20050.800000000003</v>
      </c>
      <c r="G202" s="40">
        <f t="shared" si="18"/>
        <v>69290.8</v>
      </c>
      <c r="H202" s="234">
        <f t="shared" si="19"/>
        <v>-0.28937174920768705</v>
      </c>
      <c r="I202" s="40"/>
    </row>
    <row r="203" spans="2:17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7"/>
        <v>-16837.537500000002</v>
      </c>
      <c r="G203" s="40">
        <f t="shared" si="18"/>
        <v>61016.287500000006</v>
      </c>
      <c r="H203" s="234">
        <f t="shared" si="19"/>
        <v>-0.27595152359933406</v>
      </c>
      <c r="I203" s="40"/>
    </row>
    <row r="204" spans="2:17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7"/>
        <v>-17476.399999999998</v>
      </c>
      <c r="G204" s="40">
        <f t="shared" si="18"/>
        <v>68916.399999999994</v>
      </c>
      <c r="H204" s="234">
        <f t="shared" si="19"/>
        <v>-0.25358840566251284</v>
      </c>
      <c r="I204" s="40"/>
    </row>
    <row r="205" spans="2:17" x14ac:dyDescent="0.25">
      <c r="B205" s="195">
        <v>42530</v>
      </c>
      <c r="C205" s="239">
        <v>4000</v>
      </c>
      <c r="D205" s="492">
        <v>17.184100000000001</v>
      </c>
      <c r="E205" s="40">
        <v>12.51</v>
      </c>
      <c r="F205" s="40">
        <f t="shared" si="17"/>
        <v>-18696.400000000005</v>
      </c>
      <c r="G205" s="40">
        <f t="shared" si="18"/>
        <v>68736.400000000009</v>
      </c>
      <c r="H205" s="234">
        <f t="shared" si="19"/>
        <v>-0.27200144319458108</v>
      </c>
      <c r="I205" s="40"/>
    </row>
    <row r="206" spans="2:17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7"/>
        <v>-20214.768</v>
      </c>
      <c r="G206" s="40">
        <f t="shared" si="18"/>
        <v>78001.168000000005</v>
      </c>
      <c r="H206" s="234">
        <f t="shared" si="19"/>
        <v>-0.25915981155564233</v>
      </c>
      <c r="I206" s="40"/>
    </row>
    <row r="207" spans="2:17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7"/>
        <v>-21262.920000000002</v>
      </c>
      <c r="G207" s="40">
        <f t="shared" si="18"/>
        <v>78002.12</v>
      </c>
      <c r="H207" s="234">
        <f t="shared" si="19"/>
        <v>-0.27259412949289075</v>
      </c>
      <c r="I207" s="40"/>
    </row>
    <row r="208" spans="2:17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7"/>
        <v>-20999.216</v>
      </c>
      <c r="G208" s="40">
        <f t="shared" si="18"/>
        <v>77881.216</v>
      </c>
      <c r="H208" s="234">
        <f t="shared" si="19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7"/>
        <v>-19042.620000000006</v>
      </c>
      <c r="G209" s="40">
        <f t="shared" si="18"/>
        <v>75714.62000000001</v>
      </c>
      <c r="H209" s="234">
        <f t="shared" si="19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7"/>
        <v>-17040.800000000003</v>
      </c>
      <c r="G210" s="40">
        <f t="shared" si="18"/>
        <v>68040.800000000003</v>
      </c>
      <c r="H210" s="234">
        <f t="shared" si="19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7"/>
        <v>-12255.250000000002</v>
      </c>
      <c r="G211" s="40">
        <f t="shared" si="18"/>
        <v>47380.250000000007</v>
      </c>
      <c r="H211" s="234">
        <f t="shared" si="19"/>
        <v>-0.25865735195571998</v>
      </c>
      <c r="I211" s="40"/>
    </row>
    <row r="212" spans="2:9" x14ac:dyDescent="0.25">
      <c r="B212" s="195">
        <v>42545</v>
      </c>
      <c r="C212" s="461">
        <v>3000</v>
      </c>
      <c r="D212" s="462">
        <v>18.046700000000001</v>
      </c>
      <c r="E212" s="40">
        <v>13.52</v>
      </c>
      <c r="F212" s="40">
        <f t="shared" si="17"/>
        <v>-13580.100000000006</v>
      </c>
      <c r="G212" s="40">
        <f t="shared" si="18"/>
        <v>54140.100000000006</v>
      </c>
      <c r="H212" s="234">
        <f t="shared" si="19"/>
        <v>-0.25083256218588446</v>
      </c>
      <c r="I212" s="40"/>
    </row>
    <row r="213" spans="2:9" x14ac:dyDescent="0.25">
      <c r="B213" s="195">
        <v>42545</v>
      </c>
      <c r="C213" s="10">
        <v>3500</v>
      </c>
      <c r="D213" s="202">
        <v>17.391500000000001</v>
      </c>
      <c r="E213" s="40">
        <v>13.46</v>
      </c>
      <c r="F213" s="40">
        <f t="shared" si="17"/>
        <v>-13760.25</v>
      </c>
      <c r="G213" s="40">
        <f t="shared" si="18"/>
        <v>60870.25</v>
      </c>
      <c r="H213" s="234">
        <f t="shared" si="19"/>
        <v>-0.22605870683954804</v>
      </c>
      <c r="I213" s="40"/>
    </row>
    <row r="214" spans="2:9" x14ac:dyDescent="0.25">
      <c r="B214" s="195">
        <v>42545</v>
      </c>
      <c r="C214" s="239">
        <v>4000</v>
      </c>
      <c r="D214" s="492">
        <v>16.8825</v>
      </c>
      <c r="E214" s="40">
        <v>13.32</v>
      </c>
      <c r="F214" s="40">
        <f t="shared" si="17"/>
        <v>-14250</v>
      </c>
      <c r="G214" s="40">
        <f t="shared" si="18"/>
        <v>67530</v>
      </c>
      <c r="H214" s="234">
        <f t="shared" si="19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7"/>
        <v>-19047.14</v>
      </c>
      <c r="G215" s="40">
        <f t="shared" si="18"/>
        <v>77261.94</v>
      </c>
      <c r="H215" s="234">
        <f t="shared" si="19"/>
        <v>-0.246526815143394</v>
      </c>
      <c r="I215" s="40"/>
    </row>
    <row r="216" spans="2:9" x14ac:dyDescent="0.25">
      <c r="B216" s="195">
        <v>42548</v>
      </c>
      <c r="C216" s="10">
        <v>5260</v>
      </c>
      <c r="D216" s="202">
        <v>15.884399999999999</v>
      </c>
      <c r="E216" s="40">
        <v>12.23</v>
      </c>
      <c r="F216" s="40">
        <f t="shared" ref="F216:F217" si="20">-C216*(D216-E216)</f>
        <v>-19222.143999999993</v>
      </c>
      <c r="G216" s="40">
        <f t="shared" ref="G216:G217" si="21">IF(C216=0, 0,D216*C216)</f>
        <v>83551.944000000003</v>
      </c>
      <c r="H216" s="234">
        <f t="shared" ref="H216:H217" si="22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20"/>
        <v>-15240.149999999998</v>
      </c>
      <c r="G217" s="40">
        <f t="shared" si="21"/>
        <v>73695.149999999994</v>
      </c>
      <c r="H217" s="234">
        <f t="shared" si="22"/>
        <v>-0.2067999047427137</v>
      </c>
      <c r="I217" s="40"/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3">-C218*(D218-E218)</f>
        <v>-14340.15</v>
      </c>
      <c r="G218" s="40">
        <f t="shared" ref="G218:G220" si="24">IF(C218=0, 0,D218*C218)</f>
        <v>73695.149999999994</v>
      </c>
      <c r="H218" s="234">
        <f t="shared" ref="H218:H220" si="25">IF(C218=0, D218, (E218-D218)/D218)</f>
        <v>-0.19458743214444912</v>
      </c>
      <c r="I218" s="238">
        <v>16</v>
      </c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3"/>
        <v>-11794.000000000004</v>
      </c>
      <c r="G219" s="40">
        <f t="shared" si="24"/>
        <v>66834</v>
      </c>
      <c r="H219" s="234">
        <f t="shared" si="25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3"/>
        <v>-11115.000000000004</v>
      </c>
      <c r="G220" s="40">
        <f t="shared" si="24"/>
        <v>73035</v>
      </c>
      <c r="H220" s="234">
        <f t="shared" si="25"/>
        <v>-0.15218730745532968</v>
      </c>
      <c r="I220" s="469" t="s">
        <v>287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6">-C221*(D221-E221)</f>
        <v>-16785.000000000004</v>
      </c>
      <c r="G221" s="40">
        <f t="shared" ref="G221:G222" si="27">IF(C221=0, 0,D221*C221)</f>
        <v>73035</v>
      </c>
      <c r="H221" s="234">
        <f t="shared" ref="H221:H222" si="28">IF(C221=0, D221, (E221-D221)/D221)</f>
        <v>-0.22982131854590268</v>
      </c>
      <c r="I221" s="469"/>
    </row>
    <row r="222" spans="2:9" x14ac:dyDescent="0.25">
      <c r="B222" s="195">
        <v>42556</v>
      </c>
      <c r="C222" s="476">
        <v>5000</v>
      </c>
      <c r="D222" s="477">
        <v>15.7963</v>
      </c>
      <c r="E222" s="40">
        <v>11.91</v>
      </c>
      <c r="F222" s="40">
        <f t="shared" si="26"/>
        <v>-19431.5</v>
      </c>
      <c r="G222" s="40">
        <f t="shared" si="27"/>
        <v>78981.5</v>
      </c>
      <c r="H222" s="234">
        <f t="shared" si="28"/>
        <v>-0.24602596810645533</v>
      </c>
      <c r="I222" s="40"/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29">-C223*(D223-E223)</f>
        <v>-17741.700000000012</v>
      </c>
      <c r="G223" s="40">
        <f t="shared" ref="G223" si="30">IF(C223=0, 0,D223*C223)</f>
        <v>72641.700000000012</v>
      </c>
      <c r="H223" s="234">
        <f t="shared" ref="H223" si="31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2">-C224*(D224-E224)</f>
        <v>-15851.700000000012</v>
      </c>
      <c r="G224" s="40">
        <f t="shared" ref="G224" si="33">IF(C224=0, 0,D224*C224)</f>
        <v>72641.700000000012</v>
      </c>
      <c r="H224" s="234">
        <f t="shared" ref="H224" si="34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5">-C225*(D225-E225)</f>
        <v>-15763.5</v>
      </c>
      <c r="G225" s="40">
        <f t="shared" ref="G225" si="36">IF(C225=0, 0,D225*C225)</f>
        <v>72643.5</v>
      </c>
      <c r="H225" s="234">
        <f t="shared" ref="H225" si="37">IF(C225=0, D225, (E225-D225)/D225)</f>
        <v>-0.21699807966301182</v>
      </c>
      <c r="I225" s="40"/>
    </row>
    <row r="226" spans="2:9" x14ac:dyDescent="0.25">
      <c r="B226" s="195">
        <v>42572</v>
      </c>
      <c r="C226" s="10">
        <v>4500</v>
      </c>
      <c r="D226" s="202">
        <v>16.143000000000001</v>
      </c>
      <c r="E226" s="40">
        <v>13.18</v>
      </c>
      <c r="F226" s="40">
        <f t="shared" ref="F226" si="38">-C226*(D226-E226)</f>
        <v>-13333.500000000004</v>
      </c>
      <c r="G226" s="40">
        <f t="shared" ref="G226" si="39">IF(C226=0, 0,D226*C226)</f>
        <v>72643.5</v>
      </c>
      <c r="H226" s="234">
        <f t="shared" ref="H226" si="40">IF(C226=0, D226, (E226-D226)/D226)</f>
        <v>-0.18354704825621018</v>
      </c>
      <c r="I226" s="40"/>
    </row>
    <row r="227" spans="2:9" x14ac:dyDescent="0.25">
      <c r="B227" s="195">
        <v>42576</v>
      </c>
      <c r="C227" s="239">
        <v>4000</v>
      </c>
      <c r="D227" s="492">
        <v>16.433</v>
      </c>
      <c r="E227" s="40">
        <v>13.92</v>
      </c>
      <c r="F227" s="40">
        <f t="shared" ref="F227" si="41">-C227*(D227-E227)</f>
        <v>-10052</v>
      </c>
      <c r="G227" s="40">
        <f t="shared" ref="G227" si="42">IF(C227=0, 0,D227*C227)</f>
        <v>65732</v>
      </c>
      <c r="H227" s="234">
        <f t="shared" ref="H227" si="43">IF(C227=0, D227, (E227-D227)/D227)</f>
        <v>-0.15292399440150917</v>
      </c>
      <c r="I227" s="40"/>
    </row>
    <row r="228" spans="2:9" x14ac:dyDescent="0.25">
      <c r="B228" s="195">
        <v>42577</v>
      </c>
      <c r="C228" s="10">
        <v>3200</v>
      </c>
      <c r="D228" s="202">
        <v>16.935400000000001</v>
      </c>
      <c r="E228" s="40">
        <v>14.67</v>
      </c>
      <c r="F228" s="40">
        <f t="shared" ref="F228" si="44">-C228*(D228-E228)</f>
        <v>-7249.2800000000043</v>
      </c>
      <c r="G228" s="40">
        <f t="shared" ref="G228" si="45">IF(C228=0, 0,D228*C228)</f>
        <v>54193.280000000006</v>
      </c>
      <c r="H228" s="234">
        <f t="shared" ref="H228" si="46">IF(C228=0, D228, (E228-D228)/D228)</f>
        <v>-0.1337671386563058</v>
      </c>
      <c r="I228" s="40"/>
    </row>
    <row r="229" spans="2:9" x14ac:dyDescent="0.25">
      <c r="B229" s="195">
        <v>42578</v>
      </c>
      <c r="C229" s="10">
        <v>3400</v>
      </c>
      <c r="D229" s="202">
        <v>16.7698</v>
      </c>
      <c r="E229" s="40">
        <v>14.19</v>
      </c>
      <c r="F229" s="40">
        <f t="shared" ref="F229:F230" si="47">-C229*(D229-E229)</f>
        <v>-8771.3200000000015</v>
      </c>
      <c r="G229" s="40">
        <f t="shared" ref="G229:G230" si="48">IF(C229=0, 0,D229*C229)</f>
        <v>57017.32</v>
      </c>
      <c r="H229" s="234">
        <f t="shared" ref="H229:H230" si="49">IF(C229=0, D229, (E229-D229)/D229)</f>
        <v>-0.15383606244558673</v>
      </c>
      <c r="I229" s="40"/>
    </row>
    <row r="230" spans="2:9" x14ac:dyDescent="0.25">
      <c r="B230" s="195">
        <v>42579</v>
      </c>
      <c r="C230" s="239">
        <v>4000</v>
      </c>
      <c r="D230" s="492">
        <v>16.327300000000001</v>
      </c>
      <c r="E230" s="40">
        <v>13.81</v>
      </c>
      <c r="F230" s="40">
        <f t="shared" si="47"/>
        <v>-10069.200000000003</v>
      </c>
      <c r="G230" s="40">
        <f t="shared" si="48"/>
        <v>65309.200000000004</v>
      </c>
      <c r="H230" s="234">
        <f t="shared" si="49"/>
        <v>-0.15417735939193869</v>
      </c>
      <c r="I230" s="40"/>
    </row>
    <row r="231" spans="2:9" x14ac:dyDescent="0.25">
      <c r="B231" s="195">
        <v>42580</v>
      </c>
      <c r="C231" s="7">
        <v>4500</v>
      </c>
      <c r="D231" s="79">
        <v>16.026499999999999</v>
      </c>
      <c r="E231" s="40">
        <v>13.74</v>
      </c>
      <c r="F231" s="40">
        <f t="shared" ref="F231:F234" si="50">-C231*(D231-E231)</f>
        <v>-10289.249999999993</v>
      </c>
      <c r="G231" s="40">
        <f t="shared" ref="G231:G234" si="51">IF(C231=0, 0,D231*C231)</f>
        <v>72119.25</v>
      </c>
      <c r="H231" s="234">
        <f t="shared" ref="H231:H234" si="52">IF(C231=0, D231, (E231-D231)/D231)</f>
        <v>-0.14266995289052498</v>
      </c>
      <c r="I231" s="40"/>
    </row>
    <row r="232" spans="2:9" x14ac:dyDescent="0.25">
      <c r="B232" s="195">
        <v>42585</v>
      </c>
      <c r="C232" s="10">
        <v>4700</v>
      </c>
      <c r="D232" s="202">
        <v>15.9011</v>
      </c>
      <c r="E232" s="40">
        <v>13.4</v>
      </c>
      <c r="F232" s="40">
        <f t="shared" si="50"/>
        <v>-11755.169999999996</v>
      </c>
      <c r="G232" s="40">
        <f t="shared" si="51"/>
        <v>74735.17</v>
      </c>
      <c r="H232" s="234">
        <f t="shared" si="52"/>
        <v>-0.15729100502480955</v>
      </c>
      <c r="I232" s="40"/>
    </row>
    <row r="233" spans="2:9" x14ac:dyDescent="0.25">
      <c r="B233" s="195">
        <v>42586</v>
      </c>
      <c r="C233" s="7">
        <v>4500</v>
      </c>
      <c r="D233" s="79">
        <v>15.990399999999999</v>
      </c>
      <c r="E233" s="40">
        <v>14.03</v>
      </c>
      <c r="F233" s="40">
        <f t="shared" si="50"/>
        <v>-8821.7999999999993</v>
      </c>
      <c r="G233" s="40">
        <f t="shared" si="51"/>
        <v>71956.800000000003</v>
      </c>
      <c r="H233" s="234">
        <f t="shared" si="52"/>
        <v>-0.12259855913548129</v>
      </c>
      <c r="I233" s="238">
        <v>15.75</v>
      </c>
    </row>
    <row r="234" spans="2:9" x14ac:dyDescent="0.25">
      <c r="B234" s="195">
        <v>42587</v>
      </c>
      <c r="C234" s="239">
        <v>4000</v>
      </c>
      <c r="D234" s="492">
        <v>16.158000000000001</v>
      </c>
      <c r="E234" s="40">
        <v>14.52</v>
      </c>
      <c r="F234" s="40">
        <f t="shared" si="50"/>
        <v>-6552.0000000000064</v>
      </c>
      <c r="G234" s="40">
        <f t="shared" si="51"/>
        <v>64632.000000000007</v>
      </c>
      <c r="H234" s="234">
        <f t="shared" si="52"/>
        <v>-0.10137393241737848</v>
      </c>
      <c r="I234" s="238">
        <v>16</v>
      </c>
    </row>
    <row r="235" spans="2:9" x14ac:dyDescent="0.25">
      <c r="B235" s="195"/>
      <c r="C235" s="10"/>
      <c r="D235" s="202"/>
      <c r="E235" s="40"/>
      <c r="F235" s="40"/>
      <c r="G235" s="40"/>
      <c r="H235" s="234"/>
      <c r="I235" s="40"/>
    </row>
    <row r="236" spans="2:9" x14ac:dyDescent="0.25">
      <c r="B236" s="195"/>
      <c r="C236" s="10"/>
      <c r="D236" s="202"/>
      <c r="E236" s="40"/>
      <c r="F236" s="40"/>
      <c r="G236" s="40"/>
      <c r="H236" s="234"/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  <row r="238" spans="2:9" x14ac:dyDescent="0.25">
      <c r="B238" s="195"/>
      <c r="C238" s="10"/>
      <c r="D238" s="202"/>
      <c r="E238" s="40"/>
      <c r="F238" s="40"/>
      <c r="G238" s="40"/>
      <c r="H238" s="234"/>
      <c r="I238" s="40"/>
    </row>
    <row r="239" spans="2:9" x14ac:dyDescent="0.25">
      <c r="B239" s="195"/>
      <c r="C239" s="10"/>
      <c r="D239" s="202"/>
      <c r="E239" s="40"/>
      <c r="F239" s="40"/>
      <c r="G239" s="40"/>
      <c r="H239" s="234"/>
      <c r="I239" s="40"/>
    </row>
    <row r="240" spans="2:9" x14ac:dyDescent="0.25">
      <c r="B240" s="195"/>
      <c r="C240" s="10"/>
      <c r="D240" s="202"/>
      <c r="E240" s="40"/>
      <c r="F240" s="40"/>
      <c r="G240" s="40"/>
      <c r="H240" s="234"/>
      <c r="I240" s="40"/>
    </row>
    <row r="241" spans="2:9" x14ac:dyDescent="0.25">
      <c r="B241" s="195"/>
      <c r="C241" s="10"/>
      <c r="D241" s="202"/>
      <c r="E241" s="40"/>
      <c r="F241" s="40"/>
      <c r="G241" s="40"/>
      <c r="H241" s="234"/>
      <c r="I241" s="40"/>
    </row>
    <row r="242" spans="2:9" x14ac:dyDescent="0.25">
      <c r="B242" s="195"/>
      <c r="C242" s="10"/>
      <c r="D242" s="202"/>
      <c r="E242" s="40"/>
      <c r="F242" s="40"/>
      <c r="G242" s="40"/>
      <c r="H242" s="234"/>
      <c r="I242" s="40"/>
    </row>
    <row r="243" spans="2:9" x14ac:dyDescent="0.25">
      <c r="B243" s="195"/>
      <c r="C243" s="10"/>
      <c r="D243" s="202"/>
      <c r="E243" s="40"/>
      <c r="F243" s="40"/>
      <c r="G243" s="40"/>
      <c r="H243" s="234"/>
      <c r="I243" s="40"/>
    </row>
    <row r="244" spans="2:9" x14ac:dyDescent="0.25">
      <c r="B244" s="195"/>
      <c r="C244" s="10"/>
      <c r="D244" s="202"/>
      <c r="E244" s="40"/>
      <c r="F244" s="40"/>
      <c r="G244" s="40"/>
      <c r="H244" s="234"/>
      <c r="I244" s="40"/>
    </row>
    <row r="245" spans="2:9" x14ac:dyDescent="0.25">
      <c r="B245" s="195"/>
      <c r="C245" s="10"/>
      <c r="D245" s="202"/>
      <c r="E245" s="40"/>
      <c r="F245" s="40"/>
      <c r="G245" s="40"/>
      <c r="H245" s="234"/>
      <c r="I245" s="40"/>
    </row>
    <row r="246" spans="2:9" x14ac:dyDescent="0.25">
      <c r="B246" s="195"/>
      <c r="C246" s="10"/>
      <c r="D246" s="202"/>
      <c r="E246" s="40"/>
      <c r="F246" s="40"/>
      <c r="G246" s="40"/>
      <c r="H246" s="234"/>
      <c r="I246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46 H159:H246">
    <cfRule type="expression" dxfId="433" priority="43">
      <formula>F139&gt;0</formula>
    </cfRule>
    <cfRule type="expression" dxfId="432" priority="44">
      <formula>F139&lt;0</formula>
    </cfRule>
  </conditionalFormatting>
  <conditionalFormatting sqref="H139:H150">
    <cfRule type="expression" dxfId="431" priority="35">
      <formula>H139&gt;0</formula>
    </cfRule>
    <cfRule type="expression" dxfId="430" priority="36">
      <formula>H139&lt;0</formula>
    </cfRule>
  </conditionalFormatting>
  <conditionalFormatting sqref="H151">
    <cfRule type="expression" dxfId="429" priority="25">
      <formula>H151&gt;0</formula>
    </cfRule>
    <cfRule type="expression" dxfId="428" priority="26">
      <formula>H151&lt;0</formula>
    </cfRule>
  </conditionalFormatting>
  <conditionalFormatting sqref="H152">
    <cfRule type="expression" dxfId="427" priority="21">
      <formula>H152&gt;0</formula>
    </cfRule>
    <cfRule type="expression" dxfId="426" priority="22">
      <formula>H152&lt;0</formula>
    </cfRule>
  </conditionalFormatting>
  <conditionalFormatting sqref="H153:H158">
    <cfRule type="expression" dxfId="425" priority="17">
      <formula>H153&gt;0</formula>
    </cfRule>
    <cfRule type="expression" dxfId="424" priority="18">
      <formula>H153&lt;0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42587</v>
      </c>
      <c r="X2" s="103">
        <v>46.11</v>
      </c>
      <c r="Y2" s="103">
        <v>46.47</v>
      </c>
      <c r="Z2" s="103">
        <v>45.89</v>
      </c>
      <c r="AA2" s="103">
        <v>45.98</v>
      </c>
      <c r="AB2" s="101">
        <v>1747900</v>
      </c>
      <c r="AC2" s="100">
        <v>45.98</v>
      </c>
      <c r="AD2" s="2">
        <f>Y2-Z2</f>
        <v>0.57999999999999829</v>
      </c>
      <c r="AE2" s="138">
        <f>AC2/AC3-1</f>
        <v>3.4919249236140537E-3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46.18</v>
      </c>
      <c r="S3" s="115"/>
      <c r="T3" s="17"/>
      <c r="U3" s="17"/>
      <c r="V3" s="17"/>
      <c r="W3" s="99">
        <v>42586</v>
      </c>
      <c r="X3" s="103">
        <v>45.85</v>
      </c>
      <c r="Y3" s="103">
        <v>46.38</v>
      </c>
      <c r="Z3" s="103">
        <v>45.73</v>
      </c>
      <c r="AA3" s="103">
        <v>45.82</v>
      </c>
      <c r="AB3" s="101">
        <v>2061300</v>
      </c>
      <c r="AC3" s="100">
        <v>45.82</v>
      </c>
      <c r="AD3" s="2">
        <f t="shared" ref="AD3:AD66" si="0">Y3-Z3</f>
        <v>0.65000000000000568</v>
      </c>
      <c r="AE3" s="138">
        <f t="shared" ref="AE3:AE66" si="1">AC3/AC4-1</f>
        <v>1.7490161783995095E-3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46.18</v>
      </c>
      <c r="W4" s="99">
        <v>42585</v>
      </c>
      <c r="X4" s="103">
        <v>45.38</v>
      </c>
      <c r="Y4" s="103">
        <v>45.82</v>
      </c>
      <c r="Z4" s="103">
        <v>45.17</v>
      </c>
      <c r="AA4" s="103">
        <v>45.74</v>
      </c>
      <c r="AB4" s="101">
        <v>1425800</v>
      </c>
      <c r="AC4" s="100">
        <v>45.74</v>
      </c>
      <c r="AD4" s="2">
        <f t="shared" si="0"/>
        <v>0.64999999999999858</v>
      </c>
      <c r="AE4" s="138">
        <f t="shared" si="1"/>
        <v>7.7109495483587143E-3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42584</v>
      </c>
      <c r="X5" s="103">
        <v>45.39</v>
      </c>
      <c r="Y5" s="103">
        <v>45.65</v>
      </c>
      <c r="Z5" s="103">
        <v>45.22</v>
      </c>
      <c r="AA5" s="103">
        <v>45.39</v>
      </c>
      <c r="AB5" s="101">
        <v>2004000</v>
      </c>
      <c r="AC5" s="100">
        <v>45.39</v>
      </c>
      <c r="AD5" s="2">
        <f t="shared" si="0"/>
        <v>0.42999999999999972</v>
      </c>
      <c r="AE5" s="138">
        <f t="shared" si="1"/>
        <v>-2.4175824175823868E-3</v>
      </c>
    </row>
    <row r="6" spans="1:31" x14ac:dyDescent="0.25">
      <c r="O6" s="11" t="s">
        <v>64</v>
      </c>
      <c r="Q6" s="2">
        <f>Q3*Q2</f>
        <v>0</v>
      </c>
      <c r="S6" s="85"/>
      <c r="W6" s="99">
        <v>42583</v>
      </c>
      <c r="X6" s="103">
        <v>45.76</v>
      </c>
      <c r="Y6" s="103">
        <v>45.88</v>
      </c>
      <c r="Z6" s="103">
        <v>45.17</v>
      </c>
      <c r="AA6" s="103">
        <v>45.5</v>
      </c>
      <c r="AB6" s="101">
        <v>2063200</v>
      </c>
      <c r="AC6" s="100">
        <v>45.5</v>
      </c>
      <c r="AD6" s="2">
        <f t="shared" si="0"/>
        <v>0.71000000000000085</v>
      </c>
      <c r="AE6" s="138">
        <f t="shared" si="1"/>
        <v>-6.7670814232700938E-3</v>
      </c>
    </row>
    <row r="7" spans="1:31" x14ac:dyDescent="0.25">
      <c r="O7" s="11" t="s">
        <v>188</v>
      </c>
      <c r="Q7" s="2">
        <f>Q10+Q8</f>
        <v>119.92000000000053</v>
      </c>
      <c r="R7">
        <v>0</v>
      </c>
      <c r="W7" s="99">
        <v>42580</v>
      </c>
      <c r="X7" s="103">
        <v>45.57</v>
      </c>
      <c r="Y7" s="103">
        <v>45.89</v>
      </c>
      <c r="Z7" s="103">
        <v>45.28</v>
      </c>
      <c r="AA7" s="103">
        <v>45.81</v>
      </c>
      <c r="AB7" s="101">
        <v>2319700</v>
      </c>
      <c r="AC7" s="100">
        <v>45.81</v>
      </c>
      <c r="AD7" s="2">
        <f t="shared" si="0"/>
        <v>0.60999999999999943</v>
      </c>
      <c r="AE7" s="138">
        <f t="shared" si="1"/>
        <v>1.7493986442160825E-3</v>
      </c>
    </row>
    <row r="8" spans="1:31" x14ac:dyDescent="0.25">
      <c r="O8" s="11" t="s">
        <v>192</v>
      </c>
      <c r="P8" s="34"/>
      <c r="Q8" s="2">
        <f>K18+M18-F18+Q2*Q4</f>
        <v>0</v>
      </c>
      <c r="S8" s="121"/>
      <c r="W8" s="99">
        <v>42579</v>
      </c>
      <c r="X8" s="103">
        <v>45.5</v>
      </c>
      <c r="Y8" s="103">
        <v>46.28</v>
      </c>
      <c r="Z8" s="103">
        <v>44.93</v>
      </c>
      <c r="AA8" s="103">
        <v>45.73</v>
      </c>
      <c r="AB8" s="101">
        <v>3215700</v>
      </c>
      <c r="AC8" s="100">
        <v>45.73</v>
      </c>
      <c r="AD8" s="2">
        <f t="shared" si="0"/>
        <v>1.3500000000000014</v>
      </c>
      <c r="AE8" s="138">
        <f t="shared" si="1"/>
        <v>3.0708488703661274E-3</v>
      </c>
    </row>
    <row r="9" spans="1:31" x14ac:dyDescent="0.25">
      <c r="O9" s="11" t="s">
        <v>231</v>
      </c>
      <c r="Q9" s="138">
        <f>IF(Q2=0, 0, Q8/Q6)</f>
        <v>0</v>
      </c>
      <c r="W9" s="99">
        <v>42578</v>
      </c>
      <c r="X9" s="103">
        <v>45.68</v>
      </c>
      <c r="Y9" s="103">
        <v>45.86</v>
      </c>
      <c r="Z9" s="103">
        <v>45.1</v>
      </c>
      <c r="AA9" s="103">
        <v>45.59</v>
      </c>
      <c r="AB9" s="101">
        <v>2911000</v>
      </c>
      <c r="AC9" s="100">
        <v>45.59</v>
      </c>
      <c r="AD9" s="2">
        <f t="shared" si="0"/>
        <v>0.75999999999999801</v>
      </c>
      <c r="AE9" s="138">
        <f t="shared" si="1"/>
        <v>-1.9702276707529442E-3</v>
      </c>
    </row>
    <row r="10" spans="1:31" x14ac:dyDescent="0.25">
      <c r="O10" s="11" t="s">
        <v>230</v>
      </c>
      <c r="P10" s="34"/>
      <c r="Q10" s="2">
        <f>M30</f>
        <v>119.92000000000053</v>
      </c>
      <c r="W10" s="99">
        <v>42577</v>
      </c>
      <c r="X10" s="103">
        <v>45.19</v>
      </c>
      <c r="Y10" s="103">
        <v>45.71</v>
      </c>
      <c r="Z10" s="103">
        <v>45.05</v>
      </c>
      <c r="AA10" s="103">
        <v>45.68</v>
      </c>
      <c r="AB10" s="101">
        <v>1600200</v>
      </c>
      <c r="AC10" s="100">
        <v>45.68</v>
      </c>
      <c r="AD10" s="2">
        <f t="shared" si="0"/>
        <v>0.66000000000000369</v>
      </c>
      <c r="AE10" s="138">
        <f t="shared" si="1"/>
        <v>1.2411347517730542E-2</v>
      </c>
    </row>
    <row r="11" spans="1:31" x14ac:dyDescent="0.25">
      <c r="O11" s="11" t="s">
        <v>184</v>
      </c>
      <c r="P11" s="34"/>
      <c r="Q11" s="138">
        <f>VALUE(TRIM(CLEAN(MID(U58, FIND("(", U58)+1, 5))))</f>
        <v>3.8300000000000001E-2</v>
      </c>
      <c r="W11" s="99">
        <v>42576</v>
      </c>
      <c r="X11" s="103">
        <v>45.04</v>
      </c>
      <c r="Y11" s="103">
        <v>45.13</v>
      </c>
      <c r="Z11" s="103">
        <v>44.7</v>
      </c>
      <c r="AA11" s="103">
        <v>45.12</v>
      </c>
      <c r="AB11" s="101">
        <v>1402700</v>
      </c>
      <c r="AC11" s="100">
        <v>45.12</v>
      </c>
      <c r="AD11" s="2">
        <f t="shared" si="0"/>
        <v>0.42999999999999972</v>
      </c>
      <c r="AE11" s="138">
        <f t="shared" si="1"/>
        <v>0</v>
      </c>
    </row>
    <row r="12" spans="1:31" x14ac:dyDescent="0.25">
      <c r="W12" s="99">
        <v>42573</v>
      </c>
      <c r="X12" s="103">
        <v>44.94</v>
      </c>
      <c r="Y12" s="103">
        <v>45.22</v>
      </c>
      <c r="Z12" s="103">
        <v>44.75</v>
      </c>
      <c r="AA12" s="103">
        <v>45.12</v>
      </c>
      <c r="AB12" s="101">
        <v>1591500</v>
      </c>
      <c r="AC12" s="100">
        <v>45.12</v>
      </c>
      <c r="AD12" s="2">
        <f t="shared" si="0"/>
        <v>0.46999999999999886</v>
      </c>
      <c r="AE12" s="138">
        <f t="shared" si="1"/>
        <v>5.3475935828874999E-3</v>
      </c>
    </row>
    <row r="13" spans="1:31" x14ac:dyDescent="0.25">
      <c r="W13" s="99">
        <v>42572</v>
      </c>
      <c r="X13" s="103">
        <v>45.07</v>
      </c>
      <c r="Y13" s="103">
        <v>45.32</v>
      </c>
      <c r="Z13" s="103">
        <v>44.73</v>
      </c>
      <c r="AA13" s="103">
        <v>44.88</v>
      </c>
      <c r="AB13" s="101">
        <v>1802500</v>
      </c>
      <c r="AC13" s="100">
        <v>44.88</v>
      </c>
      <c r="AD13" s="2">
        <f t="shared" si="0"/>
        <v>0.59000000000000341</v>
      </c>
      <c r="AE13" s="138">
        <f t="shared" si="1"/>
        <v>-2.888247056209603E-3</v>
      </c>
    </row>
    <row r="14" spans="1:31" x14ac:dyDescent="0.25">
      <c r="W14" s="99">
        <v>42571</v>
      </c>
      <c r="X14" s="103">
        <v>45.01</v>
      </c>
      <c r="Y14" s="103">
        <v>45.47</v>
      </c>
      <c r="Z14" s="103">
        <v>44.89</v>
      </c>
      <c r="AA14" s="103">
        <v>45.01</v>
      </c>
      <c r="AB14" s="101">
        <v>2414700</v>
      </c>
      <c r="AC14" s="100">
        <v>45.01</v>
      </c>
      <c r="AD14" s="2">
        <f t="shared" si="0"/>
        <v>0.57999999999999829</v>
      </c>
      <c r="AE14" s="138">
        <f t="shared" si="1"/>
        <v>8.8948187680681912E-4</v>
      </c>
    </row>
    <row r="15" spans="1:31" x14ac:dyDescent="0.25">
      <c r="W15" s="99">
        <v>42570</v>
      </c>
      <c r="X15" s="103">
        <v>45.44</v>
      </c>
      <c r="Y15" s="103">
        <v>45.65</v>
      </c>
      <c r="Z15" s="103">
        <v>44.81</v>
      </c>
      <c r="AA15" s="103">
        <v>44.97</v>
      </c>
      <c r="AB15" s="101">
        <v>2908300</v>
      </c>
      <c r="AC15" s="100">
        <v>44.97</v>
      </c>
      <c r="AD15" s="2">
        <f t="shared" si="0"/>
        <v>0.83999999999999631</v>
      </c>
      <c r="AE15" s="138">
        <f t="shared" si="1"/>
        <v>-1.2299582692730127E-2</v>
      </c>
    </row>
    <row r="16" spans="1:31" x14ac:dyDescent="0.25">
      <c r="W16" s="99">
        <v>42569</v>
      </c>
      <c r="X16" s="103">
        <v>45.47</v>
      </c>
      <c r="Y16" s="103">
        <v>45.63</v>
      </c>
      <c r="Z16" s="103">
        <v>45.11</v>
      </c>
      <c r="AA16" s="103">
        <v>45.53</v>
      </c>
      <c r="AB16" s="101">
        <v>2118800</v>
      </c>
      <c r="AC16" s="100">
        <v>45.53</v>
      </c>
      <c r="AD16" s="2">
        <f t="shared" si="0"/>
        <v>0.52000000000000313</v>
      </c>
      <c r="AE16" s="138">
        <f t="shared" si="1"/>
        <v>1.3195513525401381E-3</v>
      </c>
    </row>
    <row r="17" spans="1:31" x14ac:dyDescent="0.25">
      <c r="W17" s="99">
        <v>42566</v>
      </c>
      <c r="X17" s="103">
        <v>44.41</v>
      </c>
      <c r="Y17" s="103">
        <v>45.97</v>
      </c>
      <c r="Z17" s="103">
        <v>44.41</v>
      </c>
      <c r="AA17" s="103">
        <v>45.47</v>
      </c>
      <c r="AB17" s="101">
        <v>5390300</v>
      </c>
      <c r="AC17" s="100">
        <v>45.47</v>
      </c>
      <c r="AD17" s="2">
        <f t="shared" si="0"/>
        <v>1.5600000000000023</v>
      </c>
      <c r="AE17" s="138">
        <f t="shared" si="1"/>
        <v>3.2236095346197535E-2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42565</v>
      </c>
      <c r="X18" s="103">
        <v>44.5</v>
      </c>
      <c r="Y18" s="103">
        <v>44.68</v>
      </c>
      <c r="Z18" s="103">
        <v>43.98</v>
      </c>
      <c r="AA18" s="103">
        <v>44.05</v>
      </c>
      <c r="AB18" s="101">
        <v>3046000</v>
      </c>
      <c r="AC18" s="100">
        <v>44.05</v>
      </c>
      <c r="AD18" s="2">
        <f t="shared" si="0"/>
        <v>0.70000000000000284</v>
      </c>
      <c r="AE18" s="138">
        <f t="shared" si="1"/>
        <v>-4.2947558770344285E-3</v>
      </c>
    </row>
    <row r="19" spans="1:31" x14ac:dyDescent="0.25">
      <c r="W19" s="99">
        <v>42564</v>
      </c>
      <c r="X19" s="103">
        <v>44.19</v>
      </c>
      <c r="Y19" s="103">
        <v>44.4</v>
      </c>
      <c r="Z19" s="103">
        <v>43.85</v>
      </c>
      <c r="AA19" s="103">
        <v>44.24</v>
      </c>
      <c r="AB19" s="101">
        <v>2818100</v>
      </c>
      <c r="AC19" s="100">
        <v>44.24</v>
      </c>
      <c r="AD19" s="2">
        <f t="shared" si="0"/>
        <v>0.54999999999999716</v>
      </c>
      <c r="AE19" s="138">
        <f t="shared" si="1"/>
        <v>1.5847860538826808E-3</v>
      </c>
    </row>
    <row r="20" spans="1:31" x14ac:dyDescent="0.25">
      <c r="W20" s="99">
        <v>42563</v>
      </c>
      <c r="X20" s="103">
        <v>43.32</v>
      </c>
      <c r="Y20" s="103">
        <v>44.22</v>
      </c>
      <c r="Z20" s="103">
        <v>43.28</v>
      </c>
      <c r="AA20" s="103">
        <v>44.17</v>
      </c>
      <c r="AB20" s="101">
        <v>2839600</v>
      </c>
      <c r="AC20" s="100">
        <v>44.17</v>
      </c>
      <c r="AD20" s="2">
        <f t="shared" si="0"/>
        <v>0.93999999999999773</v>
      </c>
      <c r="AE20" s="138">
        <f t="shared" si="1"/>
        <v>2.6493144317917716E-2</v>
      </c>
    </row>
    <row r="21" spans="1:31" x14ac:dyDescent="0.25">
      <c r="W21" s="99">
        <v>42562</v>
      </c>
      <c r="X21" s="103">
        <v>42.72</v>
      </c>
      <c r="Y21" s="103">
        <v>43.11</v>
      </c>
      <c r="Z21" s="103">
        <v>42.48</v>
      </c>
      <c r="AA21" s="103">
        <v>43.03</v>
      </c>
      <c r="AB21" s="101">
        <v>1988600</v>
      </c>
      <c r="AC21" s="100">
        <v>43.03</v>
      </c>
      <c r="AD21" s="2">
        <f t="shared" si="0"/>
        <v>0.63000000000000256</v>
      </c>
      <c r="AE21" s="138">
        <f t="shared" si="1"/>
        <v>6.5497076023393053E-3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42559</v>
      </c>
      <c r="X22" s="103">
        <v>42.27</v>
      </c>
      <c r="Y22" s="103">
        <v>42.86</v>
      </c>
      <c r="Z22" s="103">
        <v>42.2</v>
      </c>
      <c r="AA22" s="103">
        <v>42.75</v>
      </c>
      <c r="AB22" s="101">
        <v>2274500</v>
      </c>
      <c r="AC22" s="100">
        <v>42.75</v>
      </c>
      <c r="AD22" s="2">
        <f t="shared" si="0"/>
        <v>0.65999999999999659</v>
      </c>
      <c r="AE22" s="138">
        <f t="shared" si="1"/>
        <v>2.0286396181384392E-2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42558</v>
      </c>
      <c r="X23" s="103">
        <v>41.95</v>
      </c>
      <c r="Y23" s="103">
        <v>42.48</v>
      </c>
      <c r="Z23" s="103">
        <v>41.67</v>
      </c>
      <c r="AA23" s="103">
        <v>41.9</v>
      </c>
      <c r="AB23" s="101">
        <v>2317000</v>
      </c>
      <c r="AC23" s="100">
        <v>41.9</v>
      </c>
      <c r="AD23" s="2">
        <f t="shared" si="0"/>
        <v>0.80999999999999517</v>
      </c>
      <c r="AE23" s="138">
        <f t="shared" si="1"/>
        <v>-1.4299332697808032E-3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42557</v>
      </c>
      <c r="X24" s="103">
        <v>41.69</v>
      </c>
      <c r="Y24" s="103">
        <v>42</v>
      </c>
      <c r="Z24" s="103">
        <v>41.08</v>
      </c>
      <c r="AA24" s="103">
        <v>41.96</v>
      </c>
      <c r="AB24" s="101">
        <v>3467400</v>
      </c>
      <c r="AC24" s="100">
        <v>41.96</v>
      </c>
      <c r="AD24" s="2">
        <f t="shared" si="0"/>
        <v>0.92000000000000171</v>
      </c>
      <c r="AE24" s="138">
        <f t="shared" si="1"/>
        <v>4.7892720306514924E-3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42556</v>
      </c>
      <c r="X25" s="103">
        <v>42.3</v>
      </c>
      <c r="Y25" s="103">
        <v>42.42</v>
      </c>
      <c r="Z25" s="103">
        <v>41.53</v>
      </c>
      <c r="AA25" s="103">
        <v>41.76</v>
      </c>
      <c r="AB25" s="101">
        <v>1822800</v>
      </c>
      <c r="AC25" s="100">
        <v>41.76</v>
      </c>
      <c r="AD25" s="2">
        <f t="shared" si="0"/>
        <v>0.89000000000000057</v>
      </c>
      <c r="AE25" s="138">
        <f t="shared" si="1"/>
        <v>-2.2243034418169105E-2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42552</v>
      </c>
      <c r="X26" s="103">
        <v>42.7</v>
      </c>
      <c r="Y26" s="103">
        <v>42.82</v>
      </c>
      <c r="Z26" s="103">
        <v>42.19</v>
      </c>
      <c r="AA26" s="103">
        <v>42.71</v>
      </c>
      <c r="AB26" s="101">
        <v>1943800</v>
      </c>
      <c r="AC26" s="100">
        <v>42.71</v>
      </c>
      <c r="AD26" s="2">
        <f t="shared" si="0"/>
        <v>0.63000000000000256</v>
      </c>
      <c r="AE26" s="138">
        <f t="shared" si="1"/>
        <v>7.7866918357716308E-3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42551</v>
      </c>
      <c r="X27" s="103">
        <v>41.31</v>
      </c>
      <c r="Y27" s="103">
        <v>42.38</v>
      </c>
      <c r="Z27" s="103">
        <v>41</v>
      </c>
      <c r="AA27" s="103">
        <v>42.38</v>
      </c>
      <c r="AB27" s="101">
        <v>3105000</v>
      </c>
      <c r="AC27" s="100">
        <v>42.38</v>
      </c>
      <c r="AD27" s="2">
        <f t="shared" si="0"/>
        <v>1.3800000000000026</v>
      </c>
      <c r="AE27" s="138">
        <f t="shared" si="1"/>
        <v>2.9390332766577654E-2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194</v>
      </c>
      <c r="W28" s="99">
        <v>42550</v>
      </c>
      <c r="X28" s="103">
        <v>40.83</v>
      </c>
      <c r="Y28" s="103">
        <v>41.34</v>
      </c>
      <c r="Z28" s="103">
        <v>40.630000000000003</v>
      </c>
      <c r="AA28" s="103">
        <v>41.17</v>
      </c>
      <c r="AB28" s="101">
        <v>2300700</v>
      </c>
      <c r="AC28" s="100">
        <v>41.17</v>
      </c>
      <c r="AD28" s="2">
        <f t="shared" si="0"/>
        <v>0.71000000000000085</v>
      </c>
      <c r="AE28" s="138">
        <f t="shared" si="1"/>
        <v>2.2603079980129337E-2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42549</v>
      </c>
      <c r="X29" s="103">
        <v>40</v>
      </c>
      <c r="Y29" s="103">
        <v>40.270000000000003</v>
      </c>
      <c r="Z29" s="103">
        <v>39.51</v>
      </c>
      <c r="AA29" s="103">
        <v>40.26</v>
      </c>
      <c r="AB29" s="101">
        <v>2858200</v>
      </c>
      <c r="AC29" s="100">
        <v>40.26</v>
      </c>
      <c r="AD29" s="2">
        <f t="shared" si="0"/>
        <v>0.76000000000000512</v>
      </c>
      <c r="AE29" s="138">
        <f t="shared" si="1"/>
        <v>1.5640766902119019E-2</v>
      </c>
    </row>
    <row r="30" spans="1:31" x14ac:dyDescent="0.25">
      <c r="L30" t="s">
        <v>230</v>
      </c>
      <c r="M30" s="2">
        <f>M37+K37-F37</f>
        <v>119.92000000000053</v>
      </c>
      <c r="W30" s="99">
        <v>42548</v>
      </c>
      <c r="X30" s="103">
        <v>41</v>
      </c>
      <c r="Y30" s="103">
        <v>41.07</v>
      </c>
      <c r="Z30" s="103">
        <v>39.24</v>
      </c>
      <c r="AA30" s="103">
        <v>39.64</v>
      </c>
      <c r="AB30" s="101">
        <v>4015400</v>
      </c>
      <c r="AC30" s="100">
        <v>39.64</v>
      </c>
      <c r="AD30" s="2">
        <f t="shared" si="0"/>
        <v>1.8299999999999983</v>
      </c>
      <c r="AE30" s="138">
        <f t="shared" si="1"/>
        <v>-4.1817742325356511E-2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42545</v>
      </c>
      <c r="X31" s="103">
        <v>41.52</v>
      </c>
      <c r="Y31" s="103">
        <v>42.38</v>
      </c>
      <c r="Z31" s="103">
        <v>41.25</v>
      </c>
      <c r="AA31" s="103">
        <v>41.37</v>
      </c>
      <c r="AB31" s="101">
        <v>9585800</v>
      </c>
      <c r="AC31" s="100">
        <v>41.37</v>
      </c>
      <c r="AD31" s="2">
        <f t="shared" si="0"/>
        <v>1.1300000000000026</v>
      </c>
      <c r="AE31" s="138">
        <f t="shared" si="1"/>
        <v>-4.4352044352044429E-2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42544</v>
      </c>
      <c r="X32" s="103">
        <v>43.02</v>
      </c>
      <c r="Y32" s="103">
        <v>43.29</v>
      </c>
      <c r="Z32" s="103">
        <v>42.88</v>
      </c>
      <c r="AA32" s="103">
        <v>43.29</v>
      </c>
      <c r="AB32" s="101">
        <v>1582600</v>
      </c>
      <c r="AC32" s="100">
        <v>43.29</v>
      </c>
      <c r="AD32" s="2">
        <f t="shared" si="0"/>
        <v>0.40999999999999659</v>
      </c>
      <c r="AE32" s="138">
        <f t="shared" si="1"/>
        <v>2.1713476516403096E-2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42543</v>
      </c>
      <c r="X33" s="103">
        <v>42.53</v>
      </c>
      <c r="Y33" s="103">
        <v>42.69</v>
      </c>
      <c r="Z33" s="103">
        <v>42.37</v>
      </c>
      <c r="AA33" s="103">
        <v>42.37</v>
      </c>
      <c r="AB33" s="101">
        <v>1579100</v>
      </c>
      <c r="AC33" s="100">
        <v>42.37</v>
      </c>
      <c r="AD33" s="2">
        <f t="shared" si="0"/>
        <v>0.32000000000000028</v>
      </c>
      <c r="AE33" s="138">
        <f t="shared" si="1"/>
        <v>-1.8845700824500211E-3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42542</v>
      </c>
      <c r="X34" s="103">
        <v>42.85</v>
      </c>
      <c r="Y34" s="103">
        <v>42.87</v>
      </c>
      <c r="Z34" s="103">
        <v>42.43</v>
      </c>
      <c r="AA34" s="103">
        <v>42.45</v>
      </c>
      <c r="AB34" s="101">
        <v>1729200</v>
      </c>
      <c r="AC34" s="100">
        <v>42.45</v>
      </c>
      <c r="AD34" s="2">
        <f t="shared" si="0"/>
        <v>0.43999999999999773</v>
      </c>
      <c r="AE34" s="138">
        <f t="shared" si="1"/>
        <v>-5.3889409559512158E-3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42541</v>
      </c>
      <c r="X35" s="103">
        <v>42.45</v>
      </c>
      <c r="Y35" s="103">
        <v>43.11</v>
      </c>
      <c r="Z35" s="103">
        <v>42.42</v>
      </c>
      <c r="AA35" s="103">
        <v>42.68</v>
      </c>
      <c r="AB35" s="101">
        <v>2188300</v>
      </c>
      <c r="AC35" s="100">
        <v>42.68</v>
      </c>
      <c r="AD35" s="2">
        <f t="shared" si="0"/>
        <v>0.68999999999999773</v>
      </c>
      <c r="AE35" s="138">
        <f t="shared" si="1"/>
        <v>1.7159199237368972E-2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42538</v>
      </c>
      <c r="X36" s="103">
        <v>41.72</v>
      </c>
      <c r="Y36" s="103">
        <v>42.04</v>
      </c>
      <c r="Z36" s="103">
        <v>41.45</v>
      </c>
      <c r="AA36" s="103">
        <v>41.96</v>
      </c>
      <c r="AB36" s="101">
        <v>2809500</v>
      </c>
      <c r="AC36" s="100">
        <v>41.96</v>
      </c>
      <c r="AD36" s="2">
        <f t="shared" si="0"/>
        <v>0.58999999999999631</v>
      </c>
      <c r="AE36" s="138">
        <f t="shared" si="1"/>
        <v>5.5116223340523351E-3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42537</v>
      </c>
      <c r="X37" s="103">
        <v>41.37</v>
      </c>
      <c r="Y37" s="103">
        <v>41.76</v>
      </c>
      <c r="Z37" s="103">
        <v>40.89</v>
      </c>
      <c r="AA37" s="103">
        <v>41.73</v>
      </c>
      <c r="AB37" s="101">
        <v>2799700</v>
      </c>
      <c r="AC37" s="100">
        <v>41.73</v>
      </c>
      <c r="AD37" s="2">
        <f t="shared" si="0"/>
        <v>0.86999999999999744</v>
      </c>
      <c r="AE37" s="138">
        <f t="shared" si="1"/>
        <v>3.3661937965856481E-3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42536</v>
      </c>
      <c r="X38" s="103">
        <v>42</v>
      </c>
      <c r="Y38" s="103">
        <v>42.26</v>
      </c>
      <c r="Z38" s="103">
        <v>41.55</v>
      </c>
      <c r="AA38" s="103">
        <v>41.59</v>
      </c>
      <c r="AB38" s="101">
        <v>2386000</v>
      </c>
      <c r="AC38" s="100">
        <v>41.59</v>
      </c>
      <c r="AD38" s="2">
        <f t="shared" si="0"/>
        <v>0.71000000000000085</v>
      </c>
      <c r="AE38" s="138">
        <f t="shared" si="1"/>
        <v>-3.3549005511620544E-3</v>
      </c>
    </row>
    <row r="39" spans="1:31" x14ac:dyDescent="0.25">
      <c r="W39" s="99">
        <v>42535</v>
      </c>
      <c r="X39" s="103">
        <v>41.78</v>
      </c>
      <c r="Y39" s="103">
        <v>41.94</v>
      </c>
      <c r="Z39" s="103">
        <v>41.31</v>
      </c>
      <c r="AA39" s="103">
        <v>41.73</v>
      </c>
      <c r="AB39" s="101">
        <v>3014400</v>
      </c>
      <c r="AC39" s="100">
        <v>41.73</v>
      </c>
      <c r="AD39" s="2">
        <f t="shared" si="0"/>
        <v>0.62999999999999545</v>
      </c>
      <c r="AE39" s="138">
        <f t="shared" si="1"/>
        <v>-5.9552167698904146E-3</v>
      </c>
    </row>
    <row r="40" spans="1:31" ht="20.25" thickBot="1" x14ac:dyDescent="0.35">
      <c r="O40" s="525" t="s">
        <v>78</v>
      </c>
      <c r="P40" s="525"/>
      <c r="W40" s="99">
        <v>42534</v>
      </c>
      <c r="X40" s="103">
        <v>42.92</v>
      </c>
      <c r="Y40" s="103">
        <v>43.04</v>
      </c>
      <c r="Z40" s="103">
        <v>41.93</v>
      </c>
      <c r="AA40" s="103">
        <v>41.98</v>
      </c>
      <c r="AB40" s="101">
        <v>3483500</v>
      </c>
      <c r="AC40" s="100">
        <v>41.98</v>
      </c>
      <c r="AD40" s="2">
        <f t="shared" si="0"/>
        <v>1.1099999999999994</v>
      </c>
      <c r="AE40" s="138">
        <f t="shared" si="1"/>
        <v>-2.7790643816581806E-2</v>
      </c>
    </row>
    <row r="41" spans="1:31" ht="15.75" thickTop="1" x14ac:dyDescent="0.25">
      <c r="O41" s="83">
        <v>1.1000000000000001</v>
      </c>
      <c r="P41" s="83">
        <f>O41*$Q$4</f>
        <v>50.798000000000002</v>
      </c>
      <c r="Q41" s="2"/>
      <c r="W41" s="99">
        <v>42531</v>
      </c>
      <c r="X41" s="103">
        <v>43.35</v>
      </c>
      <c r="Y41" s="103">
        <v>43.39</v>
      </c>
      <c r="Z41" s="103">
        <v>42.9</v>
      </c>
      <c r="AA41" s="103">
        <v>43.18</v>
      </c>
      <c r="AB41" s="101">
        <v>2337200</v>
      </c>
      <c r="AC41" s="100">
        <v>43.18</v>
      </c>
      <c r="AD41" s="2">
        <f t="shared" si="0"/>
        <v>0.49000000000000199</v>
      </c>
      <c r="AE41" s="138">
        <f t="shared" si="1"/>
        <v>-9.4058270245469533E-3</v>
      </c>
    </row>
    <row r="42" spans="1:31" ht="20.25" thickBot="1" x14ac:dyDescent="0.35">
      <c r="O42" s="83">
        <v>1.0900000000000001</v>
      </c>
      <c r="P42" s="83">
        <f t="shared" ref="P42:P61" si="2">O42*$Q$4</f>
        <v>50.336200000000005</v>
      </c>
      <c r="Q42" s="2"/>
      <c r="T42" s="91" t="s">
        <v>113</v>
      </c>
      <c r="W42" s="99">
        <v>42530</v>
      </c>
      <c r="X42" s="103">
        <v>43.9</v>
      </c>
      <c r="Y42" s="103">
        <v>43.99</v>
      </c>
      <c r="Z42" s="103">
        <v>43.36</v>
      </c>
      <c r="AA42" s="103">
        <v>43.59</v>
      </c>
      <c r="AB42" s="101">
        <v>1661100</v>
      </c>
      <c r="AC42" s="100">
        <v>43.59</v>
      </c>
      <c r="AD42" s="2">
        <f t="shared" si="0"/>
        <v>0.63000000000000256</v>
      </c>
      <c r="AE42" s="138">
        <f t="shared" si="1"/>
        <v>-1.1788710043074024E-2</v>
      </c>
    </row>
    <row r="43" spans="1:31" ht="15.75" thickTop="1" x14ac:dyDescent="0.25">
      <c r="O43" s="83">
        <v>1.08</v>
      </c>
      <c r="P43" s="83">
        <f t="shared" si="2"/>
        <v>49.874400000000001</v>
      </c>
      <c r="Q43" s="2"/>
      <c r="T43" s="97" t="s">
        <v>98</v>
      </c>
      <c r="U43" s="98">
        <v>45.82</v>
      </c>
      <c r="W43" s="99">
        <v>42529</v>
      </c>
      <c r="X43" s="103">
        <v>44.12</v>
      </c>
      <c r="Y43" s="103">
        <v>44.18</v>
      </c>
      <c r="Z43" s="103">
        <v>43.87</v>
      </c>
      <c r="AA43" s="103">
        <v>44.11</v>
      </c>
      <c r="AB43" s="101">
        <v>2899800</v>
      </c>
      <c r="AC43" s="100">
        <v>44.11</v>
      </c>
      <c r="AD43" s="2">
        <f t="shared" si="0"/>
        <v>0.31000000000000227</v>
      </c>
      <c r="AE43" s="138">
        <f t="shared" si="1"/>
        <v>4.5547711227511556E-3</v>
      </c>
    </row>
    <row r="44" spans="1:31" x14ac:dyDescent="0.25">
      <c r="O44" s="83">
        <v>1.07</v>
      </c>
      <c r="P44" s="83">
        <f t="shared" si="2"/>
        <v>49.412600000000005</v>
      </c>
      <c r="Q44" s="2"/>
      <c r="T44" s="87" t="s">
        <v>99</v>
      </c>
      <c r="U44" s="88">
        <v>46.11</v>
      </c>
      <c r="W44" s="99">
        <v>42528</v>
      </c>
      <c r="X44" s="103">
        <v>43.29</v>
      </c>
      <c r="Y44" s="103">
        <v>44.11</v>
      </c>
      <c r="Z44" s="103">
        <v>43.2</v>
      </c>
      <c r="AA44" s="103">
        <v>43.91</v>
      </c>
      <c r="AB44" s="101">
        <v>3864500</v>
      </c>
      <c r="AC44" s="100">
        <v>43.91</v>
      </c>
      <c r="AD44" s="2">
        <f t="shared" si="0"/>
        <v>0.90999999999999659</v>
      </c>
      <c r="AE44" s="138">
        <f t="shared" si="1"/>
        <v>1.8320964749536151E-2</v>
      </c>
    </row>
    <row r="45" spans="1:31" x14ac:dyDescent="0.25">
      <c r="O45" s="83">
        <v>1.06</v>
      </c>
      <c r="P45" s="83">
        <f t="shared" si="2"/>
        <v>48.950800000000001</v>
      </c>
      <c r="Q45" s="2"/>
      <c r="T45" s="87" t="s">
        <v>100</v>
      </c>
      <c r="U45" s="88" t="s">
        <v>385</v>
      </c>
      <c r="W45" s="99">
        <v>42527</v>
      </c>
      <c r="X45" s="103">
        <v>43</v>
      </c>
      <c r="Y45" s="103">
        <v>43.25</v>
      </c>
      <c r="Z45" s="103">
        <v>42.93</v>
      </c>
      <c r="AA45" s="103">
        <v>43.12</v>
      </c>
      <c r="AB45" s="101">
        <v>1945800</v>
      </c>
      <c r="AC45" s="100">
        <v>43.12</v>
      </c>
      <c r="AD45" s="2">
        <f t="shared" si="0"/>
        <v>0.32000000000000028</v>
      </c>
      <c r="AE45" s="138">
        <f t="shared" si="1"/>
        <v>4.4258094572560136E-3</v>
      </c>
    </row>
    <row r="46" spans="1:31" x14ac:dyDescent="0.25">
      <c r="O46" s="83">
        <v>1.05</v>
      </c>
      <c r="P46" s="83">
        <f t="shared" si="2"/>
        <v>48.489000000000004</v>
      </c>
      <c r="Q46" s="2"/>
      <c r="T46" s="87" t="s">
        <v>101</v>
      </c>
      <c r="U46" s="88" t="s">
        <v>386</v>
      </c>
      <c r="W46" s="99">
        <v>42524</v>
      </c>
      <c r="X46" s="103">
        <v>42.9</v>
      </c>
      <c r="Y46" s="103">
        <v>42.98</v>
      </c>
      <c r="Z46" s="103">
        <v>42.4</v>
      </c>
      <c r="AA46" s="103">
        <v>42.93</v>
      </c>
      <c r="AB46" s="101">
        <v>2868400</v>
      </c>
      <c r="AC46" s="100">
        <v>42.93</v>
      </c>
      <c r="AD46" s="2">
        <f t="shared" si="0"/>
        <v>0.57999999999999829</v>
      </c>
      <c r="AE46" s="138">
        <f t="shared" si="1"/>
        <v>6.9930069930079775E-4</v>
      </c>
    </row>
    <row r="47" spans="1:31" x14ac:dyDescent="0.25">
      <c r="O47" s="83">
        <v>1.04</v>
      </c>
      <c r="P47" s="83">
        <f t="shared" si="2"/>
        <v>48.027200000000001</v>
      </c>
      <c r="Q47" s="2"/>
      <c r="T47" s="87" t="s">
        <v>102</v>
      </c>
      <c r="U47" s="88">
        <v>47.44</v>
      </c>
      <c r="W47" s="99">
        <v>42523</v>
      </c>
      <c r="X47" s="103">
        <v>42.15</v>
      </c>
      <c r="Y47" s="103">
        <v>43.09</v>
      </c>
      <c r="Z47" s="103">
        <v>42.07</v>
      </c>
      <c r="AA47" s="103">
        <v>42.9</v>
      </c>
      <c r="AB47" s="101">
        <v>3181700</v>
      </c>
      <c r="AC47" s="100">
        <v>42.9</v>
      </c>
      <c r="AD47" s="2">
        <f t="shared" si="0"/>
        <v>1.0200000000000031</v>
      </c>
      <c r="AE47" s="138">
        <f t="shared" si="1"/>
        <v>1.8760389456186077E-2</v>
      </c>
    </row>
    <row r="48" spans="1:31" x14ac:dyDescent="0.25">
      <c r="O48" s="83">
        <v>1.03</v>
      </c>
      <c r="P48" s="83">
        <f t="shared" si="2"/>
        <v>47.565400000000004</v>
      </c>
      <c r="Q48" s="2"/>
      <c r="T48" s="87" t="s">
        <v>103</v>
      </c>
      <c r="U48" s="88">
        <v>1.51929</v>
      </c>
      <c r="W48" s="99">
        <v>42522</v>
      </c>
      <c r="X48" s="103">
        <v>41.95</v>
      </c>
      <c r="Y48" s="103">
        <v>42.12</v>
      </c>
      <c r="Z48" s="103">
        <v>41.7</v>
      </c>
      <c r="AA48" s="103">
        <v>42.11</v>
      </c>
      <c r="AB48" s="101">
        <v>1967900</v>
      </c>
      <c r="AC48" s="100">
        <v>42.11</v>
      </c>
      <c r="AD48" s="2">
        <f t="shared" si="0"/>
        <v>0.4199999999999946</v>
      </c>
      <c r="AE48" s="138">
        <f t="shared" si="1"/>
        <v>-1.1859582542693703E-3</v>
      </c>
    </row>
    <row r="49" spans="15:31" x14ac:dyDescent="0.25">
      <c r="O49" s="83">
        <v>1.02</v>
      </c>
      <c r="P49" s="83">
        <f t="shared" si="2"/>
        <v>47.1036</v>
      </c>
      <c r="Q49" s="2"/>
      <c r="T49" s="87" t="s">
        <v>104</v>
      </c>
      <c r="U49" s="89" t="s">
        <v>356</v>
      </c>
      <c r="W49" s="99">
        <v>42521</v>
      </c>
      <c r="X49" s="103">
        <v>42.3</v>
      </c>
      <c r="Y49" s="103">
        <v>42.5</v>
      </c>
      <c r="Z49" s="103">
        <v>41.79</v>
      </c>
      <c r="AA49" s="103">
        <v>42.16</v>
      </c>
      <c r="AB49" s="101">
        <v>2822000</v>
      </c>
      <c r="AC49" s="100">
        <v>42.16</v>
      </c>
      <c r="AD49" s="2">
        <f t="shared" si="0"/>
        <v>0.71000000000000085</v>
      </c>
      <c r="AE49" s="138">
        <f t="shared" si="1"/>
        <v>1.6631028747919885E-3</v>
      </c>
    </row>
    <row r="50" spans="15:31" x14ac:dyDescent="0.25">
      <c r="O50" s="83">
        <v>1.01</v>
      </c>
      <c r="P50" s="83">
        <f t="shared" si="2"/>
        <v>46.641800000000003</v>
      </c>
      <c r="Q50" s="2"/>
      <c r="T50" s="87"/>
      <c r="U50" s="88"/>
      <c r="W50" s="99">
        <v>42517</v>
      </c>
      <c r="X50" s="103">
        <v>41.92</v>
      </c>
      <c r="Y50" s="103">
        <v>42.22</v>
      </c>
      <c r="Z50" s="103">
        <v>41.8</v>
      </c>
      <c r="AA50" s="103">
        <v>42.09</v>
      </c>
      <c r="AB50" s="101">
        <v>1625100</v>
      </c>
      <c r="AC50" s="100">
        <v>42.09</v>
      </c>
      <c r="AD50" s="2">
        <f t="shared" si="0"/>
        <v>0.42000000000000171</v>
      </c>
      <c r="AE50" s="138">
        <f t="shared" si="1"/>
        <v>5.9751434034416295E-3</v>
      </c>
    </row>
    <row r="51" spans="15:31" x14ac:dyDescent="0.25">
      <c r="O51" s="83">
        <v>1</v>
      </c>
      <c r="P51" s="83">
        <f t="shared" si="2"/>
        <v>46.18</v>
      </c>
      <c r="Q51" s="2"/>
      <c r="T51" s="87" t="s">
        <v>105</v>
      </c>
      <c r="U51" s="88" t="s">
        <v>387</v>
      </c>
      <c r="W51" s="99">
        <v>42516</v>
      </c>
      <c r="X51" s="103">
        <v>42.11</v>
      </c>
      <c r="Y51" s="103">
        <v>42.26</v>
      </c>
      <c r="Z51" s="103">
        <v>41.71</v>
      </c>
      <c r="AA51" s="103">
        <v>41.84</v>
      </c>
      <c r="AB51" s="101">
        <v>2460600</v>
      </c>
      <c r="AC51" s="100">
        <v>41.84</v>
      </c>
      <c r="AD51" s="2">
        <f t="shared" si="0"/>
        <v>0.54999999999999716</v>
      </c>
      <c r="AE51" s="138">
        <f t="shared" si="1"/>
        <v>-6.8834559696178133E-3</v>
      </c>
    </row>
    <row r="52" spans="15:31" x14ac:dyDescent="0.25">
      <c r="O52" s="83">
        <v>0.99</v>
      </c>
      <c r="P52" s="83">
        <f t="shared" si="2"/>
        <v>45.718199999999996</v>
      </c>
      <c r="Q52" s="2"/>
      <c r="T52" s="87" t="s">
        <v>106</v>
      </c>
      <c r="U52" s="88" t="s">
        <v>343</v>
      </c>
      <c r="W52" s="99">
        <v>42515</v>
      </c>
      <c r="X52" s="103">
        <v>41.18</v>
      </c>
      <c r="Y52" s="103">
        <v>42.42</v>
      </c>
      <c r="Z52" s="103">
        <v>41.18</v>
      </c>
      <c r="AA52" s="103">
        <v>42.13</v>
      </c>
      <c r="AB52" s="101">
        <v>4884300</v>
      </c>
      <c r="AC52" s="100">
        <v>42.13</v>
      </c>
      <c r="AD52" s="2">
        <f t="shared" si="0"/>
        <v>1.240000000000002</v>
      </c>
      <c r="AE52" s="138" t="e">
        <f t="shared" si="1"/>
        <v>#DIV/0!</v>
      </c>
    </row>
    <row r="53" spans="15:31" x14ac:dyDescent="0.25">
      <c r="O53" s="83">
        <v>0.98</v>
      </c>
      <c r="P53" s="83">
        <f t="shared" si="2"/>
        <v>45.256399999999999</v>
      </c>
      <c r="Q53" s="2"/>
      <c r="T53" s="87" t="s">
        <v>107</v>
      </c>
      <c r="U53" s="90">
        <v>1748858</v>
      </c>
      <c r="W53" s="99">
        <v>42515</v>
      </c>
      <c r="X53" s="103" t="s">
        <v>243</v>
      </c>
      <c r="Y53" s="103"/>
      <c r="Z53" s="103"/>
      <c r="AA53" s="103"/>
      <c r="AB53" s="101"/>
      <c r="AC53" s="100"/>
      <c r="AD53" s="2">
        <f t="shared" si="0"/>
        <v>0</v>
      </c>
      <c r="AE53" s="138">
        <f t="shared" si="1"/>
        <v>-1</v>
      </c>
    </row>
    <row r="54" spans="15:31" x14ac:dyDescent="0.25">
      <c r="O54" s="83">
        <v>0.97</v>
      </c>
      <c r="P54" s="83">
        <f t="shared" si="2"/>
        <v>44.794599999999996</v>
      </c>
      <c r="T54" s="87" t="s">
        <v>110</v>
      </c>
      <c r="U54" s="90">
        <v>2761380</v>
      </c>
      <c r="W54" s="99">
        <v>42514</v>
      </c>
      <c r="X54" s="103">
        <v>41.24</v>
      </c>
      <c r="Y54" s="103">
        <v>41.54</v>
      </c>
      <c r="Z54" s="103">
        <v>41.14</v>
      </c>
      <c r="AA54" s="103">
        <v>41.42</v>
      </c>
      <c r="AB54" s="101">
        <v>2987700</v>
      </c>
      <c r="AC54" s="100">
        <v>40.98</v>
      </c>
      <c r="AD54" s="2">
        <f t="shared" si="0"/>
        <v>0.39999999999999858</v>
      </c>
      <c r="AE54" s="138">
        <f t="shared" si="1"/>
        <v>1.185185185185178E-2</v>
      </c>
    </row>
    <row r="55" spans="15:31" x14ac:dyDescent="0.25">
      <c r="O55" s="83">
        <v>0.96</v>
      </c>
      <c r="P55" s="83">
        <f t="shared" si="2"/>
        <v>44.332799999999999</v>
      </c>
      <c r="T55" s="87" t="s">
        <v>108</v>
      </c>
      <c r="U55" s="88" t="s">
        <v>388</v>
      </c>
      <c r="W55" s="99">
        <v>42513</v>
      </c>
      <c r="X55" s="103">
        <v>40.53</v>
      </c>
      <c r="Y55" s="103">
        <v>41.52</v>
      </c>
      <c r="Z55" s="103">
        <v>40.49</v>
      </c>
      <c r="AA55" s="103">
        <v>40.93</v>
      </c>
      <c r="AB55" s="101">
        <v>3211100</v>
      </c>
      <c r="AC55" s="100">
        <v>40.5</v>
      </c>
      <c r="AD55" s="2">
        <f t="shared" si="0"/>
        <v>1.0300000000000011</v>
      </c>
      <c r="AE55" s="138">
        <f t="shared" si="1"/>
        <v>1.2499999999999956E-2</v>
      </c>
    </row>
    <row r="56" spans="15:31" x14ac:dyDescent="0.25">
      <c r="O56" s="83">
        <v>0.95</v>
      </c>
      <c r="P56" s="83">
        <f t="shared" si="2"/>
        <v>43.870999999999995</v>
      </c>
      <c r="T56" s="87" t="s">
        <v>111</v>
      </c>
      <c r="U56" s="88">
        <v>24.91</v>
      </c>
      <c r="W56" s="99">
        <v>42510</v>
      </c>
      <c r="X56" s="103">
        <v>40.5</v>
      </c>
      <c r="Y56" s="103">
        <v>40.630000000000003</v>
      </c>
      <c r="Z56" s="103">
        <v>40.229999999999997</v>
      </c>
      <c r="AA56" s="103">
        <v>40.43</v>
      </c>
      <c r="AB56" s="101">
        <v>2620200</v>
      </c>
      <c r="AC56" s="100">
        <v>40</v>
      </c>
      <c r="AD56" s="2">
        <f t="shared" si="0"/>
        <v>0.40000000000000568</v>
      </c>
      <c r="AE56" s="138">
        <f t="shared" si="1"/>
        <v>4.2681395932715471E-3</v>
      </c>
    </row>
    <row r="57" spans="15:31" x14ac:dyDescent="0.25">
      <c r="O57" s="83">
        <v>0.94</v>
      </c>
      <c r="P57" s="83">
        <f t="shared" si="2"/>
        <v>43.409199999999998</v>
      </c>
      <c r="T57" s="87" t="s">
        <v>112</v>
      </c>
      <c r="U57" s="88">
        <v>1.85</v>
      </c>
      <c r="W57" s="99">
        <v>42509</v>
      </c>
      <c r="X57" s="103">
        <v>40.200000000000003</v>
      </c>
      <c r="Y57" s="103">
        <v>40.299999999999997</v>
      </c>
      <c r="Z57" s="103">
        <v>39.520000000000003</v>
      </c>
      <c r="AA57" s="103">
        <v>40.26</v>
      </c>
      <c r="AB57" s="101">
        <v>3753900</v>
      </c>
      <c r="AC57" s="100">
        <v>39.83</v>
      </c>
      <c r="AD57" s="2">
        <f t="shared" si="0"/>
        <v>0.77999999999999403</v>
      </c>
      <c r="AE57" s="138">
        <f t="shared" si="1"/>
        <v>-7.5263421976923262E-4</v>
      </c>
    </row>
    <row r="58" spans="15:31" x14ac:dyDescent="0.25">
      <c r="O58" s="83">
        <v>0.93</v>
      </c>
      <c r="P58" s="83">
        <f t="shared" si="2"/>
        <v>42.947400000000002</v>
      </c>
      <c r="T58" s="87" t="s">
        <v>109</v>
      </c>
      <c r="U58" s="88" t="s">
        <v>559</v>
      </c>
      <c r="W58" s="99">
        <v>42508</v>
      </c>
      <c r="X58" s="103">
        <v>41.08</v>
      </c>
      <c r="Y58" s="103">
        <v>41.32</v>
      </c>
      <c r="Z58" s="103">
        <v>40.18</v>
      </c>
      <c r="AA58" s="103">
        <v>40.29</v>
      </c>
      <c r="AB58" s="101">
        <v>4547400</v>
      </c>
      <c r="AC58" s="100">
        <v>39.86</v>
      </c>
      <c r="AD58" s="2">
        <f t="shared" si="0"/>
        <v>1.1400000000000006</v>
      </c>
      <c r="AE58" s="138">
        <f t="shared" si="1"/>
        <v>-2.1840490797546019E-2</v>
      </c>
    </row>
    <row r="59" spans="15:31" x14ac:dyDescent="0.25">
      <c r="O59" s="83">
        <v>0.92</v>
      </c>
      <c r="P59" s="83">
        <f t="shared" si="2"/>
        <v>42.485600000000005</v>
      </c>
      <c r="W59" s="99">
        <v>42507</v>
      </c>
      <c r="X59" s="103">
        <v>41.75</v>
      </c>
      <c r="Y59" s="103">
        <v>41.76</v>
      </c>
      <c r="Z59" s="103">
        <v>40.799999999999997</v>
      </c>
      <c r="AA59" s="103">
        <v>41.19</v>
      </c>
      <c r="AB59" s="101">
        <v>5944100</v>
      </c>
      <c r="AC59" s="100">
        <v>40.75</v>
      </c>
      <c r="AD59" s="2">
        <f t="shared" si="0"/>
        <v>0.96000000000000085</v>
      </c>
      <c r="AE59" s="138">
        <f t="shared" si="1"/>
        <v>-2.4185823754789171E-2</v>
      </c>
    </row>
    <row r="60" spans="15:31" x14ac:dyDescent="0.25">
      <c r="O60" s="83">
        <v>0.91</v>
      </c>
      <c r="P60" s="83">
        <f t="shared" si="2"/>
        <v>42.023800000000001</v>
      </c>
      <c r="W60" s="99">
        <v>42506</v>
      </c>
      <c r="X60" s="103">
        <v>42.01</v>
      </c>
      <c r="Y60" s="103">
        <v>42.4</v>
      </c>
      <c r="Z60" s="103">
        <v>41.68</v>
      </c>
      <c r="AA60" s="103">
        <v>42.21</v>
      </c>
      <c r="AB60" s="101">
        <v>2984400</v>
      </c>
      <c r="AC60" s="100">
        <v>41.76</v>
      </c>
      <c r="AD60" s="2">
        <f t="shared" si="0"/>
        <v>0.71999999999999886</v>
      </c>
      <c r="AE60" s="138">
        <f t="shared" si="1"/>
        <v>5.7803468208090791E-3</v>
      </c>
    </row>
    <row r="61" spans="15:31" x14ac:dyDescent="0.25">
      <c r="O61" s="83">
        <v>0.9</v>
      </c>
      <c r="P61" s="83">
        <f t="shared" si="2"/>
        <v>41.561999999999998</v>
      </c>
      <c r="W61" s="99">
        <v>42503</v>
      </c>
      <c r="X61" s="103">
        <v>42.51</v>
      </c>
      <c r="Y61" s="103">
        <v>42.65</v>
      </c>
      <c r="Z61" s="103">
        <v>41.89</v>
      </c>
      <c r="AA61" s="103">
        <v>41.97</v>
      </c>
      <c r="AB61" s="101">
        <v>2710700</v>
      </c>
      <c r="AC61" s="100">
        <v>41.52</v>
      </c>
      <c r="AD61" s="2">
        <f t="shared" si="0"/>
        <v>0.75999999999999801</v>
      </c>
      <c r="AE61" s="138">
        <f t="shared" si="1"/>
        <v>-1.4946619217081736E-2</v>
      </c>
    </row>
    <row r="62" spans="15:31" x14ac:dyDescent="0.25">
      <c r="W62" s="99">
        <v>42502</v>
      </c>
      <c r="X62" s="103">
        <v>43.31</v>
      </c>
      <c r="Y62" s="103">
        <v>43.44</v>
      </c>
      <c r="Z62" s="103">
        <v>42.4</v>
      </c>
      <c r="AA62" s="103">
        <v>42.6</v>
      </c>
      <c r="AB62" s="101">
        <v>2154300</v>
      </c>
      <c r="AC62" s="100">
        <v>42.15</v>
      </c>
      <c r="AD62" s="2">
        <f t="shared" si="0"/>
        <v>1.0399999999999991</v>
      </c>
      <c r="AE62" s="138">
        <f t="shared" si="1"/>
        <v>-4.9575070821530343E-3</v>
      </c>
    </row>
    <row r="63" spans="15:31" x14ac:dyDescent="0.25">
      <c r="W63" s="99">
        <v>42501</v>
      </c>
      <c r="X63" s="103">
        <v>43.08</v>
      </c>
      <c r="Y63" s="103">
        <v>43.33</v>
      </c>
      <c r="Z63" s="103">
        <v>42.81</v>
      </c>
      <c r="AA63" s="103">
        <v>42.81</v>
      </c>
      <c r="AB63" s="101">
        <v>1944500</v>
      </c>
      <c r="AC63" s="100">
        <v>42.36</v>
      </c>
      <c r="AD63" s="2">
        <f t="shared" si="0"/>
        <v>0.51999999999999602</v>
      </c>
      <c r="AE63" s="138">
        <f t="shared" si="1"/>
        <v>-6.3335679099226772E-3</v>
      </c>
    </row>
    <row r="64" spans="15:31" x14ac:dyDescent="0.25">
      <c r="W64" s="99">
        <v>42500</v>
      </c>
      <c r="X64" s="103">
        <v>42.62</v>
      </c>
      <c r="Y64" s="103">
        <v>43.21</v>
      </c>
      <c r="Z64" s="103">
        <v>42.58</v>
      </c>
      <c r="AA64" s="103">
        <v>43.09</v>
      </c>
      <c r="AB64" s="101">
        <v>2349900</v>
      </c>
      <c r="AC64" s="100">
        <v>42.63</v>
      </c>
      <c r="AD64" s="2">
        <f t="shared" si="0"/>
        <v>0.63000000000000256</v>
      </c>
      <c r="AE64" s="138">
        <f t="shared" si="1"/>
        <v>1.3311148086522451E-2</v>
      </c>
    </row>
    <row r="65" spans="23:31" x14ac:dyDescent="0.25">
      <c r="W65" s="99">
        <v>42499</v>
      </c>
      <c r="X65" s="103">
        <v>42.19</v>
      </c>
      <c r="Y65" s="103">
        <v>42.78</v>
      </c>
      <c r="Z65" s="103">
        <v>42.03</v>
      </c>
      <c r="AA65" s="103">
        <v>42.52</v>
      </c>
      <c r="AB65" s="101">
        <v>3110700</v>
      </c>
      <c r="AC65" s="100">
        <v>42.07</v>
      </c>
      <c r="AD65" s="2">
        <f t="shared" si="0"/>
        <v>0.75</v>
      </c>
      <c r="AE65" s="138">
        <f t="shared" si="1"/>
        <v>1.0084033613445342E-2</v>
      </c>
    </row>
    <row r="66" spans="23:31" x14ac:dyDescent="0.25">
      <c r="W66" s="99">
        <v>42496</v>
      </c>
      <c r="X66" s="103">
        <v>41.46</v>
      </c>
      <c r="Y66" s="103">
        <v>42.37</v>
      </c>
      <c r="Z66" s="103">
        <v>41.28</v>
      </c>
      <c r="AA66" s="103">
        <v>42.1</v>
      </c>
      <c r="AB66" s="101">
        <v>2958200</v>
      </c>
      <c r="AC66" s="100">
        <v>41.65</v>
      </c>
      <c r="AD66" s="2">
        <f t="shared" si="0"/>
        <v>1.0899999999999963</v>
      </c>
      <c r="AE66" s="138">
        <f t="shared" si="1"/>
        <v>1.436921578178274E-2</v>
      </c>
    </row>
    <row r="67" spans="23:31" x14ac:dyDescent="0.25">
      <c r="W67" s="99">
        <v>42495</v>
      </c>
      <c r="X67" s="103">
        <v>41.95</v>
      </c>
      <c r="Y67" s="103">
        <v>42.09</v>
      </c>
      <c r="Z67" s="103">
        <v>41.47</v>
      </c>
      <c r="AA67" s="103">
        <v>41.5</v>
      </c>
      <c r="AB67" s="101">
        <v>2732600</v>
      </c>
      <c r="AC67" s="100">
        <v>41.06</v>
      </c>
      <c r="AD67" s="2">
        <f>Y67-Z67</f>
        <v>0.62000000000000455</v>
      </c>
      <c r="AE67" s="138" t="e">
        <f>AC67/#REF!-1</f>
        <v>#REF!</v>
      </c>
    </row>
    <row r="68" spans="23:31" x14ac:dyDescent="0.25">
      <c r="W68" s="99">
        <v>42494</v>
      </c>
      <c r="X68" s="103">
        <v>42</v>
      </c>
      <c r="Y68" s="103">
        <v>42.24</v>
      </c>
      <c r="Z68" s="103">
        <v>41.52</v>
      </c>
      <c r="AA68" s="103">
        <v>41.77</v>
      </c>
      <c r="AB68" s="101">
        <v>2556100</v>
      </c>
      <c r="AC68" s="100">
        <v>41.33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9" priority="11">
      <formula>F27&gt;0</formula>
    </cfRule>
    <cfRule type="expression" dxfId="418" priority="12">
      <formula>F27&lt;0</formula>
    </cfRule>
  </conditionalFormatting>
  <conditionalFormatting sqref="H27:H29">
    <cfRule type="expression" dxfId="417" priority="9">
      <formula>H27&gt;0</formula>
    </cfRule>
    <cfRule type="expression" dxfId="416" priority="10">
      <formula>H27&lt;0</formula>
    </cfRule>
  </conditionalFormatting>
  <conditionalFormatting sqref="F23:F26">
    <cfRule type="expression" dxfId="415" priority="7">
      <formula>F23&gt;0</formula>
    </cfRule>
    <cfRule type="expression" dxfId="414" priority="8">
      <formula>F23&lt;0</formula>
    </cfRule>
  </conditionalFormatting>
  <conditionalFormatting sqref="H23:H26">
    <cfRule type="expression" dxfId="413" priority="5">
      <formula>H23&gt;0</formula>
    </cfRule>
    <cfRule type="expression" dxfId="412" priority="6">
      <formula>H23&lt;0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42587</v>
      </c>
      <c r="X2" s="103">
        <v>34.799999999999997</v>
      </c>
      <c r="Y2" s="103">
        <v>35.130000000000003</v>
      </c>
      <c r="Z2" s="103">
        <v>34.700000000000003</v>
      </c>
      <c r="AA2" s="103">
        <v>34.979999999999997</v>
      </c>
      <c r="AB2" s="101">
        <v>20036700</v>
      </c>
      <c r="AC2" s="100">
        <v>34.979999999999997</v>
      </c>
      <c r="AD2" s="2">
        <f>Y2-Z2</f>
        <v>0.42999999999999972</v>
      </c>
      <c r="AE2" s="138">
        <f>AC2/AC3-1</f>
        <v>1.1567379988432602E-2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35.04</v>
      </c>
      <c r="S3" s="115"/>
      <c r="T3" s="17"/>
      <c r="U3" s="17"/>
      <c r="V3" s="17"/>
      <c r="W3" s="99">
        <v>42586</v>
      </c>
      <c r="X3" s="103">
        <v>34.29</v>
      </c>
      <c r="Y3" s="103">
        <v>34.619999999999997</v>
      </c>
      <c r="Z3" s="103">
        <v>34.22</v>
      </c>
      <c r="AA3" s="103">
        <v>34.58</v>
      </c>
      <c r="AB3" s="101">
        <v>16362600</v>
      </c>
      <c r="AC3" s="100">
        <v>34.58</v>
      </c>
      <c r="AD3" s="2">
        <f t="shared" ref="AD3:AD66" si="0">Y3-Z3</f>
        <v>0.39999999999999858</v>
      </c>
      <c r="AE3" s="138">
        <f t="shared" ref="AE3:AE66" si="1">AC3/AC4-1</f>
        <v>9.6350364963502244E-3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35.04</v>
      </c>
      <c r="W4" s="99">
        <v>42585</v>
      </c>
      <c r="X4" s="103">
        <v>34.1</v>
      </c>
      <c r="Y4" s="103">
        <v>34.28</v>
      </c>
      <c r="Z4" s="103">
        <v>33.99</v>
      </c>
      <c r="AA4" s="103">
        <v>34.25</v>
      </c>
      <c r="AB4" s="101">
        <v>18388800</v>
      </c>
      <c r="AC4" s="100">
        <v>34.25</v>
      </c>
      <c r="AD4" s="2">
        <f t="shared" si="0"/>
        <v>0.28999999999999915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42585</v>
      </c>
      <c r="X5" s="103" t="s">
        <v>142</v>
      </c>
      <c r="Y5" s="103"/>
      <c r="Z5" s="103"/>
      <c r="AA5" s="103"/>
      <c r="AB5" s="101"/>
      <c r="AC5" s="10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42584</v>
      </c>
      <c r="X6" s="103">
        <v>34.81</v>
      </c>
      <c r="Y6" s="103">
        <v>34.869999999999997</v>
      </c>
      <c r="Z6" s="103">
        <v>34.33</v>
      </c>
      <c r="AA6" s="103">
        <v>34.56</v>
      </c>
      <c r="AB6" s="101">
        <v>20057300</v>
      </c>
      <c r="AC6" s="100">
        <v>34.299999999999997</v>
      </c>
      <c r="AD6" s="2">
        <f t="shared" si="0"/>
        <v>0.53999999999999915</v>
      </c>
      <c r="AE6" s="138">
        <f t="shared" si="1"/>
        <v>-8.383925990170793E-3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188</v>
      </c>
      <c r="Q7" s="2">
        <f>Q10+Q8</f>
        <v>1407.5400000000009</v>
      </c>
      <c r="R7">
        <v>0</v>
      </c>
      <c r="W7" s="99">
        <v>42583</v>
      </c>
      <c r="X7" s="103">
        <v>34.82</v>
      </c>
      <c r="Y7" s="103">
        <v>34.909999999999997</v>
      </c>
      <c r="Z7" s="103">
        <v>34.56</v>
      </c>
      <c r="AA7" s="103">
        <v>34.85</v>
      </c>
      <c r="AB7" s="101">
        <v>18824400</v>
      </c>
      <c r="AC7" s="100">
        <v>34.590000000000003</v>
      </c>
      <c r="AD7" s="2">
        <f t="shared" si="0"/>
        <v>0.34999999999999432</v>
      </c>
      <c r="AE7" s="138">
        <f t="shared" si="1"/>
        <v>-2.8901734104036514E-4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192</v>
      </c>
      <c r="P8" s="34"/>
      <c r="Q8" s="2">
        <f>K18+M18-F18+Q2*Q4</f>
        <v>0</v>
      </c>
      <c r="S8" s="121"/>
      <c r="W8" s="99">
        <v>42580</v>
      </c>
      <c r="X8" s="103">
        <v>34.770000000000003</v>
      </c>
      <c r="Y8" s="103">
        <v>34.92</v>
      </c>
      <c r="Z8" s="103">
        <v>34.6</v>
      </c>
      <c r="AA8" s="103">
        <v>34.86</v>
      </c>
      <c r="AB8" s="101">
        <v>18171200</v>
      </c>
      <c r="AC8" s="100">
        <v>34.6</v>
      </c>
      <c r="AD8" s="2">
        <f t="shared" si="0"/>
        <v>0.32000000000000028</v>
      </c>
      <c r="AE8" s="138">
        <f t="shared" si="1"/>
        <v>2.6079397276153049E-3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231</v>
      </c>
      <c r="Q9" s="138">
        <f>IF(Q2=0, 0, Q8/Q6)</f>
        <v>0</v>
      </c>
      <c r="W9" s="99">
        <v>42579</v>
      </c>
      <c r="X9" s="103">
        <v>34.83</v>
      </c>
      <c r="Y9" s="103">
        <v>34.83</v>
      </c>
      <c r="Z9" s="103">
        <v>34.520000000000003</v>
      </c>
      <c r="AA9" s="103">
        <v>34.770000000000003</v>
      </c>
      <c r="AB9" s="101">
        <v>21667400</v>
      </c>
      <c r="AC9" s="100">
        <v>34.51</v>
      </c>
      <c r="AD9" s="2">
        <f t="shared" si="0"/>
        <v>0.30999999999999517</v>
      </c>
      <c r="AE9" s="138">
        <f t="shared" si="1"/>
        <v>-1.7356089094591187E-3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230</v>
      </c>
      <c r="P10" s="34"/>
      <c r="Q10" s="2">
        <f>M33</f>
        <v>1407.5400000000009</v>
      </c>
      <c r="W10" s="99">
        <v>42578</v>
      </c>
      <c r="X10" s="103">
        <v>35</v>
      </c>
      <c r="Y10" s="103">
        <v>35.28</v>
      </c>
      <c r="Z10" s="103">
        <v>34.630000000000003</v>
      </c>
      <c r="AA10" s="103">
        <v>34.83</v>
      </c>
      <c r="AB10" s="101">
        <v>23601800</v>
      </c>
      <c r="AC10" s="100">
        <v>34.57</v>
      </c>
      <c r="AD10" s="2">
        <f t="shared" si="0"/>
        <v>0.64999999999999858</v>
      </c>
      <c r="AE10" s="138">
        <f t="shared" si="1"/>
        <v>-7.4648291702554825E-3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2.9700000000000001E-2</v>
      </c>
      <c r="W11" s="99">
        <v>42577</v>
      </c>
      <c r="X11" s="103">
        <v>34.75</v>
      </c>
      <c r="Y11" s="103">
        <v>35.229999999999997</v>
      </c>
      <c r="Z11" s="103">
        <v>34.700000000000003</v>
      </c>
      <c r="AA11" s="103">
        <v>35.090000000000003</v>
      </c>
      <c r="AB11" s="101">
        <v>29644400</v>
      </c>
      <c r="AC11" s="100">
        <v>34.83</v>
      </c>
      <c r="AD11" s="2">
        <f t="shared" si="0"/>
        <v>0.52999999999999403</v>
      </c>
      <c r="AE11" s="138">
        <f t="shared" si="1"/>
        <v>1.1617775196050006E-2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42576</v>
      </c>
      <c r="X12" s="103">
        <v>34.619999999999997</v>
      </c>
      <c r="Y12" s="103">
        <v>34.76</v>
      </c>
      <c r="Z12" s="103">
        <v>34.57</v>
      </c>
      <c r="AA12" s="103">
        <v>34.69</v>
      </c>
      <c r="AB12" s="101">
        <v>20277700</v>
      </c>
      <c r="AC12" s="100">
        <v>34.43</v>
      </c>
      <c r="AD12" s="2">
        <f t="shared" si="0"/>
        <v>0.18999999999999773</v>
      </c>
      <c r="AE12" s="138">
        <f t="shared" si="1"/>
        <v>8.7209302325574889E-4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42573</v>
      </c>
      <c r="X13" s="103">
        <v>34.380000000000003</v>
      </c>
      <c r="Y13" s="103">
        <v>34.700000000000003</v>
      </c>
      <c r="Z13" s="103">
        <v>34.26</v>
      </c>
      <c r="AA13" s="103">
        <v>34.659999999999997</v>
      </c>
      <c r="AB13" s="101">
        <v>33033700</v>
      </c>
      <c r="AC13" s="100">
        <v>34.4</v>
      </c>
      <c r="AD13" s="2">
        <f t="shared" si="0"/>
        <v>0.44000000000000483</v>
      </c>
      <c r="AE13" s="138">
        <f t="shared" si="1"/>
        <v>1.1467215524845642E-2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42572</v>
      </c>
      <c r="X14" s="103">
        <v>34.33</v>
      </c>
      <c r="Y14" s="103">
        <v>34.49</v>
      </c>
      <c r="Z14" s="103">
        <v>33.86</v>
      </c>
      <c r="AA14" s="103">
        <v>34.270000000000003</v>
      </c>
      <c r="AB14" s="101">
        <v>63708600</v>
      </c>
      <c r="AC14" s="100">
        <v>34.01</v>
      </c>
      <c r="AD14" s="2">
        <f t="shared" si="0"/>
        <v>0.63000000000000256</v>
      </c>
      <c r="AE14" s="138">
        <f t="shared" si="1"/>
        <v>-3.9808018068887785E-2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42571</v>
      </c>
      <c r="X15" s="103">
        <v>35.299999999999997</v>
      </c>
      <c r="Y15" s="103">
        <v>35.93</v>
      </c>
      <c r="Z15" s="103">
        <v>35.06</v>
      </c>
      <c r="AA15" s="103">
        <v>35.69</v>
      </c>
      <c r="AB15" s="101">
        <v>42994200</v>
      </c>
      <c r="AC15" s="100">
        <v>35.42</v>
      </c>
      <c r="AD15" s="2">
        <f t="shared" si="0"/>
        <v>0.86999999999999744</v>
      </c>
      <c r="AE15" s="138">
        <f t="shared" si="1"/>
        <v>1.5190599025508789E-2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42570</v>
      </c>
      <c r="X16" s="103">
        <v>34.89</v>
      </c>
      <c r="Y16" s="103">
        <v>35.159999999999997</v>
      </c>
      <c r="Z16" s="103">
        <v>34.85</v>
      </c>
      <c r="AA16" s="103">
        <v>35.15</v>
      </c>
      <c r="AB16" s="101">
        <v>20395400</v>
      </c>
      <c r="AC16" s="100">
        <v>34.89</v>
      </c>
      <c r="AD16" s="2">
        <f t="shared" si="0"/>
        <v>0.30999999999999517</v>
      </c>
      <c r="AE16" s="138">
        <f t="shared" si="1"/>
        <v>2.8743891922966558E-3</v>
      </c>
    </row>
    <row r="17" spans="1:31" x14ac:dyDescent="0.25">
      <c r="W17" s="99">
        <v>42569</v>
      </c>
      <c r="X17" s="103">
        <v>35.18</v>
      </c>
      <c r="Y17" s="103">
        <v>35.200000000000003</v>
      </c>
      <c r="Z17" s="103">
        <v>34.950000000000003</v>
      </c>
      <c r="AA17" s="103">
        <v>35.049999999999997</v>
      </c>
      <c r="AB17" s="101">
        <v>19347200</v>
      </c>
      <c r="AC17" s="100">
        <v>34.79</v>
      </c>
      <c r="AD17" s="2">
        <f t="shared" si="0"/>
        <v>0.25</v>
      </c>
      <c r="AE17" s="138">
        <f t="shared" si="1"/>
        <v>-5.7454754380936723E-4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42566</v>
      </c>
      <c r="X18" s="103">
        <v>35.26</v>
      </c>
      <c r="Y18" s="103">
        <v>35.29</v>
      </c>
      <c r="Z18" s="103">
        <v>34.9</v>
      </c>
      <c r="AA18" s="103">
        <v>35.07</v>
      </c>
      <c r="AB18" s="101">
        <v>23661900</v>
      </c>
      <c r="AC18" s="100">
        <v>34.81</v>
      </c>
      <c r="AD18" s="2">
        <f t="shared" si="0"/>
        <v>0.39000000000000057</v>
      </c>
      <c r="AE18" s="138">
        <f t="shared" si="1"/>
        <v>-3.7206639954205922E-3</v>
      </c>
    </row>
    <row r="19" spans="1:31" x14ac:dyDescent="0.25">
      <c r="W19" s="99">
        <v>42565</v>
      </c>
      <c r="X19" s="103">
        <v>35.130000000000003</v>
      </c>
      <c r="Y19" s="103">
        <v>35.299999999999997</v>
      </c>
      <c r="Z19" s="103">
        <v>34.96</v>
      </c>
      <c r="AA19" s="103">
        <v>35.200000000000003</v>
      </c>
      <c r="AB19" s="101">
        <v>25296400</v>
      </c>
      <c r="AC19" s="100">
        <v>34.94</v>
      </c>
      <c r="AD19" s="2">
        <f t="shared" si="0"/>
        <v>0.33999999999999631</v>
      </c>
      <c r="AE19" s="138">
        <f t="shared" si="1"/>
        <v>5.4676258992805149E-3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42564</v>
      </c>
      <c r="X20" s="103">
        <v>35.04</v>
      </c>
      <c r="Y20" s="103">
        <v>35.25</v>
      </c>
      <c r="Z20" s="103">
        <v>34.880000000000003</v>
      </c>
      <c r="AA20" s="103">
        <v>35.01</v>
      </c>
      <c r="AB20" s="101">
        <v>29120900</v>
      </c>
      <c r="AC20" s="100">
        <v>34.75</v>
      </c>
      <c r="AD20" s="2">
        <f t="shared" si="0"/>
        <v>0.36999999999999744</v>
      </c>
      <c r="AE20" s="138">
        <f t="shared" si="1"/>
        <v>2.0184544405996707E-3</v>
      </c>
    </row>
    <row r="21" spans="1:31" x14ac:dyDescent="0.25">
      <c r="B21" s="195"/>
      <c r="C21" s="10"/>
      <c r="D21" s="40"/>
      <c r="E21" s="40"/>
      <c r="F21" s="40"/>
      <c r="G21" s="40"/>
      <c r="W21" s="99">
        <v>42563</v>
      </c>
      <c r="X21" s="103">
        <v>34.51</v>
      </c>
      <c r="Y21" s="103">
        <v>34.97</v>
      </c>
      <c r="Z21" s="103">
        <v>34.479999999999997</v>
      </c>
      <c r="AA21" s="103">
        <v>34.94</v>
      </c>
      <c r="AB21" s="101">
        <v>28064100</v>
      </c>
      <c r="AC21" s="100">
        <v>34.68</v>
      </c>
      <c r="AD21" s="2">
        <f t="shared" si="0"/>
        <v>0.49000000000000199</v>
      </c>
      <c r="AE21" s="138">
        <f t="shared" si="1"/>
        <v>1.6412661195779776E-2</v>
      </c>
    </row>
    <row r="22" spans="1:31" x14ac:dyDescent="0.25">
      <c r="B22" s="195"/>
      <c r="C22" s="10"/>
      <c r="D22" s="40"/>
      <c r="E22" s="40"/>
      <c r="F22" s="40"/>
      <c r="G22" s="40"/>
      <c r="W22" s="99">
        <v>42562</v>
      </c>
      <c r="X22" s="103">
        <v>34.04</v>
      </c>
      <c r="Y22" s="103">
        <v>34.5</v>
      </c>
      <c r="Z22" s="103">
        <v>34.04</v>
      </c>
      <c r="AA22" s="103">
        <v>34.380000000000003</v>
      </c>
      <c r="AB22" s="101">
        <v>23820700</v>
      </c>
      <c r="AC22" s="100">
        <v>34.119999999999997</v>
      </c>
      <c r="AD22" s="2">
        <f t="shared" si="0"/>
        <v>0.46000000000000085</v>
      </c>
      <c r="AE22" s="138">
        <f t="shared" si="1"/>
        <v>1.1262596324836949E-2</v>
      </c>
    </row>
    <row r="23" spans="1:31" x14ac:dyDescent="0.25">
      <c r="B23" s="10"/>
      <c r="C23" s="10"/>
      <c r="D23" s="40"/>
      <c r="E23" s="40"/>
      <c r="F23" s="40"/>
      <c r="G23" s="40"/>
      <c r="W23" s="99">
        <v>42559</v>
      </c>
      <c r="X23" s="103">
        <v>33.65</v>
      </c>
      <c r="Y23" s="103">
        <v>34</v>
      </c>
      <c r="Z23" s="103">
        <v>33.5</v>
      </c>
      <c r="AA23" s="103">
        <v>34</v>
      </c>
      <c r="AB23" s="101">
        <v>23341900</v>
      </c>
      <c r="AC23" s="100">
        <v>33.74</v>
      </c>
      <c r="AD23" s="2">
        <f t="shared" si="0"/>
        <v>0.5</v>
      </c>
      <c r="AE23" s="138">
        <f t="shared" si="1"/>
        <v>2.3975720789074284E-2</v>
      </c>
    </row>
    <row r="24" spans="1:31" x14ac:dyDescent="0.25">
      <c r="B24" s="10"/>
      <c r="C24" s="10"/>
      <c r="D24" s="40"/>
      <c r="E24" s="40"/>
      <c r="F24" s="40"/>
      <c r="G24" s="40"/>
      <c r="W24" s="99">
        <v>42558</v>
      </c>
      <c r="X24" s="103">
        <v>32.96</v>
      </c>
      <c r="Y24" s="103">
        <v>33.549999999999997</v>
      </c>
      <c r="Z24" s="103">
        <v>32.96</v>
      </c>
      <c r="AA24" s="103">
        <v>33.200000000000003</v>
      </c>
      <c r="AB24" s="101">
        <v>26119400</v>
      </c>
      <c r="AC24" s="100">
        <v>32.950000000000003</v>
      </c>
      <c r="AD24" s="2">
        <f t="shared" si="0"/>
        <v>0.58999999999999631</v>
      </c>
      <c r="AE24" s="138">
        <f t="shared" si="1"/>
        <v>7.0293398533007867E-3</v>
      </c>
    </row>
    <row r="25" spans="1:31" x14ac:dyDescent="0.25">
      <c r="B25" s="10"/>
      <c r="C25" s="10"/>
      <c r="D25" s="40"/>
      <c r="E25" s="40"/>
      <c r="F25" s="40"/>
      <c r="G25" s="40"/>
      <c r="W25" s="99">
        <v>42557</v>
      </c>
      <c r="X25" s="103">
        <v>32.799999999999997</v>
      </c>
      <c r="Y25" s="103">
        <v>33</v>
      </c>
      <c r="Z25" s="103">
        <v>32.380000000000003</v>
      </c>
      <c r="AA25" s="103">
        <v>32.97</v>
      </c>
      <c r="AB25" s="101">
        <v>21070200</v>
      </c>
      <c r="AC25" s="100">
        <v>32.72</v>
      </c>
      <c r="AD25" s="2">
        <f t="shared" si="0"/>
        <v>0.61999999999999744</v>
      </c>
      <c r="AE25" s="138">
        <f t="shared" si="1"/>
        <v>8.9423373419672547E-3</v>
      </c>
    </row>
    <row r="26" spans="1:31" x14ac:dyDescent="0.25">
      <c r="B26" s="10"/>
      <c r="C26" s="10"/>
      <c r="D26" s="40"/>
      <c r="E26" s="40"/>
      <c r="F26" s="40"/>
      <c r="G26" s="40"/>
      <c r="W26" s="99">
        <v>42556</v>
      </c>
      <c r="X26" s="103">
        <v>32.5</v>
      </c>
      <c r="Y26" s="103">
        <v>32.729999999999997</v>
      </c>
      <c r="Z26" s="103">
        <v>32.46</v>
      </c>
      <c r="AA26" s="103">
        <v>32.68</v>
      </c>
      <c r="AB26" s="101">
        <v>20107200</v>
      </c>
      <c r="AC26" s="100">
        <v>32.43</v>
      </c>
      <c r="AD26" s="2">
        <f t="shared" si="0"/>
        <v>0.26999999999999602</v>
      </c>
      <c r="AE26" s="138">
        <f t="shared" si="1"/>
        <v>-2.1538461538461728E-3</v>
      </c>
    </row>
    <row r="27" spans="1:31" x14ac:dyDescent="0.25">
      <c r="B27" s="10"/>
      <c r="C27" s="10"/>
      <c r="D27" s="40"/>
      <c r="E27" s="40"/>
      <c r="F27" s="40"/>
      <c r="G27" s="40"/>
      <c r="W27" s="99">
        <v>42552</v>
      </c>
      <c r="X27" s="103">
        <v>32.64</v>
      </c>
      <c r="Y27" s="103">
        <v>32.89</v>
      </c>
      <c r="Z27" s="103">
        <v>32.47</v>
      </c>
      <c r="AA27" s="103">
        <v>32.75</v>
      </c>
      <c r="AB27" s="101">
        <v>17084600</v>
      </c>
      <c r="AC27" s="100">
        <v>32.5</v>
      </c>
      <c r="AD27" s="2">
        <f t="shared" si="0"/>
        <v>0.42000000000000171</v>
      </c>
      <c r="AE27" s="138">
        <f t="shared" si="1"/>
        <v>-1.536098310291778E-3</v>
      </c>
    </row>
    <row r="28" spans="1:31" x14ac:dyDescent="0.25">
      <c r="B28" s="10"/>
      <c r="C28" s="10"/>
      <c r="D28" s="40"/>
      <c r="E28" s="40"/>
      <c r="F28" s="40"/>
      <c r="G28" s="40"/>
      <c r="W28" s="99">
        <v>42551</v>
      </c>
      <c r="X28" s="103">
        <v>32</v>
      </c>
      <c r="Y28" s="103">
        <v>32.880000000000003</v>
      </c>
      <c r="Z28" s="103">
        <v>31.97</v>
      </c>
      <c r="AA28" s="103">
        <v>32.799999999999997</v>
      </c>
      <c r="AB28" s="101">
        <v>34528900</v>
      </c>
      <c r="AC28" s="100">
        <v>32.549999999999997</v>
      </c>
      <c r="AD28" s="2">
        <f t="shared" si="0"/>
        <v>0.91000000000000369</v>
      </c>
      <c r="AE28" s="138">
        <f t="shared" si="1"/>
        <v>2.7137898390659387E-2</v>
      </c>
    </row>
    <row r="29" spans="1:31" x14ac:dyDescent="0.25">
      <c r="B29" s="10"/>
      <c r="C29" s="10"/>
      <c r="D29" s="40"/>
      <c r="E29" s="40"/>
      <c r="F29" s="40"/>
      <c r="G29" s="40"/>
      <c r="W29" s="99">
        <v>42550</v>
      </c>
      <c r="X29" s="103">
        <v>31.35</v>
      </c>
      <c r="Y29" s="103">
        <v>31.98</v>
      </c>
      <c r="Z29" s="103">
        <v>31.31</v>
      </c>
      <c r="AA29" s="103">
        <v>31.93</v>
      </c>
      <c r="AB29" s="101">
        <v>22771100</v>
      </c>
      <c r="AC29" s="100">
        <v>31.69</v>
      </c>
      <c r="AD29" s="2">
        <f t="shared" si="0"/>
        <v>0.67000000000000171</v>
      </c>
      <c r="AE29" s="138">
        <f t="shared" si="1"/>
        <v>2.3578811369509012E-2</v>
      </c>
    </row>
    <row r="30" spans="1:31" x14ac:dyDescent="0.25">
      <c r="B30" s="10"/>
      <c r="C30" s="10"/>
      <c r="D30" s="40"/>
      <c r="E30" s="40"/>
      <c r="F30" s="40"/>
      <c r="G30" s="40"/>
      <c r="W30" s="99">
        <v>42549</v>
      </c>
      <c r="X30" s="103">
        <v>30.97</v>
      </c>
      <c r="Y30" s="103">
        <v>31.2</v>
      </c>
      <c r="Z30" s="103">
        <v>30.81</v>
      </c>
      <c r="AA30" s="103">
        <v>31.19</v>
      </c>
      <c r="AB30" s="101">
        <v>23693900</v>
      </c>
      <c r="AC30" s="100">
        <v>30.96</v>
      </c>
      <c r="AD30" s="2">
        <f t="shared" si="0"/>
        <v>0.39000000000000057</v>
      </c>
      <c r="AE30" s="138">
        <f t="shared" si="1"/>
        <v>1.5414890127910974E-2</v>
      </c>
    </row>
    <row r="31" spans="1:31" x14ac:dyDescent="0.25">
      <c r="W31" s="99">
        <v>42548</v>
      </c>
      <c r="X31" s="103">
        <v>31.41</v>
      </c>
      <c r="Y31" s="103">
        <v>31.41</v>
      </c>
      <c r="Z31" s="103">
        <v>30.44</v>
      </c>
      <c r="AA31" s="103">
        <v>30.72</v>
      </c>
      <c r="AB31" s="101">
        <v>34965100</v>
      </c>
      <c r="AC31" s="100">
        <v>30.49</v>
      </c>
      <c r="AD31" s="2">
        <f t="shared" si="0"/>
        <v>0.96999999999999886</v>
      </c>
      <c r="AE31" s="138">
        <f t="shared" si="1"/>
        <v>-2.6189715745768116E-2</v>
      </c>
    </row>
    <row r="32" spans="1:31" x14ac:dyDescent="0.25">
      <c r="W32" s="99">
        <v>42545</v>
      </c>
      <c r="X32" s="103">
        <v>31.8</v>
      </c>
      <c r="Y32" s="103">
        <v>32.32</v>
      </c>
      <c r="Z32" s="103">
        <v>31.4</v>
      </c>
      <c r="AA32" s="103">
        <v>31.55</v>
      </c>
      <c r="AB32" s="101">
        <v>38094300</v>
      </c>
      <c r="AC32" s="100">
        <v>31.31</v>
      </c>
      <c r="AD32" s="2">
        <f t="shared" si="0"/>
        <v>0.92000000000000171</v>
      </c>
      <c r="AE32" s="138">
        <f t="shared" si="1"/>
        <v>-4.3677458766035571E-2</v>
      </c>
    </row>
    <row r="33" spans="1:31" x14ac:dyDescent="0.25">
      <c r="L33" t="s">
        <v>230</v>
      </c>
      <c r="M33" s="2">
        <f>M56+K56-F56</f>
        <v>1407.5400000000009</v>
      </c>
      <c r="W33" s="99">
        <v>42544</v>
      </c>
      <c r="X33" s="103">
        <v>32.58</v>
      </c>
      <c r="Y33" s="103">
        <v>33</v>
      </c>
      <c r="Z33" s="103">
        <v>32.5</v>
      </c>
      <c r="AA33" s="103">
        <v>32.99</v>
      </c>
      <c r="AB33" s="101">
        <v>22048800</v>
      </c>
      <c r="AC33" s="100">
        <v>32.74</v>
      </c>
      <c r="AD33" s="2">
        <f t="shared" si="0"/>
        <v>0.5</v>
      </c>
      <c r="AE33" s="138">
        <f t="shared" si="1"/>
        <v>2.152886115444641E-2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42543</v>
      </c>
      <c r="X34" s="103">
        <v>32.299999999999997</v>
      </c>
      <c r="Y34" s="103">
        <v>32.630000000000003</v>
      </c>
      <c r="Z34" s="103">
        <v>32.25</v>
      </c>
      <c r="AA34" s="103">
        <v>32.29</v>
      </c>
      <c r="AB34" s="101">
        <v>18304800</v>
      </c>
      <c r="AC34" s="100">
        <v>32.049999999999997</v>
      </c>
      <c r="AD34" s="2">
        <f t="shared" si="0"/>
        <v>0.38000000000000256</v>
      </c>
      <c r="AE34" s="138">
        <f t="shared" si="1"/>
        <v>-9.3516209476307566E-4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42542</v>
      </c>
      <c r="X35" s="103">
        <v>32.26</v>
      </c>
      <c r="Y35" s="103">
        <v>32.380000000000003</v>
      </c>
      <c r="Z35" s="103">
        <v>32.090000000000003</v>
      </c>
      <c r="AA35" s="103">
        <v>32.32</v>
      </c>
      <c r="AB35" s="101">
        <v>15476500</v>
      </c>
      <c r="AC35" s="100">
        <v>32.08</v>
      </c>
      <c r="AD35" s="2">
        <f t="shared" si="0"/>
        <v>0.28999999999999915</v>
      </c>
      <c r="AE35" s="138">
        <f t="shared" si="1"/>
        <v>4.6977763858440102E-3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42541</v>
      </c>
      <c r="X36" s="103">
        <v>32.07</v>
      </c>
      <c r="Y36" s="103">
        <v>32.44</v>
      </c>
      <c r="Z36" s="103">
        <v>32.01</v>
      </c>
      <c r="AA36" s="103">
        <v>32.17</v>
      </c>
      <c r="AB36" s="101">
        <v>21961600</v>
      </c>
      <c r="AC36" s="100">
        <v>31.93</v>
      </c>
      <c r="AD36" s="2">
        <f t="shared" si="0"/>
        <v>0.42999999999999972</v>
      </c>
      <c r="AE36" s="138">
        <f t="shared" si="1"/>
        <v>1.3007614213198071E-2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42538</v>
      </c>
      <c r="X37" s="103">
        <v>31.73</v>
      </c>
      <c r="Y37" s="103">
        <v>31.81</v>
      </c>
      <c r="Z37" s="103">
        <v>31.47</v>
      </c>
      <c r="AA37" s="103">
        <v>31.76</v>
      </c>
      <c r="AB37" s="101">
        <v>27047900</v>
      </c>
      <c r="AC37" s="100">
        <v>31.52</v>
      </c>
      <c r="AD37" s="2">
        <f t="shared" si="0"/>
        <v>0.33999999999999986</v>
      </c>
      <c r="AE37" s="138">
        <f t="shared" si="1"/>
        <v>2.2257551669315756E-3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42537</v>
      </c>
      <c r="X38" s="103">
        <v>31.44</v>
      </c>
      <c r="Y38" s="103">
        <v>31.77</v>
      </c>
      <c r="Z38" s="103">
        <v>31.22</v>
      </c>
      <c r="AA38" s="103">
        <v>31.69</v>
      </c>
      <c r="AB38" s="101">
        <v>18547900</v>
      </c>
      <c r="AC38" s="100">
        <v>31.45</v>
      </c>
      <c r="AD38" s="2">
        <f t="shared" si="0"/>
        <v>0.55000000000000071</v>
      </c>
      <c r="AE38" s="138">
        <f t="shared" si="1"/>
        <v>2.5502072043352975E-3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42536</v>
      </c>
      <c r="X39" s="103">
        <v>32.25</v>
      </c>
      <c r="Y39" s="103">
        <v>32.26</v>
      </c>
      <c r="Z39" s="103">
        <v>31.59</v>
      </c>
      <c r="AA39" s="103">
        <v>31.61</v>
      </c>
      <c r="AB39" s="101">
        <v>23783300</v>
      </c>
      <c r="AC39" s="100">
        <v>31.37</v>
      </c>
      <c r="AD39" s="2">
        <f t="shared" si="0"/>
        <v>0.66999999999999815</v>
      </c>
      <c r="AE39" s="138">
        <f t="shared" si="1"/>
        <v>-1.6614420062695867E-2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525" t="s">
        <v>78</v>
      </c>
      <c r="P40" s="525"/>
      <c r="W40" s="99">
        <v>42535</v>
      </c>
      <c r="X40" s="103">
        <v>32.01</v>
      </c>
      <c r="Y40" s="103">
        <v>32.24</v>
      </c>
      <c r="Z40" s="103">
        <v>31.79</v>
      </c>
      <c r="AA40" s="103">
        <v>32.14</v>
      </c>
      <c r="AB40" s="101">
        <v>18754300</v>
      </c>
      <c r="AC40" s="100">
        <v>31.9</v>
      </c>
      <c r="AD40" s="2">
        <f t="shared" si="0"/>
        <v>0.45000000000000284</v>
      </c>
      <c r="AE40" s="138">
        <f t="shared" si="1"/>
        <v>-9.3955527716882425E-4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38.544000000000004</v>
      </c>
      <c r="Q41" s="2"/>
      <c r="W41" s="99">
        <v>42534</v>
      </c>
      <c r="X41" s="103">
        <v>32.049999999999997</v>
      </c>
      <c r="Y41" s="103">
        <v>32.5</v>
      </c>
      <c r="Z41" s="103">
        <v>32.04</v>
      </c>
      <c r="AA41" s="103">
        <v>32.17</v>
      </c>
      <c r="AB41" s="101">
        <v>23004800</v>
      </c>
      <c r="AC41" s="100">
        <v>31.93</v>
      </c>
      <c r="AD41" s="2">
        <f t="shared" si="0"/>
        <v>0.46000000000000085</v>
      </c>
      <c r="AE41" s="138">
        <f t="shared" si="1"/>
        <v>4.0880503144653524E-3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38.193600000000004</v>
      </c>
      <c r="Q42" s="2"/>
      <c r="T42" s="91" t="s">
        <v>113</v>
      </c>
      <c r="W42" s="99">
        <v>42531</v>
      </c>
      <c r="X42" s="103">
        <v>31.7</v>
      </c>
      <c r="Y42" s="103">
        <v>32.24</v>
      </c>
      <c r="Z42" s="103">
        <v>31.65</v>
      </c>
      <c r="AA42" s="103">
        <v>32.04</v>
      </c>
      <c r="AB42" s="101">
        <v>35749100</v>
      </c>
      <c r="AC42" s="100">
        <v>31.8</v>
      </c>
      <c r="AD42" s="2">
        <f t="shared" si="0"/>
        <v>0.59000000000000341</v>
      </c>
      <c r="AE42" s="138">
        <f t="shared" si="1"/>
        <v>3.154574132492094E-3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37.843200000000003</v>
      </c>
      <c r="Q43" s="2"/>
      <c r="T43" s="97" t="s">
        <v>98</v>
      </c>
      <c r="U43" s="98">
        <v>34.58</v>
      </c>
      <c r="V43" s="420"/>
      <c r="W43" s="99">
        <v>42530</v>
      </c>
      <c r="X43" s="103">
        <v>31.68</v>
      </c>
      <c r="Y43" s="103">
        <v>32</v>
      </c>
      <c r="Z43" s="103">
        <v>31.68</v>
      </c>
      <c r="AA43" s="103">
        <v>31.94</v>
      </c>
      <c r="AB43" s="101">
        <v>11276800</v>
      </c>
      <c r="AC43" s="100">
        <v>31.7</v>
      </c>
      <c r="AD43" s="2">
        <f t="shared" si="0"/>
        <v>0.32000000000000028</v>
      </c>
      <c r="AE43" s="138">
        <f t="shared" si="1"/>
        <v>1.5797788309637184E-3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37.492800000000003</v>
      </c>
      <c r="Q44" s="2"/>
      <c r="T44" s="87" t="s">
        <v>99</v>
      </c>
      <c r="U44" s="88">
        <v>34.799999999999997</v>
      </c>
      <c r="V44" s="421"/>
      <c r="W44" s="99">
        <v>42529</v>
      </c>
      <c r="X44" s="103">
        <v>31.8</v>
      </c>
      <c r="Y44" s="103">
        <v>32</v>
      </c>
      <c r="Z44" s="103">
        <v>31.79</v>
      </c>
      <c r="AA44" s="103">
        <v>31.89</v>
      </c>
      <c r="AB44" s="101">
        <v>12732100</v>
      </c>
      <c r="AC44" s="100">
        <v>31.65</v>
      </c>
      <c r="AD44" s="2">
        <f t="shared" si="0"/>
        <v>0.21000000000000085</v>
      </c>
      <c r="AE44" s="138">
        <f t="shared" si="1"/>
        <v>3.1605562579017921E-4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37.142400000000002</v>
      </c>
      <c r="Q45" s="2"/>
      <c r="T45" s="87" t="s">
        <v>100</v>
      </c>
      <c r="U45" s="88" t="s">
        <v>389</v>
      </c>
      <c r="V45" s="421"/>
      <c r="W45" s="99">
        <v>42528</v>
      </c>
      <c r="X45" s="103">
        <v>31.75</v>
      </c>
      <c r="Y45" s="103">
        <v>32.020000000000003</v>
      </c>
      <c r="Z45" s="103">
        <v>31.7</v>
      </c>
      <c r="AA45" s="103">
        <v>31.88</v>
      </c>
      <c r="AB45" s="101">
        <v>19339100</v>
      </c>
      <c r="AC45" s="100">
        <v>31.64</v>
      </c>
      <c r="AD45" s="2">
        <f t="shared" si="0"/>
        <v>0.32000000000000384</v>
      </c>
      <c r="AE45" s="138">
        <f t="shared" si="1"/>
        <v>6.3613231552162031E-3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36.792000000000002</v>
      </c>
      <c r="Q46" s="2"/>
      <c r="T46" s="87" t="s">
        <v>101</v>
      </c>
      <c r="U46" s="88" t="s">
        <v>390</v>
      </c>
      <c r="V46" s="421"/>
      <c r="W46" s="99">
        <v>42527</v>
      </c>
      <c r="X46" s="103">
        <v>31.64</v>
      </c>
      <c r="Y46" s="103">
        <v>31.82</v>
      </c>
      <c r="Z46" s="103">
        <v>31.58</v>
      </c>
      <c r="AA46" s="103">
        <v>31.68</v>
      </c>
      <c r="AB46" s="101">
        <v>15139600</v>
      </c>
      <c r="AC46" s="100">
        <v>31.44</v>
      </c>
      <c r="AD46" s="2">
        <f t="shared" si="0"/>
        <v>0.24000000000000199</v>
      </c>
      <c r="AE46" s="138">
        <f t="shared" si="1"/>
        <v>1.9120458891013214E-3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36.441600000000001</v>
      </c>
      <c r="Q47" s="2"/>
      <c r="T47" s="87" t="s">
        <v>102</v>
      </c>
      <c r="U47" s="88">
        <v>37.61</v>
      </c>
      <c r="V47" s="421"/>
      <c r="W47" s="99">
        <v>42524</v>
      </c>
      <c r="X47" s="103">
        <v>31.74</v>
      </c>
      <c r="Y47" s="103">
        <v>31.74</v>
      </c>
      <c r="Z47" s="103">
        <v>31.4</v>
      </c>
      <c r="AA47" s="103">
        <v>31.62</v>
      </c>
      <c r="AB47" s="101">
        <v>15777500</v>
      </c>
      <c r="AC47" s="100">
        <v>31.38</v>
      </c>
      <c r="AD47" s="2">
        <f t="shared" si="0"/>
        <v>0.33999999999999986</v>
      </c>
      <c r="AE47" s="138">
        <f t="shared" si="1"/>
        <v>-4.4416243654822329E-3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36.091200000000001</v>
      </c>
      <c r="Q48" s="2"/>
      <c r="T48" s="87" t="s">
        <v>103</v>
      </c>
      <c r="U48" s="88">
        <v>1.1814199999999999</v>
      </c>
      <c r="V48" s="421"/>
      <c r="W48" s="99">
        <v>42523</v>
      </c>
      <c r="X48" s="103">
        <v>31.56</v>
      </c>
      <c r="Y48" s="103">
        <v>31.76</v>
      </c>
      <c r="Z48" s="103">
        <v>31.45</v>
      </c>
      <c r="AA48" s="103">
        <v>31.76</v>
      </c>
      <c r="AB48" s="101">
        <v>14140100</v>
      </c>
      <c r="AC48" s="100">
        <v>31.52</v>
      </c>
      <c r="AD48" s="2">
        <f t="shared" si="0"/>
        <v>0.31000000000000227</v>
      </c>
      <c r="AE48" s="138">
        <f t="shared" si="1"/>
        <v>3.1826861871417922E-3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35.7408</v>
      </c>
      <c r="Q49" s="2"/>
      <c r="T49" s="87" t="s">
        <v>104</v>
      </c>
      <c r="U49" s="89" t="s">
        <v>337</v>
      </c>
      <c r="V49" s="422"/>
      <c r="W49" s="99">
        <v>42522</v>
      </c>
      <c r="X49" s="103">
        <v>31.62</v>
      </c>
      <c r="Y49" s="103">
        <v>31.72</v>
      </c>
      <c r="Z49" s="103">
        <v>31.47</v>
      </c>
      <c r="AA49" s="103">
        <v>31.66</v>
      </c>
      <c r="AB49" s="101">
        <v>17753500</v>
      </c>
      <c r="AC49" s="100">
        <v>31.42</v>
      </c>
      <c r="AD49" s="2">
        <f t="shared" si="0"/>
        <v>0.25</v>
      </c>
      <c r="AE49" s="138">
        <f t="shared" si="1"/>
        <v>2.2328548644339197E-3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35.3904</v>
      </c>
      <c r="Q50" s="2"/>
      <c r="T50" s="87"/>
      <c r="U50" s="88"/>
      <c r="V50" s="421"/>
      <c r="W50" s="99">
        <v>42521</v>
      </c>
      <c r="X50" s="103">
        <v>31.51</v>
      </c>
      <c r="Y50" s="103">
        <v>31.65</v>
      </c>
      <c r="Z50" s="103">
        <v>31.31</v>
      </c>
      <c r="AA50" s="103">
        <v>31.59</v>
      </c>
      <c r="AB50" s="101">
        <v>23040200</v>
      </c>
      <c r="AC50" s="100">
        <v>31.35</v>
      </c>
      <c r="AD50" s="2">
        <f t="shared" si="0"/>
        <v>0.33999999999999986</v>
      </c>
      <c r="AE50" s="138">
        <f t="shared" si="1"/>
        <v>6.3836578359399709E-4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35.04</v>
      </c>
      <c r="Q51" s="2"/>
      <c r="T51" s="87" t="s">
        <v>105</v>
      </c>
      <c r="U51" s="88" t="s">
        <v>391</v>
      </c>
      <c r="V51" s="421"/>
      <c r="W51" s="99">
        <v>42517</v>
      </c>
      <c r="X51" s="103">
        <v>31.6</v>
      </c>
      <c r="Y51" s="103">
        <v>31.65</v>
      </c>
      <c r="Z51" s="103">
        <v>31.45</v>
      </c>
      <c r="AA51" s="103">
        <v>31.57</v>
      </c>
      <c r="AB51" s="101">
        <v>13341300</v>
      </c>
      <c r="AC51" s="100">
        <v>31.33</v>
      </c>
      <c r="AD51" s="2">
        <f t="shared" si="0"/>
        <v>0.19999999999999929</v>
      </c>
      <c r="AE51" s="138">
        <f t="shared" si="1"/>
        <v>2.5599999999998957E-3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34.689599999999999</v>
      </c>
      <c r="Q52" s="2"/>
      <c r="T52" s="87" t="s">
        <v>106</v>
      </c>
      <c r="U52" s="88" t="s">
        <v>327</v>
      </c>
      <c r="V52" s="421"/>
      <c r="W52" s="99">
        <v>42516</v>
      </c>
      <c r="X52" s="103">
        <v>31.49</v>
      </c>
      <c r="Y52" s="103">
        <v>31.63</v>
      </c>
      <c r="Z52" s="103">
        <v>31.4</v>
      </c>
      <c r="AA52" s="103">
        <v>31.49</v>
      </c>
      <c r="AB52" s="101">
        <v>12692300</v>
      </c>
      <c r="AC52" s="100">
        <v>31.25</v>
      </c>
      <c r="AD52" s="2">
        <f t="shared" si="0"/>
        <v>0.23000000000000043</v>
      </c>
      <c r="AE52" s="138">
        <f t="shared" si="1"/>
        <v>3.2102728731941976E-3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34.339199999999998</v>
      </c>
      <c r="Q53" s="2"/>
      <c r="T53" s="87" t="s">
        <v>107</v>
      </c>
      <c r="U53" s="90">
        <v>20046211</v>
      </c>
      <c r="V53" s="423"/>
      <c r="W53" s="99">
        <v>42515</v>
      </c>
      <c r="X53" s="103">
        <v>31.2</v>
      </c>
      <c r="Y53" s="103">
        <v>31.57</v>
      </c>
      <c r="Z53" s="103">
        <v>31.15</v>
      </c>
      <c r="AA53" s="103">
        <v>31.39</v>
      </c>
      <c r="AB53" s="101">
        <v>18359600</v>
      </c>
      <c r="AC53" s="100">
        <v>31.15</v>
      </c>
      <c r="AD53" s="2">
        <f t="shared" si="0"/>
        <v>0.42000000000000171</v>
      </c>
      <c r="AE53" s="138">
        <f t="shared" si="1"/>
        <v>1.0379500486539017E-2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33.988799999999998</v>
      </c>
      <c r="T54" s="87" t="s">
        <v>110</v>
      </c>
      <c r="U54" s="90">
        <v>22589700</v>
      </c>
      <c r="V54" s="423"/>
      <c r="W54" s="99">
        <v>42514</v>
      </c>
      <c r="X54" s="103">
        <v>30.5</v>
      </c>
      <c r="Y54" s="103">
        <v>31.12</v>
      </c>
      <c r="Z54" s="103">
        <v>30.45</v>
      </c>
      <c r="AA54" s="103">
        <v>31.06</v>
      </c>
      <c r="AB54" s="101">
        <v>23699200</v>
      </c>
      <c r="AC54" s="100">
        <v>30.83</v>
      </c>
      <c r="AD54" s="2">
        <f t="shared" si="0"/>
        <v>0.67000000000000171</v>
      </c>
      <c r="AE54" s="138">
        <f t="shared" si="1"/>
        <v>2.7666666666666506E-2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33.638399999999997</v>
      </c>
      <c r="T55" s="87" t="s">
        <v>108</v>
      </c>
      <c r="U55" s="88" t="s">
        <v>560</v>
      </c>
      <c r="V55" s="421"/>
      <c r="W55" s="99">
        <v>42513</v>
      </c>
      <c r="X55" s="103">
        <v>30.23</v>
      </c>
      <c r="Y55" s="103">
        <v>30.48</v>
      </c>
      <c r="Z55" s="103">
        <v>30.13</v>
      </c>
      <c r="AA55" s="103">
        <v>30.23</v>
      </c>
      <c r="AB55" s="101">
        <v>20881900</v>
      </c>
      <c r="AC55" s="100">
        <v>30</v>
      </c>
      <c r="AD55" s="2">
        <f t="shared" si="0"/>
        <v>0.35000000000000142</v>
      </c>
      <c r="AE55" s="138">
        <f t="shared" si="1"/>
        <v>2.673796791443861E-3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33.287999999999997</v>
      </c>
      <c r="T56" s="87" t="s">
        <v>111</v>
      </c>
      <c r="U56" s="88">
        <v>16.96</v>
      </c>
      <c r="V56" s="421"/>
      <c r="W56" s="99">
        <v>42510</v>
      </c>
      <c r="X56" s="103">
        <v>29.73</v>
      </c>
      <c r="Y56" s="103">
        <v>30.38</v>
      </c>
      <c r="Z56" s="103">
        <v>29.7</v>
      </c>
      <c r="AA56" s="103">
        <v>30.15</v>
      </c>
      <c r="AB56" s="101">
        <v>22777300</v>
      </c>
      <c r="AC56" s="100">
        <v>29.92</v>
      </c>
      <c r="AD56" s="2">
        <f t="shared" si="0"/>
        <v>0.67999999999999972</v>
      </c>
      <c r="AE56" s="138">
        <f t="shared" si="1"/>
        <v>1.7341040462427904E-2</v>
      </c>
    </row>
    <row r="57" spans="1:31" x14ac:dyDescent="0.25">
      <c r="O57" s="83">
        <v>0.94</v>
      </c>
      <c r="P57" s="83">
        <f t="shared" si="4"/>
        <v>32.937599999999996</v>
      </c>
      <c r="T57" s="87" t="s">
        <v>112</v>
      </c>
      <c r="U57" s="88">
        <v>2.06</v>
      </c>
      <c r="V57" s="421"/>
      <c r="W57" s="99">
        <v>42509</v>
      </c>
      <c r="X57" s="103">
        <v>29.77</v>
      </c>
      <c r="Y57" s="103">
        <v>29.93</v>
      </c>
      <c r="Z57" s="103">
        <v>29.5</v>
      </c>
      <c r="AA57" s="103">
        <v>29.63</v>
      </c>
      <c r="AB57" s="101">
        <v>21740900</v>
      </c>
      <c r="AC57" s="100">
        <v>29.41</v>
      </c>
      <c r="AD57" s="2">
        <f t="shared" si="0"/>
        <v>0.42999999999999972</v>
      </c>
      <c r="AE57" s="138">
        <f t="shared" si="1"/>
        <v>-1.1760752688172116E-2</v>
      </c>
    </row>
    <row r="58" spans="1:31" x14ac:dyDescent="0.25">
      <c r="O58" s="83">
        <v>0.93</v>
      </c>
      <c r="P58" s="83">
        <f t="shared" si="4"/>
        <v>32.587200000000003</v>
      </c>
      <c r="T58" s="87" t="s">
        <v>109</v>
      </c>
      <c r="U58" s="88" t="s">
        <v>561</v>
      </c>
      <c r="V58" s="421"/>
      <c r="W58" s="99">
        <v>42508</v>
      </c>
      <c r="X58" s="103">
        <v>30.03</v>
      </c>
      <c r="Y58" s="103">
        <v>30.25</v>
      </c>
      <c r="Z58" s="103">
        <v>29.78</v>
      </c>
      <c r="AA58" s="103">
        <v>29.99</v>
      </c>
      <c r="AB58" s="101">
        <v>22469900</v>
      </c>
      <c r="AC58" s="100">
        <v>29.76</v>
      </c>
      <c r="AD58" s="2">
        <f t="shared" si="0"/>
        <v>0.46999999999999886</v>
      </c>
      <c r="AE58" s="138">
        <f t="shared" si="1"/>
        <v>3.3613445378155582E-4</v>
      </c>
    </row>
    <row r="59" spans="1:31" x14ac:dyDescent="0.25">
      <c r="O59" s="83">
        <v>0.92</v>
      </c>
      <c r="P59" s="83">
        <f t="shared" si="4"/>
        <v>32.236800000000002</v>
      </c>
      <c r="W59" s="99">
        <v>42507</v>
      </c>
      <c r="X59" s="103">
        <v>30.57</v>
      </c>
      <c r="Y59" s="103">
        <v>30.57</v>
      </c>
      <c r="Z59" s="103">
        <v>29.86</v>
      </c>
      <c r="AA59" s="103">
        <v>29.98</v>
      </c>
      <c r="AB59" s="101">
        <v>25709900</v>
      </c>
      <c r="AC59" s="100">
        <v>29.75</v>
      </c>
      <c r="AD59" s="2">
        <f t="shared" si="0"/>
        <v>0.71000000000000085</v>
      </c>
      <c r="AE59" s="138">
        <f t="shared" si="1"/>
        <v>-1.3594164456233404E-2</v>
      </c>
    </row>
    <row r="60" spans="1:31" x14ac:dyDescent="0.25">
      <c r="O60" s="83">
        <v>0.91</v>
      </c>
      <c r="P60" s="83">
        <f t="shared" si="4"/>
        <v>31.886400000000002</v>
      </c>
      <c r="W60" s="99">
        <v>42506</v>
      </c>
      <c r="X60" s="103">
        <v>29.9</v>
      </c>
      <c r="Y60" s="103">
        <v>30.56</v>
      </c>
      <c r="Z60" s="103">
        <v>29.88</v>
      </c>
      <c r="AA60" s="103">
        <v>30.39</v>
      </c>
      <c r="AB60" s="101">
        <v>21826100</v>
      </c>
      <c r="AC60" s="100">
        <v>30.16</v>
      </c>
      <c r="AD60" s="2">
        <f t="shared" si="0"/>
        <v>0.67999999999999972</v>
      </c>
      <c r="AE60" s="138">
        <f t="shared" si="1"/>
        <v>1.6172506738544534E-2</v>
      </c>
    </row>
    <row r="61" spans="1:31" x14ac:dyDescent="0.25">
      <c r="O61" s="83">
        <v>0.9</v>
      </c>
      <c r="P61" s="83">
        <f t="shared" si="4"/>
        <v>31.536000000000001</v>
      </c>
      <c r="W61" s="99">
        <v>42503</v>
      </c>
      <c r="X61" s="103">
        <v>29.86</v>
      </c>
      <c r="Y61" s="103">
        <v>30.2</v>
      </c>
      <c r="Z61" s="103">
        <v>29.84</v>
      </c>
      <c r="AA61" s="103">
        <v>29.91</v>
      </c>
      <c r="AB61" s="101">
        <v>19999600</v>
      </c>
      <c r="AC61" s="100">
        <v>29.68</v>
      </c>
      <c r="AD61" s="2">
        <f t="shared" si="0"/>
        <v>0.35999999999999943</v>
      </c>
      <c r="AE61" s="138">
        <f t="shared" si="1"/>
        <v>4.7393364928909332E-3</v>
      </c>
    </row>
    <row r="62" spans="1:31" x14ac:dyDescent="0.25">
      <c r="W62" s="99">
        <v>42502</v>
      </c>
      <c r="X62" s="103">
        <v>30.11</v>
      </c>
      <c r="Y62" s="103">
        <v>30.24</v>
      </c>
      <c r="Z62" s="103">
        <v>29.57</v>
      </c>
      <c r="AA62" s="103">
        <v>29.76</v>
      </c>
      <c r="AB62" s="101">
        <v>20826700</v>
      </c>
      <c r="AC62" s="100">
        <v>29.54</v>
      </c>
      <c r="AD62" s="2">
        <f t="shared" si="0"/>
        <v>0.66999999999999815</v>
      </c>
      <c r="AE62" s="138">
        <f t="shared" si="1"/>
        <v>-9.7217566208515072E-3</v>
      </c>
    </row>
    <row r="63" spans="1:31" x14ac:dyDescent="0.25">
      <c r="W63" s="99">
        <v>42501</v>
      </c>
      <c r="X63" s="103">
        <v>30.16</v>
      </c>
      <c r="Y63" s="103">
        <v>30.25</v>
      </c>
      <c r="Z63" s="103">
        <v>29.97</v>
      </c>
      <c r="AA63" s="103">
        <v>30.06</v>
      </c>
      <c r="AB63" s="101">
        <v>15754200</v>
      </c>
      <c r="AC63" s="100">
        <v>29.83</v>
      </c>
      <c r="AD63" s="2">
        <f t="shared" si="0"/>
        <v>0.28000000000000114</v>
      </c>
      <c r="AE63" s="138">
        <f t="shared" si="1"/>
        <v>-2.6746907388833785E-3</v>
      </c>
    </row>
    <row r="64" spans="1:31" x14ac:dyDescent="0.25">
      <c r="W64" s="99">
        <v>42500</v>
      </c>
      <c r="X64" s="103">
        <v>30</v>
      </c>
      <c r="Y64" s="103">
        <v>30.18</v>
      </c>
      <c r="Z64" s="103">
        <v>29.82</v>
      </c>
      <c r="AA64" s="103">
        <v>30.14</v>
      </c>
      <c r="AB64" s="101">
        <v>17013800</v>
      </c>
      <c r="AC64" s="100">
        <v>29.91</v>
      </c>
      <c r="AD64" s="2">
        <f t="shared" si="0"/>
        <v>0.35999999999999943</v>
      </c>
      <c r="AE64" s="138">
        <f t="shared" si="1"/>
        <v>1.1156186612576224E-2</v>
      </c>
    </row>
    <row r="65" spans="23:31" x14ac:dyDescent="0.25">
      <c r="W65" s="99">
        <v>42499</v>
      </c>
      <c r="X65" s="103">
        <v>30.08</v>
      </c>
      <c r="Y65" s="103">
        <v>30.17</v>
      </c>
      <c r="Z65" s="103">
        <v>29.76</v>
      </c>
      <c r="AA65" s="103">
        <v>29.8</v>
      </c>
      <c r="AB65" s="101">
        <v>16888300</v>
      </c>
      <c r="AC65" s="100">
        <v>29.58</v>
      </c>
      <c r="AD65" s="2">
        <f t="shared" si="0"/>
        <v>0.41000000000000014</v>
      </c>
      <c r="AE65" s="138">
        <f t="shared" si="1"/>
        <v>-7.7155317007715496E-3</v>
      </c>
    </row>
    <row r="66" spans="23:31" x14ac:dyDescent="0.25">
      <c r="W66" s="99">
        <v>42496</v>
      </c>
      <c r="X66" s="103">
        <v>29.61</v>
      </c>
      <c r="Y66" s="103">
        <v>30.11</v>
      </c>
      <c r="Z66" s="103">
        <v>29.52</v>
      </c>
      <c r="AA66" s="103">
        <v>30.04</v>
      </c>
      <c r="AB66" s="101">
        <v>19632200</v>
      </c>
      <c r="AC66" s="100">
        <v>29.81</v>
      </c>
      <c r="AD66" s="2">
        <f t="shared" si="0"/>
        <v>0.58999999999999986</v>
      </c>
      <c r="AE66" s="138">
        <f t="shared" si="1"/>
        <v>4.3800539083558299E-3</v>
      </c>
    </row>
    <row r="67" spans="23:31" x14ac:dyDescent="0.25">
      <c r="W67" s="99">
        <v>42495</v>
      </c>
      <c r="X67" s="103">
        <v>29.87</v>
      </c>
      <c r="Y67" s="103">
        <v>30.02</v>
      </c>
      <c r="Z67" s="103">
        <v>29.75</v>
      </c>
      <c r="AA67" s="103">
        <v>29.9</v>
      </c>
      <c r="AB67" s="101">
        <v>23393300</v>
      </c>
      <c r="AC67" s="100">
        <v>29.68</v>
      </c>
      <c r="AD67" s="2">
        <f>Y67-Z67</f>
        <v>0.26999999999999957</v>
      </c>
      <c r="AE67" s="138">
        <f>AC67/AC68-1</f>
        <v>1.687478906513773E-3</v>
      </c>
    </row>
    <row r="68" spans="23:31" x14ac:dyDescent="0.25">
      <c r="W68" s="99">
        <v>42494</v>
      </c>
      <c r="X68" s="103">
        <v>30.17</v>
      </c>
      <c r="Y68" s="103">
        <v>30.21</v>
      </c>
      <c r="Z68" s="103">
        <v>29.7</v>
      </c>
      <c r="AA68" s="103">
        <v>29.85</v>
      </c>
      <c r="AB68" s="101">
        <v>23278800</v>
      </c>
      <c r="AC68" s="100">
        <v>29.63</v>
      </c>
      <c r="AD68" s="2">
        <f>Y68-Z68</f>
        <v>0.51000000000000156</v>
      </c>
      <c r="AE68" s="138" t="e">
        <f>AC68/AC70-1</f>
        <v>#DIV/0!</v>
      </c>
    </row>
    <row r="69" spans="23:31" x14ac:dyDescent="0.25">
      <c r="W69" s="99">
        <v>42494</v>
      </c>
      <c r="X69" s="103" t="s">
        <v>142</v>
      </c>
      <c r="Y69" s="103"/>
      <c r="Z69" s="103"/>
      <c r="AA69" s="103"/>
      <c r="AB69" s="101"/>
      <c r="AC69" s="100"/>
      <c r="AD69" s="2">
        <f>Y70-Z70</f>
        <v>0</v>
      </c>
      <c r="AE69" s="138" t="e">
        <f>AC70/AC71-1</f>
        <v>#DIV/0!</v>
      </c>
    </row>
    <row r="70" spans="23:31" x14ac:dyDescent="0.25">
      <c r="W70" s="99" t="s">
        <v>122</v>
      </c>
      <c r="X70" s="103"/>
      <c r="Y70" s="103"/>
      <c r="Z70" s="103"/>
      <c r="AA70" s="103"/>
      <c r="AB70" s="101"/>
      <c r="AC70" s="100"/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7" priority="7">
      <formula>F21&gt;0</formula>
    </cfRule>
    <cfRule type="expression" dxfId="406" priority="8">
      <formula>F21&lt;0</formula>
    </cfRule>
  </conditionalFormatting>
  <conditionalFormatting sqref="F22">
    <cfRule type="expression" dxfId="405" priority="5">
      <formula>F22&gt;0</formula>
    </cfRule>
    <cfRule type="expression" dxfId="404" priority="6">
      <formula>F22&lt;0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42587</v>
      </c>
      <c r="X2" s="41">
        <v>54</v>
      </c>
      <c r="Y2" s="41">
        <v>54.76</v>
      </c>
      <c r="Z2" s="41">
        <v>53.58</v>
      </c>
      <c r="AA2" s="41">
        <v>54.64</v>
      </c>
      <c r="AB2" s="104">
        <v>3471100</v>
      </c>
      <c r="AC2" s="41">
        <v>54.64</v>
      </c>
      <c r="AD2" s="2">
        <f>Y2-Z2</f>
        <v>1.1799999999999997</v>
      </c>
      <c r="AE2" s="138">
        <f>AC2/AC3-1</f>
        <v>1.4293669946166654E-2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55.92</v>
      </c>
      <c r="W3" s="110">
        <v>42586</v>
      </c>
      <c r="X3" s="41">
        <v>53.28</v>
      </c>
      <c r="Y3" s="41">
        <v>55.14</v>
      </c>
      <c r="Z3" s="41">
        <v>53.11</v>
      </c>
      <c r="AA3" s="41">
        <v>53.87</v>
      </c>
      <c r="AB3" s="104">
        <v>5349900</v>
      </c>
      <c r="AC3" s="41">
        <v>53.87</v>
      </c>
      <c r="AD3" s="2">
        <f t="shared" ref="AD3:AD66" si="0">Y3-Z3</f>
        <v>2.0300000000000011</v>
      </c>
      <c r="AE3" s="138">
        <f t="shared" ref="AE3:AE66" si="1">AC3/AC4-1</f>
        <v>8.9904476493725127E-3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55.92</v>
      </c>
      <c r="T4" s="124"/>
      <c r="U4" s="30"/>
      <c r="V4" s="35"/>
      <c r="W4" s="110">
        <v>42585</v>
      </c>
      <c r="X4" s="41">
        <v>51.74</v>
      </c>
      <c r="Y4" s="41">
        <v>53.73</v>
      </c>
      <c r="Z4" s="41">
        <v>51.63</v>
      </c>
      <c r="AA4" s="41">
        <v>53.39</v>
      </c>
      <c r="AB4" s="104">
        <v>6177000</v>
      </c>
      <c r="AC4" s="41">
        <v>53.39</v>
      </c>
      <c r="AD4" s="2">
        <f t="shared" si="0"/>
        <v>2.0999999999999943</v>
      </c>
      <c r="AE4" s="138">
        <f t="shared" si="1"/>
        <v>3.1690821256038726E-2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42584</v>
      </c>
      <c r="X5" s="41">
        <v>51.48</v>
      </c>
      <c r="Y5" s="41">
        <v>51.96</v>
      </c>
      <c r="Z5" s="41">
        <v>50.31</v>
      </c>
      <c r="AA5" s="41">
        <v>51.75</v>
      </c>
      <c r="AB5" s="104">
        <v>4733200</v>
      </c>
      <c r="AC5" s="41">
        <v>51.75</v>
      </c>
      <c r="AD5" s="2">
        <f t="shared" si="0"/>
        <v>1.6499999999999986</v>
      </c>
      <c r="AE5" s="138">
        <f t="shared" si="1"/>
        <v>1.0150302557095481E-2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42583</v>
      </c>
      <c r="X6" s="41">
        <v>52.67</v>
      </c>
      <c r="Y6" s="41">
        <v>52.73</v>
      </c>
      <c r="Z6" s="41">
        <v>51.01</v>
      </c>
      <c r="AA6" s="41">
        <v>51.23</v>
      </c>
      <c r="AB6" s="104">
        <v>5623200</v>
      </c>
      <c r="AC6" s="41">
        <v>51.23</v>
      </c>
      <c r="AD6" s="2">
        <f t="shared" si="0"/>
        <v>1.7199999999999989</v>
      </c>
      <c r="AE6" s="138">
        <f t="shared" si="1"/>
        <v>-4.5107176141658933E-2</v>
      </c>
      <c r="AK6" s="236"/>
      <c r="AN6" s="236"/>
    </row>
    <row r="7" spans="1:40" x14ac:dyDescent="0.25">
      <c r="O7" s="11" t="s">
        <v>188</v>
      </c>
      <c r="Q7" s="2">
        <f>Q10+Q8</f>
        <v>3178.8000000000466</v>
      </c>
      <c r="R7">
        <v>0</v>
      </c>
      <c r="W7" s="110">
        <v>42580</v>
      </c>
      <c r="X7" s="41">
        <v>51.41</v>
      </c>
      <c r="Y7" s="41">
        <v>53.82</v>
      </c>
      <c r="Z7" s="41">
        <v>51.41</v>
      </c>
      <c r="AA7" s="41">
        <v>53.65</v>
      </c>
      <c r="AB7" s="104">
        <v>4098000</v>
      </c>
      <c r="AC7" s="41">
        <v>53.65</v>
      </c>
      <c r="AD7" s="2">
        <f t="shared" si="0"/>
        <v>2.4100000000000037</v>
      </c>
      <c r="AE7" s="138">
        <f t="shared" si="1"/>
        <v>2.8368794326241176E-2</v>
      </c>
    </row>
    <row r="8" spans="1:40" x14ac:dyDescent="0.25">
      <c r="O8" s="11" t="s">
        <v>192</v>
      </c>
      <c r="P8" s="34"/>
      <c r="Q8" s="2">
        <f>K18+M18-F18+Q2*Q4</f>
        <v>0</v>
      </c>
      <c r="W8" s="110">
        <v>42579</v>
      </c>
      <c r="X8" s="41">
        <v>51.5</v>
      </c>
      <c r="Y8" s="41">
        <v>53</v>
      </c>
      <c r="Z8" s="41">
        <v>51.28</v>
      </c>
      <c r="AA8" s="41">
        <v>52.17</v>
      </c>
      <c r="AB8" s="104">
        <v>5308100</v>
      </c>
      <c r="AC8" s="41">
        <v>52.17</v>
      </c>
      <c r="AD8" s="2">
        <f t="shared" si="0"/>
        <v>1.7199999999999989</v>
      </c>
      <c r="AE8" s="138">
        <f t="shared" si="1"/>
        <v>1.1046511627907041E-2</v>
      </c>
    </row>
    <row r="9" spans="1:40" x14ac:dyDescent="0.25">
      <c r="O9" s="11" t="s">
        <v>231</v>
      </c>
      <c r="Q9" s="138">
        <f>IF(Q2=0, 0, Q8/Q6)</f>
        <v>0</v>
      </c>
      <c r="W9" s="110">
        <v>42578</v>
      </c>
      <c r="X9" s="41">
        <v>52</v>
      </c>
      <c r="Y9" s="41">
        <v>53.66</v>
      </c>
      <c r="Z9" s="41">
        <v>50.55</v>
      </c>
      <c r="AA9" s="41">
        <v>51.6</v>
      </c>
      <c r="AB9" s="104">
        <v>9367200</v>
      </c>
      <c r="AC9" s="41">
        <v>51.6</v>
      </c>
      <c r="AD9" s="2">
        <f t="shared" si="0"/>
        <v>3.1099999999999994</v>
      </c>
      <c r="AE9" s="138">
        <f t="shared" si="1"/>
        <v>-3.8748137108792768E-2</v>
      </c>
    </row>
    <row r="10" spans="1:40" x14ac:dyDescent="0.25">
      <c r="O10" s="11" t="s">
        <v>230</v>
      </c>
      <c r="P10" s="34"/>
      <c r="Q10" s="2">
        <f>M75</f>
        <v>3178.8000000000466</v>
      </c>
      <c r="W10" s="110">
        <v>42577</v>
      </c>
      <c r="X10" s="41">
        <v>52.46</v>
      </c>
      <c r="Y10" s="41">
        <v>53.71</v>
      </c>
      <c r="Z10" s="41">
        <v>52.16</v>
      </c>
      <c r="AA10" s="41">
        <v>53.68</v>
      </c>
      <c r="AB10" s="104">
        <v>3789100</v>
      </c>
      <c r="AC10" s="41">
        <v>53.68</v>
      </c>
      <c r="AD10" s="2">
        <f t="shared" si="0"/>
        <v>1.5500000000000043</v>
      </c>
      <c r="AE10" s="138">
        <f t="shared" si="1"/>
        <v>1.6474152622609317E-2</v>
      </c>
    </row>
    <row r="11" spans="1:40" x14ac:dyDescent="0.25">
      <c r="O11" s="11" t="s">
        <v>184</v>
      </c>
      <c r="P11" s="34"/>
      <c r="Q11" s="138">
        <f>VALUE(TRIM(CLEAN(MID(U58, FIND("(", U58)+1, 5))))</f>
        <v>1.83E-2</v>
      </c>
      <c r="T11" s="19"/>
      <c r="W11" s="110">
        <v>42576</v>
      </c>
      <c r="X11" s="41">
        <v>53.5</v>
      </c>
      <c r="Y11" s="41">
        <v>53.78</v>
      </c>
      <c r="Z11" s="41">
        <v>52.36</v>
      </c>
      <c r="AA11" s="41">
        <v>52.81</v>
      </c>
      <c r="AB11" s="104">
        <v>4099400</v>
      </c>
      <c r="AC11" s="41">
        <v>52.81</v>
      </c>
      <c r="AD11" s="2">
        <f t="shared" si="0"/>
        <v>1.4200000000000017</v>
      </c>
      <c r="AE11" s="138">
        <f t="shared" si="1"/>
        <v>-2.4205469327420404E-2</v>
      </c>
    </row>
    <row r="12" spans="1:40" x14ac:dyDescent="0.25">
      <c r="T12" s="19"/>
      <c r="W12" s="110">
        <v>42573</v>
      </c>
      <c r="X12" s="41">
        <v>55.26</v>
      </c>
      <c r="Y12" s="41">
        <v>55.43</v>
      </c>
      <c r="Z12" s="41">
        <v>53.66</v>
      </c>
      <c r="AA12" s="41">
        <v>54.12</v>
      </c>
      <c r="AB12" s="104">
        <v>2773400</v>
      </c>
      <c r="AC12" s="41">
        <v>54.12</v>
      </c>
      <c r="AD12" s="2">
        <f t="shared" si="0"/>
        <v>1.7700000000000031</v>
      </c>
      <c r="AE12" s="138">
        <f t="shared" si="1"/>
        <v>-1.4387179020214913E-2</v>
      </c>
    </row>
    <row r="13" spans="1:40" x14ac:dyDescent="0.25">
      <c r="W13" s="110">
        <v>42572</v>
      </c>
      <c r="X13" s="41">
        <v>56.28</v>
      </c>
      <c r="Y13" s="41">
        <v>56.93</v>
      </c>
      <c r="Z13" s="41">
        <v>54.72</v>
      </c>
      <c r="AA13" s="41">
        <v>54.91</v>
      </c>
      <c r="AB13" s="104">
        <v>1917600</v>
      </c>
      <c r="AC13" s="41">
        <v>54.91</v>
      </c>
      <c r="AD13" s="2">
        <f t="shared" si="0"/>
        <v>2.2100000000000009</v>
      </c>
      <c r="AE13" s="138">
        <f t="shared" si="1"/>
        <v>-2.5727466288147705E-2</v>
      </c>
    </row>
    <row r="14" spans="1:40" x14ac:dyDescent="0.25">
      <c r="W14" s="110">
        <v>42571</v>
      </c>
      <c r="X14" s="41">
        <v>55.81</v>
      </c>
      <c r="Y14" s="41">
        <v>56.68</v>
      </c>
      <c r="Z14" s="41">
        <v>54.72</v>
      </c>
      <c r="AA14" s="41">
        <v>56.36</v>
      </c>
      <c r="AB14" s="104">
        <v>3171000</v>
      </c>
      <c r="AC14" s="41">
        <v>56.36</v>
      </c>
      <c r="AD14" s="2">
        <f t="shared" si="0"/>
        <v>1.9600000000000009</v>
      </c>
      <c r="AE14" s="138">
        <f t="shared" si="1"/>
        <v>4.455533772945941E-3</v>
      </c>
    </row>
    <row r="15" spans="1:40" x14ac:dyDescent="0.25">
      <c r="W15" s="110">
        <v>42570</v>
      </c>
      <c r="X15" s="41">
        <v>57.1</v>
      </c>
      <c r="Y15" s="41">
        <v>57.48</v>
      </c>
      <c r="Z15" s="41">
        <v>55.84</v>
      </c>
      <c r="AA15" s="41">
        <v>56.11</v>
      </c>
      <c r="AB15" s="104">
        <v>2305200</v>
      </c>
      <c r="AC15" s="41">
        <v>56.11</v>
      </c>
      <c r="AD15" s="2">
        <f t="shared" si="0"/>
        <v>1.6399999999999935</v>
      </c>
      <c r="AE15" s="138">
        <f t="shared" si="1"/>
        <v>-2.5868055555555602E-2</v>
      </c>
    </row>
    <row r="16" spans="1:40" x14ac:dyDescent="0.25">
      <c r="W16" s="110">
        <v>42569</v>
      </c>
      <c r="X16" s="41">
        <v>56.72</v>
      </c>
      <c r="Y16" s="41">
        <v>57.65</v>
      </c>
      <c r="Z16" s="41">
        <v>56.25</v>
      </c>
      <c r="AA16" s="41">
        <v>57.6</v>
      </c>
      <c r="AB16" s="104">
        <v>2802700</v>
      </c>
      <c r="AC16" s="41">
        <v>57.6</v>
      </c>
      <c r="AD16" s="2">
        <f t="shared" si="0"/>
        <v>1.3999999999999986</v>
      </c>
      <c r="AE16" s="138">
        <f t="shared" si="1"/>
        <v>1.1768838924995695E-2</v>
      </c>
    </row>
    <row r="17" spans="1:31" x14ac:dyDescent="0.25">
      <c r="C17" s="4"/>
      <c r="D17" s="243"/>
      <c r="E17" s="3"/>
      <c r="F17" s="3"/>
      <c r="W17" s="110">
        <v>42566</v>
      </c>
      <c r="X17" s="41">
        <v>58.08</v>
      </c>
      <c r="Y17" s="41">
        <v>58.36</v>
      </c>
      <c r="Z17" s="41">
        <v>56.68</v>
      </c>
      <c r="AA17" s="41">
        <v>56.93</v>
      </c>
      <c r="AB17" s="104">
        <v>3409300</v>
      </c>
      <c r="AC17" s="41">
        <v>56.93</v>
      </c>
      <c r="AD17" s="2">
        <f t="shared" si="0"/>
        <v>1.6799999999999997</v>
      </c>
      <c r="AE17" s="138">
        <f t="shared" si="1"/>
        <v>-1.861747974487149E-2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42565</v>
      </c>
      <c r="X18" s="41">
        <v>59.09</v>
      </c>
      <c r="Y18" s="41">
        <v>59.43</v>
      </c>
      <c r="Z18" s="41">
        <v>57.98</v>
      </c>
      <c r="AA18" s="41">
        <v>58.01</v>
      </c>
      <c r="AB18" s="104">
        <v>2839500</v>
      </c>
      <c r="AC18" s="41">
        <v>58.01</v>
      </c>
      <c r="AD18" s="2">
        <f t="shared" si="0"/>
        <v>1.4500000000000028</v>
      </c>
      <c r="AE18" s="138">
        <f t="shared" si="1"/>
        <v>-1.7235436056539655E-4</v>
      </c>
    </row>
    <row r="19" spans="1:31" x14ac:dyDescent="0.25">
      <c r="W19" s="110">
        <v>42564</v>
      </c>
      <c r="X19" s="41">
        <v>59.99</v>
      </c>
      <c r="Y19" s="41">
        <v>60.12</v>
      </c>
      <c r="Z19" s="41">
        <v>57.46</v>
      </c>
      <c r="AA19" s="41">
        <v>58.02</v>
      </c>
      <c r="AB19" s="104">
        <v>4019900</v>
      </c>
      <c r="AC19" s="41">
        <v>58.02</v>
      </c>
      <c r="AD19" s="2">
        <f t="shared" si="0"/>
        <v>2.6599999999999966</v>
      </c>
      <c r="AE19" s="138">
        <f t="shared" si="1"/>
        <v>-3.5090636953267862E-2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42563</v>
      </c>
      <c r="X20" s="41">
        <v>57.24</v>
      </c>
      <c r="Y20" s="41">
        <v>60.17</v>
      </c>
      <c r="Z20" s="41">
        <v>57.08</v>
      </c>
      <c r="AA20" s="41">
        <v>60.13</v>
      </c>
      <c r="AB20" s="104">
        <v>4561700</v>
      </c>
      <c r="AC20" s="41">
        <v>60.13</v>
      </c>
      <c r="AD20" s="2">
        <f t="shared" si="0"/>
        <v>3.0900000000000034</v>
      </c>
      <c r="AE20" s="138">
        <f t="shared" si="1"/>
        <v>7.2409488139825173E-2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42562</v>
      </c>
      <c r="X21" s="41">
        <v>57.23</v>
      </c>
      <c r="Y21" s="41">
        <v>57.41</v>
      </c>
      <c r="Z21" s="41">
        <v>55.99</v>
      </c>
      <c r="AA21" s="41">
        <v>56.07</v>
      </c>
      <c r="AB21" s="104">
        <v>2337000</v>
      </c>
      <c r="AC21" s="41">
        <v>56.07</v>
      </c>
      <c r="AD21" s="2">
        <f t="shared" si="0"/>
        <v>1.4199999999999946</v>
      </c>
      <c r="AE21" s="138">
        <f t="shared" si="1"/>
        <v>-1.3025875726104585E-2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42559</v>
      </c>
      <c r="X22" s="41">
        <v>57.68</v>
      </c>
      <c r="Y22" s="41">
        <v>57.87</v>
      </c>
      <c r="Z22" s="41">
        <v>55.77</v>
      </c>
      <c r="AA22" s="41">
        <v>56.81</v>
      </c>
      <c r="AB22" s="104">
        <v>3259200</v>
      </c>
      <c r="AC22" s="41">
        <v>56.81</v>
      </c>
      <c r="AD22" s="2">
        <f t="shared" si="0"/>
        <v>2.0999999999999943</v>
      </c>
      <c r="AE22" s="138">
        <f t="shared" si="1"/>
        <v>5.8427762039661157E-3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42558</v>
      </c>
      <c r="X23" s="41">
        <v>57.73</v>
      </c>
      <c r="Y23" s="41">
        <v>58.68</v>
      </c>
      <c r="Z23" s="41">
        <v>55.85</v>
      </c>
      <c r="AA23" s="41">
        <v>56.48</v>
      </c>
      <c r="AB23" s="104">
        <v>4218100</v>
      </c>
      <c r="AC23" s="41">
        <v>56.48</v>
      </c>
      <c r="AD23" s="2">
        <f t="shared" si="0"/>
        <v>2.8299999999999983</v>
      </c>
      <c r="AE23" s="138">
        <f t="shared" si="1"/>
        <v>-7.0323488045007654E-3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42557</v>
      </c>
      <c r="X24" s="41">
        <v>56.54</v>
      </c>
      <c r="Y24" s="41">
        <v>56.96</v>
      </c>
      <c r="Z24" s="41">
        <v>55.86</v>
      </c>
      <c r="AA24" s="41">
        <v>56.88</v>
      </c>
      <c r="AB24" s="104">
        <v>3065100</v>
      </c>
      <c r="AC24" s="41">
        <v>56.88</v>
      </c>
      <c r="AD24" s="2">
        <f t="shared" si="0"/>
        <v>1.1000000000000014</v>
      </c>
      <c r="AE24" s="138">
        <f t="shared" si="1"/>
        <v>-1.4044943820223921E-3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42556</v>
      </c>
      <c r="X25" s="41">
        <v>58.65</v>
      </c>
      <c r="Y25" s="41">
        <v>59.28</v>
      </c>
      <c r="Z25" s="41">
        <v>56.19</v>
      </c>
      <c r="AA25" s="41">
        <v>56.96</v>
      </c>
      <c r="AB25" s="104">
        <v>4089100</v>
      </c>
      <c r="AC25" s="41">
        <v>56.96</v>
      </c>
      <c r="AD25" s="2">
        <f t="shared" si="0"/>
        <v>3.0900000000000034</v>
      </c>
      <c r="AE25" s="138">
        <f t="shared" si="1"/>
        <v>-5.3034081463009142E-2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42552</v>
      </c>
      <c r="X26" s="41">
        <v>60.01</v>
      </c>
      <c r="Y26" s="41">
        <v>61.54</v>
      </c>
      <c r="Z26" s="41">
        <v>59.69</v>
      </c>
      <c r="AA26" s="41">
        <v>60.15</v>
      </c>
      <c r="AB26" s="104">
        <v>3315600</v>
      </c>
      <c r="AC26" s="41">
        <v>60.15</v>
      </c>
      <c r="AD26" s="2">
        <f t="shared" si="0"/>
        <v>1.8500000000000014</v>
      </c>
      <c r="AE26" s="138">
        <f t="shared" si="1"/>
        <v>8.3194675540765317E-4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42551</v>
      </c>
      <c r="X27" s="41">
        <v>59.42</v>
      </c>
      <c r="Y27" s="41">
        <v>60.38</v>
      </c>
      <c r="Z27" s="41">
        <v>58.81</v>
      </c>
      <c r="AA27" s="41">
        <v>60.1</v>
      </c>
      <c r="AB27" s="104">
        <v>11904700</v>
      </c>
      <c r="AC27" s="41">
        <v>60.1</v>
      </c>
      <c r="AD27" s="2">
        <f t="shared" si="0"/>
        <v>1.5700000000000003</v>
      </c>
      <c r="AE27" s="138">
        <f t="shared" si="1"/>
        <v>4.0332352432058238E-2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42550</v>
      </c>
      <c r="X28" s="41">
        <v>55.87</v>
      </c>
      <c r="Y28" s="41">
        <v>57.98</v>
      </c>
      <c r="Z28" s="41">
        <v>55.43</v>
      </c>
      <c r="AA28" s="41">
        <v>57.77</v>
      </c>
      <c r="AB28" s="104">
        <v>3837600</v>
      </c>
      <c r="AC28" s="41">
        <v>57.77</v>
      </c>
      <c r="AD28" s="2">
        <f t="shared" si="0"/>
        <v>2.5499999999999972</v>
      </c>
      <c r="AE28" s="138">
        <f t="shared" si="1"/>
        <v>4.7696771853463993E-2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42549</v>
      </c>
      <c r="X29" s="41">
        <v>54.5</v>
      </c>
      <c r="Y29" s="41">
        <v>55.54</v>
      </c>
      <c r="Z29" s="41">
        <v>53.72</v>
      </c>
      <c r="AA29" s="41">
        <v>55.14</v>
      </c>
      <c r="AB29" s="104">
        <v>4226900</v>
      </c>
      <c r="AC29" s="41">
        <v>55.14</v>
      </c>
      <c r="AD29" s="2">
        <f t="shared" si="0"/>
        <v>1.8200000000000003</v>
      </c>
      <c r="AE29" s="138">
        <f t="shared" si="1"/>
        <v>4.7691430742922147E-2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42548</v>
      </c>
      <c r="X30" s="41">
        <v>54.87</v>
      </c>
      <c r="Y30" s="41">
        <v>55.12</v>
      </c>
      <c r="Z30" s="41">
        <v>51.82</v>
      </c>
      <c r="AA30" s="41">
        <v>52.63</v>
      </c>
      <c r="AB30" s="104">
        <v>6076000</v>
      </c>
      <c r="AC30" s="41">
        <v>52.63</v>
      </c>
      <c r="AD30" s="2">
        <f t="shared" si="0"/>
        <v>3.2999999999999972</v>
      </c>
      <c r="AE30" s="138">
        <f t="shared" si="1"/>
        <v>-5.7316854737596179E-2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42545</v>
      </c>
      <c r="X31" s="199">
        <v>57.04</v>
      </c>
      <c r="Y31" s="41">
        <v>58.07</v>
      </c>
      <c r="Z31" s="41">
        <v>55.51</v>
      </c>
      <c r="AA31" s="41">
        <v>55.83</v>
      </c>
      <c r="AB31" s="104">
        <v>4830300</v>
      </c>
      <c r="AC31" s="41">
        <v>55.83</v>
      </c>
      <c r="AD31" s="2">
        <f t="shared" si="0"/>
        <v>2.5600000000000023</v>
      </c>
      <c r="AE31" s="138">
        <f t="shared" si="1"/>
        <v>-6.5919357537226109E-2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42544</v>
      </c>
      <c r="X32" s="41">
        <v>58.73</v>
      </c>
      <c r="Y32" s="41">
        <v>59.79</v>
      </c>
      <c r="Z32" s="41">
        <v>58.33</v>
      </c>
      <c r="AA32" s="41">
        <v>59.77</v>
      </c>
      <c r="AB32" s="104">
        <v>2501400</v>
      </c>
      <c r="AC32" s="41">
        <v>59.77</v>
      </c>
      <c r="AD32" s="2">
        <f t="shared" si="0"/>
        <v>1.4600000000000009</v>
      </c>
      <c r="AE32" s="138">
        <f t="shared" si="1"/>
        <v>3.0162013098931295E-2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42543</v>
      </c>
      <c r="X33" s="41">
        <v>59.03</v>
      </c>
      <c r="Y33" s="41">
        <v>59.03</v>
      </c>
      <c r="Z33" s="41">
        <v>57.84</v>
      </c>
      <c r="AA33" s="41">
        <v>58.02</v>
      </c>
      <c r="AB33" s="104">
        <v>1880500</v>
      </c>
      <c r="AC33" s="41">
        <v>58.02</v>
      </c>
      <c r="AD33" s="2">
        <f t="shared" si="0"/>
        <v>1.1899999999999977</v>
      </c>
      <c r="AE33" s="138">
        <f t="shared" si="1"/>
        <v>-1.1584327086882396E-2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42542</v>
      </c>
      <c r="X34" s="41">
        <v>58.12</v>
      </c>
      <c r="Y34" s="41">
        <v>58.82</v>
      </c>
      <c r="Z34" s="41">
        <v>57.5</v>
      </c>
      <c r="AA34" s="41">
        <v>58.7</v>
      </c>
      <c r="AB34" s="104">
        <v>2241900</v>
      </c>
      <c r="AC34" s="41">
        <v>58.7</v>
      </c>
      <c r="AD34" s="2">
        <f t="shared" si="0"/>
        <v>1.3200000000000003</v>
      </c>
      <c r="AE34" s="138">
        <f t="shared" si="1"/>
        <v>6.5157750342936804E-3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42541</v>
      </c>
      <c r="X35" s="41">
        <v>58.18</v>
      </c>
      <c r="Y35" s="41">
        <v>58.81</v>
      </c>
      <c r="Z35" s="41">
        <v>57.73</v>
      </c>
      <c r="AA35" s="41">
        <v>58.32</v>
      </c>
      <c r="AB35" s="104">
        <v>2825300</v>
      </c>
      <c r="AC35" s="41">
        <v>58.32</v>
      </c>
      <c r="AD35" s="2">
        <f t="shared" si="0"/>
        <v>1.0800000000000054</v>
      </c>
      <c r="AE35" s="138">
        <f t="shared" si="1"/>
        <v>2.3876404494381998E-2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42538</v>
      </c>
      <c r="X36" s="41">
        <v>57.02</v>
      </c>
      <c r="Y36" s="41">
        <v>57.61</v>
      </c>
      <c r="Z36" s="41">
        <v>56.73</v>
      </c>
      <c r="AA36" s="41">
        <v>56.96</v>
      </c>
      <c r="AB36" s="104">
        <v>2947300</v>
      </c>
      <c r="AC36" s="41">
        <v>56.96</v>
      </c>
      <c r="AD36" s="2">
        <f t="shared" si="0"/>
        <v>0.88000000000000256</v>
      </c>
      <c r="AE36" s="138">
        <f t="shared" si="1"/>
        <v>1.5329768270944788E-2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42537</v>
      </c>
      <c r="X37" s="41">
        <v>56.39</v>
      </c>
      <c r="Y37" s="41">
        <v>56.46</v>
      </c>
      <c r="Z37" s="41">
        <v>54.42</v>
      </c>
      <c r="AA37" s="41">
        <v>56.1</v>
      </c>
      <c r="AB37" s="104">
        <v>4120500</v>
      </c>
      <c r="AC37" s="41">
        <v>56.1</v>
      </c>
      <c r="AD37" s="2">
        <f t="shared" si="0"/>
        <v>2.0399999999999991</v>
      </c>
      <c r="AE37" s="138">
        <f t="shared" si="1"/>
        <v>-1.8372703412073421E-2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42536</v>
      </c>
      <c r="X38" s="41">
        <v>57.65</v>
      </c>
      <c r="Y38" s="41">
        <v>58.26</v>
      </c>
      <c r="Z38" s="41">
        <v>56.25</v>
      </c>
      <c r="AA38" s="41">
        <v>57.15</v>
      </c>
      <c r="AB38" s="104">
        <v>3637200</v>
      </c>
      <c r="AC38" s="41">
        <v>57.15</v>
      </c>
      <c r="AD38" s="2">
        <f t="shared" si="0"/>
        <v>2.009999999999998</v>
      </c>
      <c r="AE38" s="138">
        <f t="shared" si="1"/>
        <v>-1.1587685921826352E-2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42535</v>
      </c>
      <c r="X39" s="41">
        <v>57</v>
      </c>
      <c r="Y39" s="41">
        <v>58.18</v>
      </c>
      <c r="Z39" s="41">
        <v>56.81</v>
      </c>
      <c r="AA39" s="41">
        <v>57.82</v>
      </c>
      <c r="AB39" s="104">
        <v>2144800</v>
      </c>
      <c r="AC39" s="41">
        <v>57.82</v>
      </c>
      <c r="AD39" s="2">
        <f t="shared" si="0"/>
        <v>1.3699999999999974</v>
      </c>
      <c r="AE39" s="138" t="e">
        <f t="shared" si="1"/>
        <v>#DIV/0!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42535</v>
      </c>
      <c r="X40" s="41" t="s">
        <v>126</v>
      </c>
      <c r="Y40" s="41"/>
      <c r="Z40" s="41"/>
      <c r="AA40" s="41"/>
      <c r="AB40" s="104"/>
      <c r="AC40" s="41"/>
      <c r="AD40" s="2">
        <f t="shared" si="0"/>
        <v>0</v>
      </c>
      <c r="AE40" s="138">
        <f t="shared" si="1"/>
        <v>-1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42534</v>
      </c>
      <c r="X41" s="41">
        <v>57.28</v>
      </c>
      <c r="Y41" s="41">
        <v>58.57</v>
      </c>
      <c r="Z41" s="41">
        <v>56.93</v>
      </c>
      <c r="AA41" s="41">
        <v>57.49</v>
      </c>
      <c r="AB41" s="104">
        <v>2338500</v>
      </c>
      <c r="AC41" s="41">
        <v>57.24</v>
      </c>
      <c r="AD41" s="2">
        <f t="shared" si="0"/>
        <v>1.6400000000000006</v>
      </c>
      <c r="AE41" s="138">
        <f t="shared" si="1"/>
        <v>-3.6553524804178172E-3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42531</v>
      </c>
      <c r="X42" s="41">
        <v>59.51</v>
      </c>
      <c r="Y42" s="41">
        <v>59.91</v>
      </c>
      <c r="Z42" s="41">
        <v>57.18</v>
      </c>
      <c r="AA42" s="41">
        <v>57.7</v>
      </c>
      <c r="AB42" s="104">
        <v>3635900</v>
      </c>
      <c r="AC42" s="41">
        <v>57.45</v>
      </c>
      <c r="AD42" s="2">
        <f t="shared" si="0"/>
        <v>2.7299999999999969</v>
      </c>
      <c r="AE42" s="138">
        <f t="shared" si="1"/>
        <v>-4.4411177644710476E-2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53.87</v>
      </c>
      <c r="W43" s="110">
        <v>42530</v>
      </c>
      <c r="X43" s="41">
        <v>60.72</v>
      </c>
      <c r="Y43" s="41">
        <v>61.73</v>
      </c>
      <c r="Z43" s="41">
        <v>60.35</v>
      </c>
      <c r="AA43" s="41">
        <v>60.38</v>
      </c>
      <c r="AB43" s="104">
        <v>2304400</v>
      </c>
      <c r="AC43" s="41">
        <v>60.12</v>
      </c>
      <c r="AD43" s="2">
        <f t="shared" si="0"/>
        <v>1.3799999999999955</v>
      </c>
      <c r="AE43" s="138">
        <f t="shared" si="1"/>
        <v>-2.3867510959571403E-2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525" t="s">
        <v>78</v>
      </c>
      <c r="P44" s="525"/>
      <c r="T44" s="108" t="s">
        <v>99</v>
      </c>
      <c r="U44" s="106">
        <v>54</v>
      </c>
      <c r="W44" s="110">
        <v>42529</v>
      </c>
      <c r="X44" s="41">
        <v>62.23</v>
      </c>
      <c r="Y44" s="41">
        <v>63</v>
      </c>
      <c r="Z44" s="41">
        <v>61.22</v>
      </c>
      <c r="AA44" s="41">
        <v>61.86</v>
      </c>
      <c r="AB44" s="104">
        <v>2690800</v>
      </c>
      <c r="AC44" s="41">
        <v>61.59</v>
      </c>
      <c r="AD44" s="2">
        <f t="shared" si="0"/>
        <v>1.7800000000000011</v>
      </c>
      <c r="AE44" s="138">
        <f t="shared" si="1"/>
        <v>4.7308319738990079E-3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61.512000000000008</v>
      </c>
      <c r="R45" s="34"/>
      <c r="T45" s="108" t="s">
        <v>100</v>
      </c>
      <c r="U45" s="106" t="s">
        <v>392</v>
      </c>
      <c r="W45" s="110">
        <v>42528</v>
      </c>
      <c r="X45" s="41">
        <v>60.91</v>
      </c>
      <c r="Y45" s="41">
        <v>61.76</v>
      </c>
      <c r="Z45" s="41">
        <v>60.2</v>
      </c>
      <c r="AA45" s="41">
        <v>61.57</v>
      </c>
      <c r="AB45" s="104">
        <v>3359600</v>
      </c>
      <c r="AC45" s="41">
        <v>61.3</v>
      </c>
      <c r="AD45" s="2">
        <f t="shared" si="0"/>
        <v>1.5599999999999952</v>
      </c>
      <c r="AE45" s="138">
        <f t="shared" si="1"/>
        <v>2.0815986677768628E-2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60.952800000000003</v>
      </c>
      <c r="Q46" s="2"/>
      <c r="R46" s="34"/>
      <c r="T46" s="108" t="s">
        <v>101</v>
      </c>
      <c r="U46" s="106" t="s">
        <v>393</v>
      </c>
      <c r="W46" s="110">
        <v>42527</v>
      </c>
      <c r="X46" s="41">
        <v>58.95</v>
      </c>
      <c r="Y46" s="41">
        <v>60.37</v>
      </c>
      <c r="Z46" s="41">
        <v>58.59</v>
      </c>
      <c r="AA46" s="41">
        <v>60.31</v>
      </c>
      <c r="AB46" s="104">
        <v>2925300</v>
      </c>
      <c r="AC46" s="41">
        <v>60.05</v>
      </c>
      <c r="AD46" s="2">
        <f t="shared" si="0"/>
        <v>1.779999999999994</v>
      </c>
      <c r="AE46" s="138">
        <f t="shared" si="1"/>
        <v>3.3384959559456195E-2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60.393600000000006</v>
      </c>
      <c r="Q47" s="2"/>
      <c r="R47" s="34"/>
      <c r="T47" s="108" t="s">
        <v>102</v>
      </c>
      <c r="U47" s="106">
        <v>65.59</v>
      </c>
      <c r="W47" s="110">
        <v>42524</v>
      </c>
      <c r="X47" s="41">
        <v>59.33</v>
      </c>
      <c r="Y47" s="41">
        <v>59.74</v>
      </c>
      <c r="Z47" s="41">
        <v>58.13</v>
      </c>
      <c r="AA47" s="41">
        <v>58.36</v>
      </c>
      <c r="AB47" s="104">
        <v>2079300</v>
      </c>
      <c r="AC47" s="41">
        <v>58.11</v>
      </c>
      <c r="AD47" s="2">
        <f t="shared" si="0"/>
        <v>1.6099999999999994</v>
      </c>
      <c r="AE47" s="138">
        <f t="shared" si="1"/>
        <v>-1.4583686620315395E-2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59.834400000000002</v>
      </c>
      <c r="Q48" s="2"/>
      <c r="R48" s="34"/>
      <c r="T48" s="108" t="s">
        <v>103</v>
      </c>
      <c r="U48" s="106">
        <v>1.4319599999999999</v>
      </c>
      <c r="W48" s="110">
        <v>42523</v>
      </c>
      <c r="X48" s="41">
        <v>58.24</v>
      </c>
      <c r="Y48" s="41">
        <v>59.23</v>
      </c>
      <c r="Z48" s="41">
        <v>57.8</v>
      </c>
      <c r="AA48" s="41">
        <v>59.23</v>
      </c>
      <c r="AB48" s="104">
        <v>2451200</v>
      </c>
      <c r="AC48" s="41">
        <v>58.97</v>
      </c>
      <c r="AD48" s="2">
        <f t="shared" si="0"/>
        <v>1.4299999999999997</v>
      </c>
      <c r="AE48" s="138">
        <f t="shared" si="1"/>
        <v>5.2846914422093327E-3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59.275200000000005</v>
      </c>
      <c r="Q49" s="2"/>
      <c r="R49" s="34"/>
      <c r="T49" s="108" t="s">
        <v>123</v>
      </c>
      <c r="U49" s="106" t="s">
        <v>357</v>
      </c>
      <c r="W49" s="110">
        <v>42522</v>
      </c>
      <c r="X49" s="41">
        <v>59.93</v>
      </c>
      <c r="Y49" s="41">
        <v>59.93</v>
      </c>
      <c r="Z49" s="41">
        <v>57.67</v>
      </c>
      <c r="AA49" s="41">
        <v>58.92</v>
      </c>
      <c r="AB49" s="104">
        <v>3284200</v>
      </c>
      <c r="AC49" s="41">
        <v>58.66</v>
      </c>
      <c r="AD49" s="2">
        <f t="shared" si="0"/>
        <v>2.259999999999998</v>
      </c>
      <c r="AE49" s="138">
        <f t="shared" si="1"/>
        <v>-1.6926428691134698E-2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58.716000000000001</v>
      </c>
      <c r="Q50" s="2"/>
      <c r="R50" s="34"/>
      <c r="T50" s="108"/>
      <c r="U50" s="106"/>
      <c r="W50" s="110">
        <v>42521</v>
      </c>
      <c r="X50" s="41">
        <v>60.44</v>
      </c>
      <c r="Y50" s="41">
        <v>61.12</v>
      </c>
      <c r="Z50" s="41">
        <v>59.56</v>
      </c>
      <c r="AA50" s="41">
        <v>59.93</v>
      </c>
      <c r="AB50" s="104">
        <v>2650500</v>
      </c>
      <c r="AC50" s="41">
        <v>59.67</v>
      </c>
      <c r="AD50" s="2">
        <f t="shared" si="0"/>
        <v>1.5599999999999952</v>
      </c>
      <c r="AE50" s="138">
        <f t="shared" si="1"/>
        <v>-5.0025012506252908E-3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58.156800000000004</v>
      </c>
      <c r="Q51" s="2"/>
      <c r="R51" s="34"/>
      <c r="T51" s="108" t="s">
        <v>105</v>
      </c>
      <c r="U51" s="106" t="s">
        <v>394</v>
      </c>
      <c r="W51" s="110">
        <v>42517</v>
      </c>
      <c r="X51" s="41">
        <v>59.94</v>
      </c>
      <c r="Y51" s="41">
        <v>61.17</v>
      </c>
      <c r="Z51" s="41">
        <v>59.46</v>
      </c>
      <c r="AA51" s="41">
        <v>60.23</v>
      </c>
      <c r="AB51" s="104">
        <v>3747200</v>
      </c>
      <c r="AC51" s="41">
        <v>59.97</v>
      </c>
      <c r="AD51" s="2">
        <f t="shared" si="0"/>
        <v>1.7100000000000009</v>
      </c>
      <c r="AE51" s="138">
        <f t="shared" si="1"/>
        <v>-3.4895314057826754E-3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57.5976</v>
      </c>
      <c r="Q52" s="2"/>
      <c r="R52" s="34"/>
      <c r="T52" s="108" t="s">
        <v>106</v>
      </c>
      <c r="U52" s="106" t="s">
        <v>299</v>
      </c>
      <c r="W52" s="110">
        <v>42516</v>
      </c>
      <c r="X52" s="41">
        <v>61.51</v>
      </c>
      <c r="Y52" s="41">
        <v>62</v>
      </c>
      <c r="Z52" s="41">
        <v>60.4</v>
      </c>
      <c r="AA52" s="41">
        <v>60.44</v>
      </c>
      <c r="AB52" s="104">
        <v>3399600</v>
      </c>
      <c r="AC52" s="41">
        <v>60.18</v>
      </c>
      <c r="AD52" s="2">
        <f t="shared" si="0"/>
        <v>1.6000000000000014</v>
      </c>
      <c r="AE52" s="138">
        <f t="shared" si="1"/>
        <v>-3.3123550844651461E-3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57.038400000000003</v>
      </c>
      <c r="Q53" s="2"/>
      <c r="R53" s="34"/>
      <c r="T53" s="108" t="s">
        <v>107</v>
      </c>
      <c r="U53" s="107">
        <v>3479569</v>
      </c>
      <c r="W53" s="110">
        <v>42515</v>
      </c>
      <c r="X53" s="41">
        <v>58.78</v>
      </c>
      <c r="Y53" s="41">
        <v>60.93</v>
      </c>
      <c r="Z53" s="41">
        <v>58.78</v>
      </c>
      <c r="AA53" s="41">
        <v>60.64</v>
      </c>
      <c r="AB53" s="104">
        <v>3708700</v>
      </c>
      <c r="AC53" s="41">
        <v>60.38</v>
      </c>
      <c r="AD53" s="2">
        <f t="shared" si="0"/>
        <v>2.1499999999999986</v>
      </c>
      <c r="AE53" s="138">
        <f t="shared" si="1"/>
        <v>4.193270060396892E-2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56.479199999999999</v>
      </c>
      <c r="Q54" s="2"/>
      <c r="R54" s="34"/>
      <c r="T54" s="108" t="s">
        <v>110</v>
      </c>
      <c r="U54" s="107">
        <v>3716600</v>
      </c>
      <c r="W54" s="110">
        <v>42514</v>
      </c>
      <c r="X54" s="41">
        <v>58.93</v>
      </c>
      <c r="Y54" s="41">
        <v>58.99</v>
      </c>
      <c r="Z54" s="41">
        <v>57.8</v>
      </c>
      <c r="AA54" s="41">
        <v>58.2</v>
      </c>
      <c r="AB54" s="104">
        <v>2311700</v>
      </c>
      <c r="AC54" s="41">
        <v>57.95</v>
      </c>
      <c r="AD54" s="2">
        <f t="shared" si="0"/>
        <v>1.1900000000000048</v>
      </c>
      <c r="AE54" s="138">
        <f t="shared" si="1"/>
        <v>-6.6849502913952641E-3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55.92</v>
      </c>
      <c r="Q55" s="2"/>
      <c r="R55" s="34"/>
      <c r="T55" s="108" t="s">
        <v>108</v>
      </c>
      <c r="U55" s="106" t="s">
        <v>395</v>
      </c>
      <c r="W55" s="110">
        <v>42513</v>
      </c>
      <c r="X55" s="41">
        <v>56.96</v>
      </c>
      <c r="Y55" s="41">
        <v>59.09</v>
      </c>
      <c r="Z55" s="41">
        <v>56.62</v>
      </c>
      <c r="AA55" s="41">
        <v>58.59</v>
      </c>
      <c r="AB55" s="104">
        <v>2558600</v>
      </c>
      <c r="AC55" s="41">
        <v>58.34</v>
      </c>
      <c r="AD55" s="2">
        <f t="shared" si="0"/>
        <v>2.470000000000006</v>
      </c>
      <c r="AE55" s="138">
        <f t="shared" si="1"/>
        <v>1.619926842013597E-2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55.360800000000005</v>
      </c>
      <c r="Q56" s="2"/>
      <c r="R56" s="34"/>
      <c r="T56" s="108" t="s">
        <v>111</v>
      </c>
      <c r="U56" s="106" t="s">
        <v>130</v>
      </c>
      <c r="W56" s="110">
        <v>42510</v>
      </c>
      <c r="X56" s="41">
        <v>57.55</v>
      </c>
      <c r="Y56" s="41">
        <v>57.95</v>
      </c>
      <c r="Z56" s="41">
        <v>56.55</v>
      </c>
      <c r="AA56" s="41">
        <v>57.66</v>
      </c>
      <c r="AB56" s="104">
        <v>2743400</v>
      </c>
      <c r="AC56" s="41">
        <v>57.41</v>
      </c>
      <c r="AD56" s="2">
        <f t="shared" si="0"/>
        <v>1.4000000000000057</v>
      </c>
      <c r="AE56" s="138">
        <f t="shared" si="1"/>
        <v>7.0163129275564451E-3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54.801600000000001</v>
      </c>
      <c r="Q57" s="2"/>
      <c r="R57" s="34"/>
      <c r="T57" s="108" t="s">
        <v>112</v>
      </c>
      <c r="U57" s="106">
        <v>-10.24</v>
      </c>
      <c r="W57" s="110">
        <v>42509</v>
      </c>
      <c r="X57" s="41">
        <v>57.01</v>
      </c>
      <c r="Y57" s="41">
        <v>57.54</v>
      </c>
      <c r="Z57" s="41">
        <v>55.54</v>
      </c>
      <c r="AA57" s="41">
        <v>57.26</v>
      </c>
      <c r="AB57" s="104">
        <v>3838400</v>
      </c>
      <c r="AC57" s="41">
        <v>57.01</v>
      </c>
      <c r="AD57" s="2">
        <f t="shared" si="0"/>
        <v>2</v>
      </c>
      <c r="AE57" s="138">
        <f t="shared" si="1"/>
        <v>-1.2129613585167287E-2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54.242400000000004</v>
      </c>
      <c r="Q58" s="2"/>
      <c r="R58" s="34"/>
      <c r="T58" s="108" t="s">
        <v>109</v>
      </c>
      <c r="U58" s="106" t="s">
        <v>562</v>
      </c>
      <c r="W58" s="110">
        <v>42508</v>
      </c>
      <c r="X58" s="41">
        <v>57.73</v>
      </c>
      <c r="Y58" s="41">
        <v>58.51</v>
      </c>
      <c r="Z58" s="41">
        <v>57.33</v>
      </c>
      <c r="AA58" s="41">
        <v>57.96</v>
      </c>
      <c r="AB58" s="104">
        <v>4001400</v>
      </c>
      <c r="AC58" s="41">
        <v>57.71</v>
      </c>
      <c r="AD58" s="2">
        <f t="shared" si="0"/>
        <v>1.1799999999999997</v>
      </c>
      <c r="AE58" s="138">
        <f t="shared" si="1"/>
        <v>5.2255704581083418E-3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53.683199999999999</v>
      </c>
      <c r="W59" s="110">
        <v>42507</v>
      </c>
      <c r="X59" s="41">
        <v>58.3</v>
      </c>
      <c r="Y59" s="41">
        <v>59.01</v>
      </c>
      <c r="Z59" s="41">
        <v>57.36</v>
      </c>
      <c r="AA59" s="41">
        <v>57.66</v>
      </c>
      <c r="AB59" s="104">
        <v>4640400</v>
      </c>
      <c r="AC59" s="41">
        <v>57.41</v>
      </c>
      <c r="AD59" s="2">
        <f t="shared" si="0"/>
        <v>1.6499999999999986</v>
      </c>
      <c r="AE59" s="138">
        <f t="shared" si="1"/>
        <v>-1.3065153859377787E-2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53.124000000000002</v>
      </c>
      <c r="W60" s="110">
        <v>42506</v>
      </c>
      <c r="X60" s="41">
        <v>58.82</v>
      </c>
      <c r="Y60" s="41">
        <v>59.72</v>
      </c>
      <c r="Z60" s="41">
        <v>58.2</v>
      </c>
      <c r="AA60" s="41">
        <v>58.42</v>
      </c>
      <c r="AB60" s="104">
        <v>3339000</v>
      </c>
      <c r="AC60" s="41">
        <v>58.17</v>
      </c>
      <c r="AD60" s="2">
        <f t="shared" si="0"/>
        <v>1.519999999999996</v>
      </c>
      <c r="AE60" s="138">
        <f t="shared" si="1"/>
        <v>1.147626499739185E-2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52.564799999999998</v>
      </c>
      <c r="W61" s="110">
        <v>42503</v>
      </c>
      <c r="X61" s="41">
        <v>57.87</v>
      </c>
      <c r="Y61" s="41">
        <v>58.88</v>
      </c>
      <c r="Z61" s="41">
        <v>57.57</v>
      </c>
      <c r="AA61" s="41">
        <v>57.76</v>
      </c>
      <c r="AB61" s="104">
        <v>3216800</v>
      </c>
      <c r="AC61" s="41">
        <v>57.51</v>
      </c>
      <c r="AD61" s="2">
        <f t="shared" si="0"/>
        <v>1.3100000000000023</v>
      </c>
      <c r="AE61" s="138">
        <f t="shared" si="1"/>
        <v>-6.5641734323718115E-3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52.005600000000001</v>
      </c>
      <c r="W62" s="110">
        <v>42502</v>
      </c>
      <c r="X62" s="41">
        <v>59.2</v>
      </c>
      <c r="Y62" s="41">
        <v>60.3</v>
      </c>
      <c r="Z62" s="41">
        <v>57.47</v>
      </c>
      <c r="AA62" s="41">
        <v>58.14</v>
      </c>
      <c r="AB62" s="104">
        <v>3713000</v>
      </c>
      <c r="AC62" s="41">
        <v>57.89</v>
      </c>
      <c r="AD62" s="2">
        <f t="shared" si="0"/>
        <v>2.8299999999999983</v>
      </c>
      <c r="AE62" s="138">
        <f t="shared" si="1"/>
        <v>-3.0997072498708533E-3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51.446400000000004</v>
      </c>
      <c r="W63" s="110">
        <v>42501</v>
      </c>
      <c r="X63" s="41">
        <v>57.51</v>
      </c>
      <c r="Y63" s="41">
        <v>59.25</v>
      </c>
      <c r="Z63" s="41">
        <v>56.92</v>
      </c>
      <c r="AA63" s="41">
        <v>58.32</v>
      </c>
      <c r="AB63" s="104">
        <v>4455500</v>
      </c>
      <c r="AC63" s="41">
        <v>58.07</v>
      </c>
      <c r="AD63" s="2">
        <f t="shared" si="0"/>
        <v>2.3299999999999983</v>
      </c>
      <c r="AE63" s="138">
        <f t="shared" si="1"/>
        <v>1.0616080751827406E-2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50.8872</v>
      </c>
      <c r="W64" s="110">
        <v>42500</v>
      </c>
      <c r="X64" s="41">
        <v>54.95</v>
      </c>
      <c r="Y64" s="41">
        <v>57.76</v>
      </c>
      <c r="Z64" s="41">
        <v>54.63</v>
      </c>
      <c r="AA64" s="41">
        <v>57.71</v>
      </c>
      <c r="AB64" s="104">
        <v>4443400</v>
      </c>
      <c r="AC64" s="41">
        <v>57.46</v>
      </c>
      <c r="AD64" s="2">
        <f t="shared" si="0"/>
        <v>3.1299999999999955</v>
      </c>
      <c r="AE64" s="138">
        <f t="shared" si="1"/>
        <v>5.9561128526645746E-2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50.328000000000003</v>
      </c>
      <c r="W65" s="110">
        <v>42499</v>
      </c>
      <c r="X65" s="41">
        <v>55.41</v>
      </c>
      <c r="Y65" s="41">
        <v>55.89</v>
      </c>
      <c r="Z65" s="41">
        <v>53.93</v>
      </c>
      <c r="AA65" s="41">
        <v>54.47</v>
      </c>
      <c r="AB65" s="104">
        <v>3164800</v>
      </c>
      <c r="AC65" s="41">
        <v>54.23</v>
      </c>
      <c r="AD65" s="2">
        <f t="shared" si="0"/>
        <v>1.9600000000000009</v>
      </c>
      <c r="AE65" s="138">
        <f t="shared" si="1"/>
        <v>-3.0048291897692758E-2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42496</v>
      </c>
      <c r="X66" s="41">
        <v>55.06</v>
      </c>
      <c r="Y66" s="41">
        <v>56.9</v>
      </c>
      <c r="Z66" s="41">
        <v>55.02</v>
      </c>
      <c r="AA66" s="41">
        <v>56.15</v>
      </c>
      <c r="AB66" s="104">
        <v>3585800</v>
      </c>
      <c r="AC66" s="41">
        <v>55.91</v>
      </c>
      <c r="AD66" s="2">
        <f t="shared" si="0"/>
        <v>1.8799999999999955</v>
      </c>
      <c r="AE66" s="138">
        <f t="shared" si="1"/>
        <v>4.8526240115025487E-3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42495</v>
      </c>
      <c r="X67" s="41">
        <v>57.21</v>
      </c>
      <c r="Y67" s="41">
        <v>57.67</v>
      </c>
      <c r="Z67" s="41">
        <v>55.35</v>
      </c>
      <c r="AA67" s="41">
        <v>55.88</v>
      </c>
      <c r="AB67" s="104">
        <v>3638200</v>
      </c>
      <c r="AC67" s="41">
        <v>55.64</v>
      </c>
      <c r="AD67" s="2">
        <f>Y67-Z67</f>
        <v>2.3200000000000003</v>
      </c>
      <c r="AE67" s="138">
        <f>AC67/AC68-1</f>
        <v>1.0167029774873049E-2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42494</v>
      </c>
      <c r="X68" s="41">
        <v>57.4</v>
      </c>
      <c r="Y68" s="41">
        <v>57.76</v>
      </c>
      <c r="Z68" s="41">
        <v>54.75</v>
      </c>
      <c r="AA68" s="41">
        <v>55.32</v>
      </c>
      <c r="AB68" s="104">
        <v>3796400</v>
      </c>
      <c r="AC68" s="41">
        <v>55.08</v>
      </c>
      <c r="AD68" s="2">
        <f>Y68-Z68</f>
        <v>3.009999999999998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230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9" priority="17">
      <formula>F38&gt;0</formula>
    </cfRule>
    <cfRule type="expression" dxfId="398" priority="18">
      <formula>F38&lt;0</formula>
    </cfRule>
  </conditionalFormatting>
  <conditionalFormatting sqref="H38:H72">
    <cfRule type="expression" dxfId="397" priority="9">
      <formula>H38&gt;0</formula>
    </cfRule>
    <cfRule type="expression" dxfId="396" priority="10">
      <formula>H38&lt;0</formula>
    </cfRule>
  </conditionalFormatting>
  <conditionalFormatting sqref="F21:F37">
    <cfRule type="expression" dxfId="395" priority="7">
      <formula>F21&gt;0</formula>
    </cfRule>
    <cfRule type="expression" dxfId="394" priority="8">
      <formula>F21&lt;0</formula>
    </cfRule>
  </conditionalFormatting>
  <conditionalFormatting sqref="H21:H37">
    <cfRule type="expression" dxfId="393" priority="5">
      <formula>H21&gt;0</formula>
    </cfRule>
    <cfRule type="expression" dxfId="392" priority="6">
      <formula>H21&lt;0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42587</v>
      </c>
      <c r="X2" s="10">
        <v>93.17</v>
      </c>
      <c r="Y2" s="10">
        <v>94.65</v>
      </c>
      <c r="Z2" s="10">
        <v>92.62</v>
      </c>
      <c r="AA2" s="10">
        <v>93.85</v>
      </c>
      <c r="AB2" s="95">
        <v>3129500</v>
      </c>
      <c r="AC2" s="10">
        <v>93.85</v>
      </c>
      <c r="AD2" s="2">
        <f>Y2-Z2</f>
        <v>2.0300000000000011</v>
      </c>
      <c r="AE2" s="138">
        <f>AC2/AC3-1</f>
        <v>1.2733354915290818E-2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93.86</v>
      </c>
      <c r="W3" s="133">
        <v>42586</v>
      </c>
      <c r="X3" s="10">
        <v>92.37</v>
      </c>
      <c r="Y3" s="10">
        <v>93.09</v>
      </c>
      <c r="Z3" s="10">
        <v>91.94</v>
      </c>
      <c r="AA3" s="10">
        <v>92.67</v>
      </c>
      <c r="AB3" s="95">
        <v>2245900</v>
      </c>
      <c r="AC3" s="10">
        <v>92.67</v>
      </c>
      <c r="AD3" s="2">
        <f t="shared" ref="AD3:AD66" si="0">Y3-Z3</f>
        <v>1.1500000000000057</v>
      </c>
      <c r="AE3" s="138">
        <f t="shared" ref="AE3:AE66" si="1">AC3/AC4-1</f>
        <v>-2.1535479702811111E-3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93.86</v>
      </c>
      <c r="W4" s="133">
        <v>42585</v>
      </c>
      <c r="X4" s="10">
        <v>91.54</v>
      </c>
      <c r="Y4" s="10">
        <v>93.19</v>
      </c>
      <c r="Z4" s="10">
        <v>91.4</v>
      </c>
      <c r="AA4" s="10">
        <v>92.87</v>
      </c>
      <c r="AB4" s="95">
        <v>3907400</v>
      </c>
      <c r="AC4" s="10">
        <v>92.87</v>
      </c>
      <c r="AD4" s="2">
        <f t="shared" si="0"/>
        <v>1.789999999999992</v>
      </c>
      <c r="AE4" s="138">
        <f t="shared" si="1"/>
        <v>1.7196056955093075E-2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42584</v>
      </c>
      <c r="X5" s="10">
        <v>92.39</v>
      </c>
      <c r="Y5" s="10">
        <v>92.59</v>
      </c>
      <c r="Z5" s="10">
        <v>90.68</v>
      </c>
      <c r="AA5" s="10">
        <v>91.3</v>
      </c>
      <c r="AB5" s="95">
        <v>3787000</v>
      </c>
      <c r="AC5" s="10">
        <v>91.3</v>
      </c>
      <c r="AD5" s="2">
        <f t="shared" si="0"/>
        <v>1.9099999999999966</v>
      </c>
      <c r="AE5" s="138">
        <f t="shared" si="1"/>
        <v>-1.891252955082745E-2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42583</v>
      </c>
      <c r="X6" s="10">
        <v>92.92</v>
      </c>
      <c r="Y6" s="10">
        <v>93.65</v>
      </c>
      <c r="Z6" s="10">
        <v>92.41</v>
      </c>
      <c r="AA6" s="10">
        <v>93.06</v>
      </c>
      <c r="AB6" s="95">
        <v>2797400</v>
      </c>
      <c r="AC6" s="10">
        <v>93.06</v>
      </c>
      <c r="AD6" s="2">
        <f t="shared" si="0"/>
        <v>1.2400000000000091</v>
      </c>
      <c r="AE6" s="138">
        <f t="shared" si="1"/>
        <v>1.0746910263303988E-4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188</v>
      </c>
      <c r="Q7" s="2">
        <f>Q10+Q8</f>
        <v>128.08999999999833</v>
      </c>
      <c r="R7">
        <v>0</v>
      </c>
      <c r="W7" s="133">
        <v>42580</v>
      </c>
      <c r="X7" s="10">
        <v>92.55</v>
      </c>
      <c r="Y7" s="10">
        <v>93.31</v>
      </c>
      <c r="Z7" s="10">
        <v>92.26</v>
      </c>
      <c r="AA7" s="10">
        <v>93.05</v>
      </c>
      <c r="AB7" s="95">
        <v>2801100</v>
      </c>
      <c r="AC7" s="10">
        <v>93.05</v>
      </c>
      <c r="AD7" s="2">
        <f t="shared" si="0"/>
        <v>1.0499999999999972</v>
      </c>
      <c r="AE7" s="138">
        <f t="shared" si="1"/>
        <v>-3.223033949291132E-4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91.44</v>
      </c>
      <c r="Y8" s="10">
        <v>93.41</v>
      </c>
      <c r="Z8" s="10">
        <v>91.07</v>
      </c>
      <c r="AA8" s="10">
        <v>93.08</v>
      </c>
      <c r="AB8" s="95">
        <v>3104100</v>
      </c>
      <c r="AC8" s="10">
        <v>93.08</v>
      </c>
      <c r="AD8" s="2">
        <f t="shared" si="0"/>
        <v>2.3400000000000034</v>
      </c>
      <c r="AE8" s="138">
        <f t="shared" si="1"/>
        <v>1.582451162283105E-2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92.73</v>
      </c>
      <c r="Y9" s="10">
        <v>92.95</v>
      </c>
      <c r="Z9" s="10">
        <v>90.94</v>
      </c>
      <c r="AA9" s="10">
        <v>91.63</v>
      </c>
      <c r="AB9" s="95">
        <v>3523100</v>
      </c>
      <c r="AC9" s="10">
        <v>91.63</v>
      </c>
      <c r="AD9" s="2">
        <f t="shared" si="0"/>
        <v>2.0100000000000051</v>
      </c>
      <c r="AE9" s="138">
        <f t="shared" si="1"/>
        <v>-1.4837114288786202E-2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230</v>
      </c>
      <c r="P10" s="34"/>
      <c r="Q10" s="2">
        <f>M34</f>
        <v>128.08999999999833</v>
      </c>
      <c r="W10" s="133">
        <v>42577</v>
      </c>
      <c r="X10" s="10">
        <v>92.38</v>
      </c>
      <c r="Y10" s="10">
        <v>93.01</v>
      </c>
      <c r="Z10" s="10">
        <v>91.83</v>
      </c>
      <c r="AA10" s="10">
        <v>93.01</v>
      </c>
      <c r="AB10" s="95">
        <v>2890100</v>
      </c>
      <c r="AC10" s="10">
        <v>93.01</v>
      </c>
      <c r="AD10" s="2">
        <f t="shared" si="0"/>
        <v>1.1800000000000068</v>
      </c>
      <c r="AE10" s="138">
        <f t="shared" si="1"/>
        <v>7.9107065452970193E-3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2.6599999999999999E-2</v>
      </c>
      <c r="T11" s="43"/>
      <c r="U11" s="33"/>
      <c r="V11" s="11"/>
      <c r="W11" s="99">
        <v>42576</v>
      </c>
      <c r="X11" s="10">
        <v>92.71</v>
      </c>
      <c r="Y11" s="10">
        <v>92.76</v>
      </c>
      <c r="Z11" s="10">
        <v>91.86</v>
      </c>
      <c r="AA11" s="10">
        <v>92.28</v>
      </c>
      <c r="AB11" s="95">
        <v>2744500</v>
      </c>
      <c r="AC11" s="10">
        <v>92.28</v>
      </c>
      <c r="AD11" s="2">
        <f t="shared" si="0"/>
        <v>0.90000000000000568</v>
      </c>
      <c r="AE11" s="138">
        <f t="shared" si="1"/>
        <v>-6.1389337641356567E-3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42573</v>
      </c>
      <c r="X12" s="10">
        <v>90.87</v>
      </c>
      <c r="Y12" s="10">
        <v>93.02</v>
      </c>
      <c r="Z12" s="10">
        <v>90.29</v>
      </c>
      <c r="AA12" s="10">
        <v>92.85</v>
      </c>
      <c r="AB12" s="95">
        <v>4208500</v>
      </c>
      <c r="AC12" s="10">
        <v>92.85</v>
      </c>
      <c r="AD12" s="2">
        <f t="shared" si="0"/>
        <v>2.7299999999999898</v>
      </c>
      <c r="AE12" s="138">
        <f t="shared" si="1"/>
        <v>2.1115143516990953E-2</v>
      </c>
    </row>
    <row r="13" spans="1:31" x14ac:dyDescent="0.25">
      <c r="T13" s="67"/>
      <c r="W13" s="133">
        <v>42572</v>
      </c>
      <c r="X13" s="10">
        <v>91</v>
      </c>
      <c r="Y13" s="10">
        <v>92.3</v>
      </c>
      <c r="Z13" s="10">
        <v>90.72</v>
      </c>
      <c r="AA13" s="10">
        <v>90.93</v>
      </c>
      <c r="AB13" s="95">
        <v>6622300</v>
      </c>
      <c r="AC13" s="10">
        <v>90.93</v>
      </c>
      <c r="AD13" s="2">
        <f t="shared" si="0"/>
        <v>1.5799999999999983</v>
      </c>
      <c r="AE13" s="138">
        <f t="shared" si="1"/>
        <v>-3.3892902677433057E-2</v>
      </c>
    </row>
    <row r="14" spans="1:31" x14ac:dyDescent="0.25">
      <c r="W14" s="133">
        <v>42571</v>
      </c>
      <c r="X14" s="10">
        <v>92.73</v>
      </c>
      <c r="Y14" s="10">
        <v>94.32</v>
      </c>
      <c r="Z14" s="10">
        <v>92.49</v>
      </c>
      <c r="AA14" s="10">
        <v>94.12</v>
      </c>
      <c r="AB14" s="95">
        <v>4244500</v>
      </c>
      <c r="AC14" s="10">
        <v>94.12</v>
      </c>
      <c r="AD14" s="2">
        <f t="shared" si="0"/>
        <v>1.8299999999999983</v>
      </c>
      <c r="AE14" s="138">
        <f t="shared" si="1"/>
        <v>1.8094731240021478E-3</v>
      </c>
    </row>
    <row r="15" spans="1:31" x14ac:dyDescent="0.25">
      <c r="W15" s="133">
        <v>42570</v>
      </c>
      <c r="X15" s="10">
        <v>93.46</v>
      </c>
      <c r="Y15" s="10">
        <v>94.05</v>
      </c>
      <c r="Z15" s="10">
        <v>92.88</v>
      </c>
      <c r="AA15" s="10">
        <v>93.95</v>
      </c>
      <c r="AB15" s="95">
        <v>3351300</v>
      </c>
      <c r="AC15" s="10">
        <v>93.95</v>
      </c>
      <c r="AD15" s="2">
        <f t="shared" si="0"/>
        <v>1.1700000000000017</v>
      </c>
      <c r="AE15" s="138">
        <f t="shared" si="1"/>
        <v>-1.8062048448789225E-3</v>
      </c>
    </row>
    <row r="16" spans="1:31" x14ac:dyDescent="0.25">
      <c r="W16" s="133">
        <v>42569</v>
      </c>
      <c r="X16" s="10">
        <v>93.98</v>
      </c>
      <c r="Y16" s="10">
        <v>94.36</v>
      </c>
      <c r="Z16" s="10">
        <v>93.08</v>
      </c>
      <c r="AA16" s="10">
        <v>94.12</v>
      </c>
      <c r="AB16" s="95">
        <v>2721200</v>
      </c>
      <c r="AC16" s="10">
        <v>94.12</v>
      </c>
      <c r="AD16" s="2">
        <f t="shared" si="0"/>
        <v>1.2800000000000011</v>
      </c>
      <c r="AE16" s="138">
        <f t="shared" si="1"/>
        <v>1.4896786550329111E-3</v>
      </c>
    </row>
    <row r="17" spans="1:31" x14ac:dyDescent="0.25">
      <c r="W17" s="133">
        <v>42566</v>
      </c>
      <c r="X17" s="10">
        <v>94.97</v>
      </c>
      <c r="Y17" s="10">
        <v>95.34</v>
      </c>
      <c r="Z17" s="10">
        <v>93.71</v>
      </c>
      <c r="AA17" s="10">
        <v>93.98</v>
      </c>
      <c r="AB17" s="95">
        <v>4030900</v>
      </c>
      <c r="AC17" s="10">
        <v>93.98</v>
      </c>
      <c r="AD17" s="2">
        <f t="shared" si="0"/>
        <v>1.6300000000000097</v>
      </c>
      <c r="AE17" s="138">
        <f t="shared" si="1"/>
        <v>-7.6029567053854663E-3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42565</v>
      </c>
      <c r="X18" s="10">
        <v>94.92</v>
      </c>
      <c r="Y18" s="10">
        <v>96</v>
      </c>
      <c r="Z18" s="10">
        <v>94.43</v>
      </c>
      <c r="AA18" s="10">
        <v>94.7</v>
      </c>
      <c r="AB18" s="95">
        <v>5331900</v>
      </c>
      <c r="AC18" s="10">
        <v>94.7</v>
      </c>
      <c r="AD18" s="2">
        <f t="shared" si="0"/>
        <v>1.5699999999999932</v>
      </c>
      <c r="AE18" s="138">
        <f t="shared" si="1"/>
        <v>5.9485872105375925E-3</v>
      </c>
    </row>
    <row r="19" spans="1:31" x14ac:dyDescent="0.25">
      <c r="W19" s="133">
        <v>42564</v>
      </c>
      <c r="X19" s="10">
        <v>92.55</v>
      </c>
      <c r="Y19" s="10">
        <v>94.79</v>
      </c>
      <c r="Z19" s="10">
        <v>92.04</v>
      </c>
      <c r="AA19" s="10">
        <v>94.14</v>
      </c>
      <c r="AB19" s="95">
        <v>5898900</v>
      </c>
      <c r="AC19" s="10">
        <v>94.14</v>
      </c>
      <c r="AD19" s="2">
        <f t="shared" si="0"/>
        <v>2.75</v>
      </c>
      <c r="AE19" s="138">
        <f t="shared" si="1"/>
        <v>2.2593960460569162E-2</v>
      </c>
    </row>
    <row r="20" spans="1:31" x14ac:dyDescent="0.25">
      <c r="W20" s="133">
        <v>42563</v>
      </c>
      <c r="X20" s="10">
        <v>91.78</v>
      </c>
      <c r="Y20" s="10">
        <v>92.72</v>
      </c>
      <c r="Z20" s="10">
        <v>91.43</v>
      </c>
      <c r="AA20" s="10">
        <v>92.06</v>
      </c>
      <c r="AB20" s="95">
        <v>4120800</v>
      </c>
      <c r="AC20" s="10">
        <v>92.06</v>
      </c>
      <c r="AD20" s="2">
        <f t="shared" si="0"/>
        <v>1.289999999999992</v>
      </c>
      <c r="AE20" s="138">
        <f t="shared" si="1"/>
        <v>7.3312178575337672E-3</v>
      </c>
    </row>
    <row r="21" spans="1:31" x14ac:dyDescent="0.25">
      <c r="W21" s="40">
        <v>42562</v>
      </c>
      <c r="X21" s="10">
        <v>90.71</v>
      </c>
      <c r="Y21" s="10">
        <v>91.63</v>
      </c>
      <c r="Z21" s="10">
        <v>90.69</v>
      </c>
      <c r="AA21" s="10">
        <v>91.39</v>
      </c>
      <c r="AB21" s="95">
        <v>5423200</v>
      </c>
      <c r="AC21" s="10">
        <v>91.39</v>
      </c>
      <c r="AD21" s="2">
        <f t="shared" si="0"/>
        <v>0.93999999999999773</v>
      </c>
      <c r="AE21" s="138">
        <f t="shared" si="1"/>
        <v>7.7186018304113979E-3</v>
      </c>
    </row>
    <row r="22" spans="1:31" x14ac:dyDescent="0.25">
      <c r="W22" s="133">
        <v>42559</v>
      </c>
      <c r="X22" s="10">
        <v>88.94</v>
      </c>
      <c r="Y22" s="10">
        <v>91.29</v>
      </c>
      <c r="Z22" s="10">
        <v>88.47</v>
      </c>
      <c r="AA22" s="10">
        <v>90.69</v>
      </c>
      <c r="AB22" s="95">
        <v>6448500</v>
      </c>
      <c r="AC22" s="10">
        <v>90.69</v>
      </c>
      <c r="AD22" s="2">
        <f t="shared" si="0"/>
        <v>2.8200000000000074</v>
      </c>
      <c r="AE22" s="138">
        <f t="shared" si="1"/>
        <v>3.0216971486993094E-2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42558</v>
      </c>
      <c r="X23" s="10">
        <v>87.99</v>
      </c>
      <c r="Y23" s="10">
        <v>88.47</v>
      </c>
      <c r="Z23" s="10">
        <v>87.58</v>
      </c>
      <c r="AA23" s="10">
        <v>88.03</v>
      </c>
      <c r="AB23" s="95">
        <v>4798700</v>
      </c>
      <c r="AC23" s="10">
        <v>88.03</v>
      </c>
      <c r="AD23" s="2">
        <f t="shared" si="0"/>
        <v>0.89000000000000057</v>
      </c>
      <c r="AE23" s="138">
        <f t="shared" si="1"/>
        <v>6.7474839890211413E-3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42557</v>
      </c>
      <c r="X24" s="10">
        <v>86.59</v>
      </c>
      <c r="Y24" s="10">
        <v>87.52</v>
      </c>
      <c r="Z24" s="10">
        <v>86.01</v>
      </c>
      <c r="AA24" s="10">
        <v>87.44</v>
      </c>
      <c r="AB24" s="95">
        <v>3740500</v>
      </c>
      <c r="AC24" s="10">
        <v>87.44</v>
      </c>
      <c r="AD24" s="2">
        <f t="shared" si="0"/>
        <v>1.5099999999999909</v>
      </c>
      <c r="AE24" s="138">
        <f t="shared" si="1"/>
        <v>3.2124827902708653E-3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42556</v>
      </c>
      <c r="X25" s="10">
        <v>86.85</v>
      </c>
      <c r="Y25" s="10">
        <v>87.49</v>
      </c>
      <c r="Z25" s="10">
        <v>86.77</v>
      </c>
      <c r="AA25" s="10">
        <v>87.16</v>
      </c>
      <c r="AB25" s="95">
        <v>4305700</v>
      </c>
      <c r="AC25" s="10">
        <v>87.16</v>
      </c>
      <c r="AD25" s="2">
        <f t="shared" si="0"/>
        <v>0.71999999999999886</v>
      </c>
      <c r="AE25" s="138">
        <f t="shared" si="1"/>
        <v>-2.0609113808106594E-3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42552</v>
      </c>
      <c r="X26" s="10">
        <v>87.25</v>
      </c>
      <c r="Y26" s="10">
        <v>88.19</v>
      </c>
      <c r="Z26" s="10">
        <v>87.12</v>
      </c>
      <c r="AA26" s="10">
        <v>87.34</v>
      </c>
      <c r="AB26" s="95">
        <v>3772700</v>
      </c>
      <c r="AC26" s="10">
        <v>87.34</v>
      </c>
      <c r="AD26" s="2">
        <f t="shared" si="0"/>
        <v>1.0699999999999932</v>
      </c>
      <c r="AE26" s="138">
        <f t="shared" si="1"/>
        <v>1.0315186246419028E-3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42551</v>
      </c>
      <c r="X27" s="10">
        <v>86.74</v>
      </c>
      <c r="Y27" s="10">
        <v>87.39</v>
      </c>
      <c r="Z27" s="10">
        <v>84.8</v>
      </c>
      <c r="AA27" s="10">
        <v>87.25</v>
      </c>
      <c r="AB27" s="95">
        <v>5839500</v>
      </c>
      <c r="AC27" s="10">
        <v>87.25</v>
      </c>
      <c r="AD27" s="2">
        <f t="shared" si="0"/>
        <v>2.5900000000000034</v>
      </c>
      <c r="AE27" s="138">
        <f t="shared" si="1"/>
        <v>1.1242466388502459E-2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42550</v>
      </c>
      <c r="X28" s="10">
        <v>85.75</v>
      </c>
      <c r="Y28" s="10">
        <v>86.76</v>
      </c>
      <c r="Z28" s="10">
        <v>85.63</v>
      </c>
      <c r="AA28" s="10">
        <v>86.28</v>
      </c>
      <c r="AB28" s="95">
        <v>3763800</v>
      </c>
      <c r="AC28" s="10">
        <v>86.28</v>
      </c>
      <c r="AD28" s="2">
        <f t="shared" si="0"/>
        <v>1.1300000000000097</v>
      </c>
      <c r="AE28" s="138">
        <f t="shared" si="1"/>
        <v>1.745283018867938E-2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42549</v>
      </c>
      <c r="X29" s="10">
        <v>83.27</v>
      </c>
      <c r="Y29" s="10">
        <v>84.86</v>
      </c>
      <c r="Z29" s="10">
        <v>83</v>
      </c>
      <c r="AA29" s="10">
        <v>84.8</v>
      </c>
      <c r="AB29" s="95">
        <v>5954400</v>
      </c>
      <c r="AC29" s="10">
        <v>84.8</v>
      </c>
      <c r="AD29" s="2">
        <f t="shared" si="0"/>
        <v>1.8599999999999994</v>
      </c>
      <c r="AE29" s="138">
        <f t="shared" si="1"/>
        <v>2.8003394350830435E-2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42548</v>
      </c>
      <c r="X30" s="10">
        <v>84.42</v>
      </c>
      <c r="Y30" s="10">
        <v>84.46</v>
      </c>
      <c r="Z30" s="10">
        <v>81.96</v>
      </c>
      <c r="AA30" s="10">
        <v>82.49</v>
      </c>
      <c r="AB30" s="95">
        <v>5885200</v>
      </c>
      <c r="AC30" s="10">
        <v>82.49</v>
      </c>
      <c r="AD30" s="2">
        <f t="shared" si="0"/>
        <v>2.5</v>
      </c>
      <c r="AE30" s="138">
        <f t="shared" si="1"/>
        <v>-3.2375366568915043E-2</v>
      </c>
    </row>
    <row r="31" spans="1:31" x14ac:dyDescent="0.25">
      <c r="W31" s="133">
        <v>42545</v>
      </c>
      <c r="X31" s="10">
        <v>85.45</v>
      </c>
      <c r="Y31" s="10">
        <v>86.37</v>
      </c>
      <c r="Z31" s="10">
        <v>84.14</v>
      </c>
      <c r="AA31" s="10">
        <v>85.25</v>
      </c>
      <c r="AB31" s="95">
        <v>14194000</v>
      </c>
      <c r="AC31" s="10">
        <v>85.25</v>
      </c>
      <c r="AD31" s="2">
        <f t="shared" si="0"/>
        <v>2.230000000000004</v>
      </c>
      <c r="AE31" s="138">
        <f t="shared" si="1"/>
        <v>-3.7158346510052009E-2</v>
      </c>
    </row>
    <row r="32" spans="1:31" x14ac:dyDescent="0.25">
      <c r="W32" s="133">
        <v>42544</v>
      </c>
      <c r="X32" s="10">
        <v>88.79</v>
      </c>
      <c r="Y32" s="10">
        <v>89</v>
      </c>
      <c r="Z32" s="10">
        <v>87.93</v>
      </c>
      <c r="AA32" s="10">
        <v>88.54</v>
      </c>
      <c r="AB32" s="95">
        <v>2691400</v>
      </c>
      <c r="AC32" s="10">
        <v>88.54</v>
      </c>
      <c r="AD32" s="2">
        <f t="shared" si="0"/>
        <v>1.0699999999999932</v>
      </c>
      <c r="AE32" s="138">
        <f t="shared" si="1"/>
        <v>1.2001371585324216E-2</v>
      </c>
    </row>
    <row r="33" spans="1:31" x14ac:dyDescent="0.25">
      <c r="W33" s="133">
        <v>42543</v>
      </c>
      <c r="X33" s="10">
        <v>87.76</v>
      </c>
      <c r="Y33" s="10">
        <v>88.04</v>
      </c>
      <c r="Z33" s="10">
        <v>87.32</v>
      </c>
      <c r="AA33" s="10">
        <v>87.49</v>
      </c>
      <c r="AB33" s="95">
        <v>3400000</v>
      </c>
      <c r="AC33" s="10">
        <v>87.49</v>
      </c>
      <c r="AD33" s="2">
        <f t="shared" si="0"/>
        <v>0.72000000000001307</v>
      </c>
      <c r="AE33" s="138">
        <f t="shared" si="1"/>
        <v>-1.8254420992585008E-3</v>
      </c>
    </row>
    <row r="34" spans="1:31" x14ac:dyDescent="0.25">
      <c r="L34" t="s">
        <v>230</v>
      </c>
      <c r="M34" s="2">
        <f>M49+K49-F49</f>
        <v>128.08999999999833</v>
      </c>
      <c r="W34" s="133">
        <v>42542</v>
      </c>
      <c r="X34" s="10">
        <v>86.79</v>
      </c>
      <c r="Y34" s="10">
        <v>88.09</v>
      </c>
      <c r="Z34" s="10">
        <v>86</v>
      </c>
      <c r="AA34" s="10">
        <v>87.65</v>
      </c>
      <c r="AB34" s="95">
        <v>4146000</v>
      </c>
      <c r="AC34" s="10">
        <v>87.65</v>
      </c>
      <c r="AD34" s="2">
        <f t="shared" si="0"/>
        <v>2.0900000000000034</v>
      </c>
      <c r="AE34" s="138">
        <f t="shared" si="1"/>
        <v>-4.9948915881484757E-3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42541</v>
      </c>
      <c r="X35" s="10">
        <v>88.36</v>
      </c>
      <c r="Y35" s="10">
        <v>89.25</v>
      </c>
      <c r="Z35" s="10">
        <v>87.98</v>
      </c>
      <c r="AA35" s="10">
        <v>88.09</v>
      </c>
      <c r="AB35" s="95">
        <v>4312100</v>
      </c>
      <c r="AC35" s="10">
        <v>88.09</v>
      </c>
      <c r="AD35" s="2">
        <f t="shared" si="0"/>
        <v>1.269999999999996</v>
      </c>
      <c r="AE35" s="138">
        <f t="shared" si="1"/>
        <v>5.8232473167389998E-3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42538</v>
      </c>
      <c r="X36" s="10">
        <v>87</v>
      </c>
      <c r="Y36" s="10">
        <v>87.8</v>
      </c>
      <c r="Z36" s="10">
        <v>86.87</v>
      </c>
      <c r="AA36" s="10">
        <v>87.58</v>
      </c>
      <c r="AB36" s="95">
        <v>4141900</v>
      </c>
      <c r="AC36" s="10">
        <v>87.58</v>
      </c>
      <c r="AD36" s="2">
        <f t="shared" si="0"/>
        <v>0.92999999999999261</v>
      </c>
      <c r="AE36" s="138">
        <f t="shared" si="1"/>
        <v>5.6263635319784289E-3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42537</v>
      </c>
      <c r="X37" s="10">
        <v>86.84</v>
      </c>
      <c r="Y37" s="10">
        <v>87.31</v>
      </c>
      <c r="Z37" s="10">
        <v>85.5</v>
      </c>
      <c r="AA37" s="10">
        <v>87.09</v>
      </c>
      <c r="AB37" s="95">
        <v>3530300</v>
      </c>
      <c r="AC37" s="10">
        <v>87.09</v>
      </c>
      <c r="AD37" s="2">
        <f t="shared" si="0"/>
        <v>1.8100000000000023</v>
      </c>
      <c r="AE37" s="138">
        <f t="shared" si="1"/>
        <v>-5.140507196710109E-3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42536</v>
      </c>
      <c r="X38" s="10">
        <v>88.36</v>
      </c>
      <c r="Y38" s="10">
        <v>88.67</v>
      </c>
      <c r="Z38" s="10">
        <v>87.45</v>
      </c>
      <c r="AA38" s="10">
        <v>87.54</v>
      </c>
      <c r="AB38" s="95">
        <v>3963500</v>
      </c>
      <c r="AC38" s="10">
        <v>87.54</v>
      </c>
      <c r="AD38" s="2">
        <f t="shared" si="0"/>
        <v>1.2199999999999989</v>
      </c>
      <c r="AE38" s="138">
        <f t="shared" si="1"/>
        <v>-5.0011366219595565E-3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42535</v>
      </c>
      <c r="X39" s="10">
        <v>88.51</v>
      </c>
      <c r="Y39" s="10">
        <v>89.26</v>
      </c>
      <c r="Z39" s="10">
        <v>87.57</v>
      </c>
      <c r="AA39" s="10">
        <v>87.98</v>
      </c>
      <c r="AB39" s="95">
        <v>3993400</v>
      </c>
      <c r="AC39" s="10">
        <v>87.98</v>
      </c>
      <c r="AD39" s="2">
        <f t="shared" si="0"/>
        <v>1.6900000000000119</v>
      </c>
      <c r="AE39" s="138">
        <f t="shared" si="1"/>
        <v>-8.2290609852326835E-3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42534</v>
      </c>
      <c r="X40" s="10">
        <v>88.49</v>
      </c>
      <c r="Y40" s="10">
        <v>89.61</v>
      </c>
      <c r="Z40" s="10">
        <v>88.22</v>
      </c>
      <c r="AA40" s="10">
        <v>88.71</v>
      </c>
      <c r="AB40" s="95">
        <v>4377100</v>
      </c>
      <c r="AC40" s="10">
        <v>88.71</v>
      </c>
      <c r="AD40" s="2">
        <f t="shared" si="0"/>
        <v>1.3900000000000006</v>
      </c>
      <c r="AE40" s="138">
        <f t="shared" si="1"/>
        <v>-7.8846587069170138E-4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42531</v>
      </c>
      <c r="X41" s="10">
        <v>88.2</v>
      </c>
      <c r="Y41" s="10">
        <v>88.9</v>
      </c>
      <c r="Z41" s="10">
        <v>88.1</v>
      </c>
      <c r="AA41" s="10">
        <v>88.78</v>
      </c>
      <c r="AB41" s="95">
        <v>4315800</v>
      </c>
      <c r="AC41" s="10">
        <v>88.78</v>
      </c>
      <c r="AD41" s="2">
        <f t="shared" si="0"/>
        <v>0.80000000000001137</v>
      </c>
      <c r="AE41" s="138">
        <f t="shared" si="1"/>
        <v>-6.8240295335048051E-3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42530</v>
      </c>
      <c r="X42" s="10">
        <v>88.53</v>
      </c>
      <c r="Y42" s="10">
        <v>89.53</v>
      </c>
      <c r="Z42" s="10">
        <v>88.04</v>
      </c>
      <c r="AA42" s="10">
        <v>89.39</v>
      </c>
      <c r="AB42" s="95">
        <v>3844800</v>
      </c>
      <c r="AC42" s="10">
        <v>89.39</v>
      </c>
      <c r="AD42" s="2">
        <f t="shared" si="0"/>
        <v>1.4899999999999949</v>
      </c>
      <c r="AE42" s="138">
        <f t="shared" si="1"/>
        <v>3.9308176100627534E-3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87.61</v>
      </c>
      <c r="W43" s="133">
        <v>42529</v>
      </c>
      <c r="X43" s="10">
        <v>87.83</v>
      </c>
      <c r="Y43" s="10">
        <v>90.14</v>
      </c>
      <c r="Z43" s="10">
        <v>87.8</v>
      </c>
      <c r="AA43" s="10">
        <v>89.04</v>
      </c>
      <c r="AB43" s="95">
        <v>6135400</v>
      </c>
      <c r="AC43" s="10">
        <v>89.04</v>
      </c>
      <c r="AD43" s="2">
        <f t="shared" si="0"/>
        <v>2.3400000000000034</v>
      </c>
      <c r="AE43" s="138">
        <f t="shared" si="1"/>
        <v>1.6786570743405393E-2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88.16</v>
      </c>
      <c r="W44" s="133">
        <v>42528</v>
      </c>
      <c r="X44" s="10">
        <v>86.68</v>
      </c>
      <c r="Y44" s="10">
        <v>88.08</v>
      </c>
      <c r="Z44" s="10">
        <v>86.68</v>
      </c>
      <c r="AA44" s="10">
        <v>87.57</v>
      </c>
      <c r="AB44" s="95">
        <v>3824500</v>
      </c>
      <c r="AC44" s="10">
        <v>87.57</v>
      </c>
      <c r="AD44" s="2">
        <f t="shared" si="0"/>
        <v>1.3999999999999915</v>
      </c>
      <c r="AE44" s="138">
        <f t="shared" si="1"/>
        <v>8.2901554404144484E-3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396</v>
      </c>
      <c r="W45" s="133">
        <v>42527</v>
      </c>
      <c r="X45" s="10">
        <v>86.42</v>
      </c>
      <c r="Y45" s="10">
        <v>87.14</v>
      </c>
      <c r="Z45" s="10">
        <v>85.93</v>
      </c>
      <c r="AA45" s="10">
        <v>86.85</v>
      </c>
      <c r="AB45" s="95">
        <v>4361500</v>
      </c>
      <c r="AC45" s="10">
        <v>86.85</v>
      </c>
      <c r="AD45" s="2">
        <f t="shared" si="0"/>
        <v>1.2099999999999937</v>
      </c>
      <c r="AE45" s="138">
        <f t="shared" si="1"/>
        <v>5.4410743227599756E-3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525" t="s">
        <v>78</v>
      </c>
      <c r="P46" s="525"/>
      <c r="Q46" s="34"/>
      <c r="R46"/>
      <c r="T46" s="87" t="s">
        <v>101</v>
      </c>
      <c r="U46" s="130" t="s">
        <v>397</v>
      </c>
      <c r="W46" s="133">
        <v>42524</v>
      </c>
      <c r="X46" s="10">
        <v>85.55</v>
      </c>
      <c r="Y46" s="10">
        <v>86.65</v>
      </c>
      <c r="Z46" s="10">
        <v>84.61</v>
      </c>
      <c r="AA46" s="10">
        <v>86.38</v>
      </c>
      <c r="AB46" s="95">
        <v>4946700</v>
      </c>
      <c r="AC46" s="10">
        <v>86.38</v>
      </c>
      <c r="AD46" s="2">
        <f t="shared" si="0"/>
        <v>2.0400000000000063</v>
      </c>
      <c r="AE46" s="138">
        <f t="shared" si="1"/>
        <v>2.0919513059922012E-2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103.24600000000001</v>
      </c>
      <c r="Q47" s="34"/>
      <c r="R47"/>
      <c r="T47" s="87" t="s">
        <v>102</v>
      </c>
      <c r="U47" s="130">
        <v>91.62</v>
      </c>
      <c r="W47" s="133">
        <v>42523</v>
      </c>
      <c r="X47" s="10">
        <v>83.68</v>
      </c>
      <c r="Y47" s="10">
        <v>84.63</v>
      </c>
      <c r="Z47" s="10">
        <v>83.61</v>
      </c>
      <c r="AA47" s="10">
        <v>84.61</v>
      </c>
      <c r="AB47" s="95">
        <v>3507000</v>
      </c>
      <c r="AC47" s="10">
        <v>84.61</v>
      </c>
      <c r="AD47" s="2">
        <f t="shared" si="0"/>
        <v>1.019999999999996</v>
      </c>
      <c r="AE47" s="138">
        <f t="shared" si="1"/>
        <v>5.9445963619069175E-3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102.3074</v>
      </c>
      <c r="Q48" s="34"/>
      <c r="R48"/>
      <c r="T48" s="87" t="s">
        <v>103</v>
      </c>
      <c r="U48" s="130">
        <v>1.3119099999999999</v>
      </c>
      <c r="W48" s="133">
        <v>42522</v>
      </c>
      <c r="X48" s="10">
        <v>83.63</v>
      </c>
      <c r="Y48" s="10">
        <v>84.19</v>
      </c>
      <c r="Z48" s="10">
        <v>82.91</v>
      </c>
      <c r="AA48" s="10">
        <v>84.11</v>
      </c>
      <c r="AB48" s="95">
        <v>4298500</v>
      </c>
      <c r="AC48" s="10">
        <v>84.11</v>
      </c>
      <c r="AD48" s="2">
        <f t="shared" si="0"/>
        <v>1.2800000000000011</v>
      </c>
      <c r="AE48" s="138">
        <f t="shared" si="1"/>
        <v>-9.5023161895713137E-4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101.36880000000001</v>
      </c>
      <c r="Q49" s="34"/>
      <c r="R49"/>
      <c r="T49" s="87" t="s">
        <v>123</v>
      </c>
      <c r="U49" s="94" t="s">
        <v>357</v>
      </c>
      <c r="W49" s="133">
        <v>42521</v>
      </c>
      <c r="X49" s="10">
        <v>83.11</v>
      </c>
      <c r="Y49" s="10">
        <v>84.52</v>
      </c>
      <c r="Z49" s="10">
        <v>82.61</v>
      </c>
      <c r="AA49" s="10">
        <v>84.19</v>
      </c>
      <c r="AB49" s="95">
        <v>6086500</v>
      </c>
      <c r="AC49" s="10">
        <v>84.19</v>
      </c>
      <c r="AD49" s="2">
        <f t="shared" si="0"/>
        <v>1.9099999999999966</v>
      </c>
      <c r="AE49" s="138">
        <f t="shared" si="1"/>
        <v>1.4704109919247976E-2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100.4302</v>
      </c>
      <c r="Q50" s="83"/>
      <c r="R50"/>
      <c r="T50" s="87"/>
      <c r="U50" s="130"/>
      <c r="W50" s="133">
        <v>42517</v>
      </c>
      <c r="X50" s="10">
        <v>82.37</v>
      </c>
      <c r="Y50" s="10">
        <v>83.08</v>
      </c>
      <c r="Z50" s="10">
        <v>81.790000000000006</v>
      </c>
      <c r="AA50" s="10">
        <v>82.97</v>
      </c>
      <c r="AB50" s="95">
        <v>3848200</v>
      </c>
      <c r="AC50" s="10">
        <v>82.97</v>
      </c>
      <c r="AD50" s="2">
        <f t="shared" si="0"/>
        <v>1.289999999999992</v>
      </c>
      <c r="AE50" s="138">
        <f t="shared" si="1"/>
        <v>7.6512023317949485E-3</v>
      </c>
    </row>
    <row r="51" spans="1:31" x14ac:dyDescent="0.25">
      <c r="O51" s="83">
        <v>1.06</v>
      </c>
      <c r="P51" s="83">
        <f t="shared" si="3"/>
        <v>99.491600000000005</v>
      </c>
      <c r="Q51" s="83"/>
      <c r="R51"/>
      <c r="T51" s="87" t="s">
        <v>105</v>
      </c>
      <c r="U51" s="130" t="s">
        <v>398</v>
      </c>
      <c r="W51" s="133">
        <v>42516</v>
      </c>
      <c r="X51" s="10">
        <v>82.58</v>
      </c>
      <c r="Y51" s="10">
        <v>83.31</v>
      </c>
      <c r="Z51" s="10">
        <v>82.24</v>
      </c>
      <c r="AA51" s="10">
        <v>82.34</v>
      </c>
      <c r="AB51" s="95">
        <v>2978300</v>
      </c>
      <c r="AC51" s="10">
        <v>82.34</v>
      </c>
      <c r="AD51" s="2">
        <f t="shared" si="0"/>
        <v>1.0700000000000074</v>
      </c>
      <c r="AE51" s="138" t="e">
        <f t="shared" si="1"/>
        <v>#DIV/0!</v>
      </c>
    </row>
    <row r="52" spans="1:31" x14ac:dyDescent="0.25">
      <c r="O52" s="83">
        <v>1.05</v>
      </c>
      <c r="P52" s="83">
        <f t="shared" si="3"/>
        <v>98.552999999999997</v>
      </c>
      <c r="Q52" s="83"/>
      <c r="R52"/>
      <c r="T52" s="87" t="s">
        <v>106</v>
      </c>
      <c r="U52" s="130" t="s">
        <v>233</v>
      </c>
      <c r="W52" s="133">
        <v>42516</v>
      </c>
      <c r="X52" s="10" t="s">
        <v>131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:31" x14ac:dyDescent="0.25">
      <c r="O53" s="83">
        <v>1.04</v>
      </c>
      <c r="P53" s="83">
        <f t="shared" si="3"/>
        <v>97.614400000000003</v>
      </c>
      <c r="Q53" s="83"/>
      <c r="R53"/>
      <c r="T53" s="87" t="s">
        <v>107</v>
      </c>
      <c r="U53" s="131">
        <v>1466888</v>
      </c>
      <c r="W53" s="133">
        <v>42515</v>
      </c>
      <c r="X53" s="10">
        <v>81.84</v>
      </c>
      <c r="Y53" s="10">
        <v>83.22</v>
      </c>
      <c r="Z53" s="10">
        <v>81.55</v>
      </c>
      <c r="AA53" s="10">
        <v>82.91</v>
      </c>
      <c r="AB53" s="95">
        <v>3408500</v>
      </c>
      <c r="AC53" s="10">
        <v>82.36</v>
      </c>
      <c r="AD53" s="2">
        <f t="shared" si="0"/>
        <v>1.6700000000000017</v>
      </c>
      <c r="AE53" s="138">
        <f t="shared" si="1"/>
        <v>1.9938080495355948E-2</v>
      </c>
    </row>
    <row r="54" spans="1:31" x14ac:dyDescent="0.25">
      <c r="O54" s="83">
        <v>1.03</v>
      </c>
      <c r="P54" s="83">
        <f t="shared" si="3"/>
        <v>96.675799999999995</v>
      </c>
      <c r="Q54" s="83"/>
      <c r="R54"/>
      <c r="T54" s="87" t="s">
        <v>110</v>
      </c>
      <c r="U54" s="131">
        <v>1621230</v>
      </c>
      <c r="W54" s="133">
        <v>42514</v>
      </c>
      <c r="X54" s="10">
        <v>82.06</v>
      </c>
      <c r="Y54" s="10">
        <v>82.13</v>
      </c>
      <c r="Z54" s="10">
        <v>80.87</v>
      </c>
      <c r="AA54" s="10">
        <v>81.290000000000006</v>
      </c>
      <c r="AB54" s="95">
        <v>4679400</v>
      </c>
      <c r="AC54" s="10">
        <v>80.75</v>
      </c>
      <c r="AD54" s="2">
        <f t="shared" si="0"/>
        <v>1.2599999999999909</v>
      </c>
      <c r="AE54" s="138">
        <f t="shared" si="1"/>
        <v>-2.4706609017912662E-3</v>
      </c>
    </row>
    <row r="55" spans="1:31" x14ac:dyDescent="0.25">
      <c r="O55" s="83">
        <v>1.02</v>
      </c>
      <c r="P55" s="83">
        <f t="shared" si="3"/>
        <v>95.737200000000001</v>
      </c>
      <c r="Q55" s="83"/>
      <c r="R55"/>
      <c r="T55" s="87" t="s">
        <v>108</v>
      </c>
      <c r="U55" s="130" t="s">
        <v>399</v>
      </c>
      <c r="W55" s="133">
        <v>42513</v>
      </c>
      <c r="X55" s="10">
        <v>82.25</v>
      </c>
      <c r="Y55" s="10">
        <v>82.61</v>
      </c>
      <c r="Z55" s="10">
        <v>81.45</v>
      </c>
      <c r="AA55" s="10">
        <v>81.489999999999995</v>
      </c>
      <c r="AB55" s="95">
        <v>3649100</v>
      </c>
      <c r="AC55" s="10">
        <v>80.95</v>
      </c>
      <c r="AD55" s="2">
        <f t="shared" si="0"/>
        <v>1.1599999999999966</v>
      </c>
      <c r="AE55" s="138">
        <f t="shared" si="1"/>
        <v>-1.1116540434888744E-2</v>
      </c>
    </row>
    <row r="56" spans="1:31" x14ac:dyDescent="0.25">
      <c r="O56" s="83">
        <v>1.01</v>
      </c>
      <c r="P56" s="83">
        <f t="shared" si="3"/>
        <v>94.798599999999993</v>
      </c>
      <c r="Q56" s="83"/>
      <c r="R56"/>
      <c r="T56" s="87" t="s">
        <v>111</v>
      </c>
      <c r="U56" s="130">
        <v>16.649999999999999</v>
      </c>
      <c r="W56" s="133">
        <v>42510</v>
      </c>
      <c r="X56" s="10">
        <v>81.96</v>
      </c>
      <c r="Y56" s="10">
        <v>82.56</v>
      </c>
      <c r="Z56" s="10">
        <v>81.739999999999995</v>
      </c>
      <c r="AA56" s="10">
        <v>82.41</v>
      </c>
      <c r="AB56" s="95">
        <v>4366100</v>
      </c>
      <c r="AC56" s="10">
        <v>81.86</v>
      </c>
      <c r="AD56" s="2">
        <f t="shared" si="0"/>
        <v>0.82000000000000739</v>
      </c>
      <c r="AE56" s="138">
        <f t="shared" si="1"/>
        <v>1.1866501854140843E-2</v>
      </c>
    </row>
    <row r="57" spans="1:31" x14ac:dyDescent="0.25">
      <c r="O57" s="83">
        <v>1</v>
      </c>
      <c r="P57" s="83">
        <f t="shared" si="3"/>
        <v>93.86</v>
      </c>
      <c r="Q57" s="83"/>
      <c r="R57"/>
      <c r="T57" s="87" t="s">
        <v>112</v>
      </c>
      <c r="U57" s="130">
        <v>5.34</v>
      </c>
      <c r="W57" s="133">
        <v>42509</v>
      </c>
      <c r="X57" s="10">
        <v>81.55</v>
      </c>
      <c r="Y57" s="10">
        <v>81.819999999999993</v>
      </c>
      <c r="Z57" s="10">
        <v>80.680000000000007</v>
      </c>
      <c r="AA57" s="10">
        <v>81.44</v>
      </c>
      <c r="AB57" s="95">
        <v>3776700</v>
      </c>
      <c r="AC57" s="10">
        <v>80.900000000000006</v>
      </c>
      <c r="AD57" s="2">
        <f t="shared" si="0"/>
        <v>1.1399999999999864</v>
      </c>
      <c r="AE57" s="138">
        <f t="shared" si="1"/>
        <v>-1.2571707555230072E-2</v>
      </c>
    </row>
    <row r="58" spans="1:31" x14ac:dyDescent="0.25">
      <c r="O58" s="83">
        <v>0.99</v>
      </c>
      <c r="P58" s="83">
        <f t="shared" si="3"/>
        <v>92.921400000000006</v>
      </c>
      <c r="Q58" s="83"/>
      <c r="R58"/>
      <c r="T58" s="87" t="s">
        <v>109</v>
      </c>
      <c r="U58" s="130" t="s">
        <v>563</v>
      </c>
      <c r="W58" s="133">
        <v>42508</v>
      </c>
      <c r="X58" s="10">
        <v>82.17</v>
      </c>
      <c r="Y58" s="10">
        <v>83.47</v>
      </c>
      <c r="Z58" s="10">
        <v>81.7</v>
      </c>
      <c r="AA58" s="10">
        <v>82.48</v>
      </c>
      <c r="AB58" s="95">
        <v>4432400</v>
      </c>
      <c r="AC58" s="10">
        <v>81.93</v>
      </c>
      <c r="AD58" s="2">
        <f t="shared" si="0"/>
        <v>1.769999999999996</v>
      </c>
      <c r="AE58" s="138">
        <f t="shared" si="1"/>
        <v>3.5521803037728006E-3</v>
      </c>
    </row>
    <row r="59" spans="1:31" x14ac:dyDescent="0.25">
      <c r="O59" s="83">
        <v>0.98</v>
      </c>
      <c r="P59" s="83">
        <f t="shared" si="3"/>
        <v>91.982799999999997</v>
      </c>
      <c r="Q59" s="83"/>
      <c r="R59"/>
      <c r="W59" s="133">
        <v>42507</v>
      </c>
      <c r="X59" s="10">
        <v>82.02</v>
      </c>
      <c r="Y59" s="10">
        <v>83.48</v>
      </c>
      <c r="Z59" s="10">
        <v>81.540000000000006</v>
      </c>
      <c r="AA59" s="10">
        <v>82.19</v>
      </c>
      <c r="AB59" s="95">
        <v>5320400</v>
      </c>
      <c r="AC59" s="10">
        <v>81.64</v>
      </c>
      <c r="AD59" s="2">
        <f t="shared" si="0"/>
        <v>1.9399999999999977</v>
      </c>
      <c r="AE59" s="138">
        <f t="shared" si="1"/>
        <v>1.9636720667648433E-3</v>
      </c>
    </row>
    <row r="60" spans="1:31" x14ac:dyDescent="0.25">
      <c r="O60" s="83">
        <v>0.97</v>
      </c>
      <c r="P60" s="83">
        <f t="shared" si="3"/>
        <v>91.044200000000004</v>
      </c>
      <c r="Q60" s="83"/>
      <c r="R60"/>
      <c r="W60" s="133">
        <v>42506</v>
      </c>
      <c r="X60" s="10">
        <v>82.09</v>
      </c>
      <c r="Y60" s="10">
        <v>82.95</v>
      </c>
      <c r="Z60" s="10">
        <v>81.88</v>
      </c>
      <c r="AA60" s="10">
        <v>82.02</v>
      </c>
      <c r="AB60" s="95">
        <v>4194400</v>
      </c>
      <c r="AC60" s="10">
        <v>81.48</v>
      </c>
      <c r="AD60" s="2">
        <f t="shared" si="0"/>
        <v>1.0700000000000074</v>
      </c>
      <c r="AE60" s="138">
        <f t="shared" si="1"/>
        <v>2.4551927326310619E-4</v>
      </c>
    </row>
    <row r="61" spans="1:31" x14ac:dyDescent="0.25">
      <c r="O61" s="83">
        <v>0.96</v>
      </c>
      <c r="P61" s="83">
        <f t="shared" si="3"/>
        <v>90.105599999999995</v>
      </c>
      <c r="Q61" s="83"/>
      <c r="R61"/>
      <c r="W61" s="133">
        <v>42503</v>
      </c>
      <c r="X61" s="10">
        <v>83.53</v>
      </c>
      <c r="Y61" s="10">
        <v>83.84</v>
      </c>
      <c r="Z61" s="10">
        <v>81.790000000000006</v>
      </c>
      <c r="AA61" s="10">
        <v>82</v>
      </c>
      <c r="AB61" s="95">
        <v>4463300</v>
      </c>
      <c r="AC61" s="10">
        <v>81.459999999999994</v>
      </c>
      <c r="AD61" s="2">
        <f t="shared" si="0"/>
        <v>2.0499999999999972</v>
      </c>
      <c r="AE61" s="138">
        <f t="shared" si="1"/>
        <v>-2.1853986551393034E-2</v>
      </c>
    </row>
    <row r="62" spans="1:31" x14ac:dyDescent="0.25">
      <c r="O62" s="83">
        <v>0.95</v>
      </c>
      <c r="P62" s="83">
        <f t="shared" si="3"/>
        <v>89.167000000000002</v>
      </c>
      <c r="Q62" s="83"/>
      <c r="R62"/>
      <c r="W62" s="133">
        <v>42502</v>
      </c>
      <c r="X62" s="10">
        <v>84.85</v>
      </c>
      <c r="Y62" s="10">
        <v>85.29</v>
      </c>
      <c r="Z62" s="10">
        <v>83.68</v>
      </c>
      <c r="AA62" s="10">
        <v>83.84</v>
      </c>
      <c r="AB62" s="95">
        <v>4178300</v>
      </c>
      <c r="AC62" s="10">
        <v>83.28</v>
      </c>
      <c r="AD62" s="2">
        <f t="shared" si="0"/>
        <v>1.6099999999999994</v>
      </c>
      <c r="AE62" s="138">
        <f t="shared" si="1"/>
        <v>-7.7445490289527186E-3</v>
      </c>
    </row>
    <row r="63" spans="1:31" x14ac:dyDescent="0.25">
      <c r="O63" s="83">
        <v>0.94</v>
      </c>
      <c r="P63" s="83">
        <f t="shared" si="3"/>
        <v>88.228399999999993</v>
      </c>
      <c r="Q63" s="83"/>
      <c r="R63"/>
      <c r="T63" s="86"/>
      <c r="W63" s="133">
        <v>42501</v>
      </c>
      <c r="X63" s="10">
        <v>86.1</v>
      </c>
      <c r="Y63" s="10">
        <v>86.4</v>
      </c>
      <c r="Z63" s="10">
        <v>84.48</v>
      </c>
      <c r="AA63" s="10">
        <v>84.49</v>
      </c>
      <c r="AB63" s="95">
        <v>4343600</v>
      </c>
      <c r="AC63" s="10">
        <v>83.93</v>
      </c>
      <c r="AD63" s="2">
        <f t="shared" si="0"/>
        <v>1.9200000000000017</v>
      </c>
      <c r="AE63" s="138">
        <f t="shared" si="1"/>
        <v>-1.8706886472582673E-2</v>
      </c>
    </row>
    <row r="64" spans="1:31" x14ac:dyDescent="0.25">
      <c r="O64" s="83">
        <v>0.93</v>
      </c>
      <c r="P64" s="83">
        <f t="shared" si="3"/>
        <v>87.2898</v>
      </c>
      <c r="Q64" s="83"/>
      <c r="R64"/>
      <c r="S64" s="86"/>
      <c r="T64"/>
      <c r="W64" s="133">
        <v>42500</v>
      </c>
      <c r="X64" s="10">
        <v>85.28</v>
      </c>
      <c r="Y64" s="10">
        <v>86.74</v>
      </c>
      <c r="Z64" s="10">
        <v>84.86</v>
      </c>
      <c r="AA64" s="10">
        <v>86.1</v>
      </c>
      <c r="AB64" s="95">
        <v>3341200</v>
      </c>
      <c r="AC64" s="10">
        <v>85.53</v>
      </c>
      <c r="AD64" s="2">
        <f t="shared" si="0"/>
        <v>1.8799999999999955</v>
      </c>
      <c r="AE64" s="138">
        <f t="shared" si="1"/>
        <v>1.7366480314024102E-2</v>
      </c>
    </row>
    <row r="65" spans="15:31" x14ac:dyDescent="0.25">
      <c r="O65" s="83">
        <v>0.92</v>
      </c>
      <c r="P65" s="83">
        <f t="shared" si="3"/>
        <v>86.351200000000006</v>
      </c>
      <c r="Q65" s="83"/>
      <c r="R65"/>
      <c r="S65" s="86"/>
      <c r="T65"/>
      <c r="W65" s="133">
        <v>42499</v>
      </c>
      <c r="X65" s="10">
        <v>85.66</v>
      </c>
      <c r="Y65" s="10">
        <v>85.66</v>
      </c>
      <c r="Z65" s="10">
        <v>84.14</v>
      </c>
      <c r="AA65" s="10">
        <v>84.63</v>
      </c>
      <c r="AB65" s="95">
        <v>4154700</v>
      </c>
      <c r="AC65" s="10">
        <v>84.07</v>
      </c>
      <c r="AD65" s="2">
        <f t="shared" si="0"/>
        <v>1.519999999999996</v>
      </c>
      <c r="AE65" s="138">
        <f t="shared" si="1"/>
        <v>-1.2799436355096283E-2</v>
      </c>
    </row>
    <row r="66" spans="15:31" x14ac:dyDescent="0.25">
      <c r="O66" s="83">
        <v>0.91</v>
      </c>
      <c r="P66" s="83">
        <f t="shared" si="3"/>
        <v>85.412599999999998</v>
      </c>
      <c r="Q66" s="83"/>
      <c r="R66"/>
      <c r="S66" s="86"/>
      <c r="T66"/>
      <c r="W66" s="133">
        <v>42496</v>
      </c>
      <c r="X66" s="10">
        <v>84.56</v>
      </c>
      <c r="Y66" s="10">
        <v>86.27</v>
      </c>
      <c r="Z66" s="10">
        <v>84.5</v>
      </c>
      <c r="AA66" s="10">
        <v>85.73</v>
      </c>
      <c r="AB66" s="95">
        <v>4009800</v>
      </c>
      <c r="AC66" s="10">
        <v>85.16</v>
      </c>
      <c r="AD66" s="2">
        <f t="shared" si="0"/>
        <v>1.769999999999996</v>
      </c>
      <c r="AE66" s="138">
        <f t="shared" si="1"/>
        <v>6.3814701016307041E-3</v>
      </c>
    </row>
    <row r="67" spans="15:31" x14ac:dyDescent="0.25">
      <c r="O67" s="83">
        <v>0.9</v>
      </c>
      <c r="P67" s="83">
        <f t="shared" si="3"/>
        <v>84.474000000000004</v>
      </c>
      <c r="Q67" s="83"/>
      <c r="R67"/>
      <c r="S67" s="86"/>
      <c r="T67"/>
      <c r="W67" s="133">
        <v>42495</v>
      </c>
      <c r="X67" s="10">
        <v>86.13</v>
      </c>
      <c r="Y67" s="10">
        <v>86.56</v>
      </c>
      <c r="Z67" s="10">
        <v>85.09</v>
      </c>
      <c r="AA67" s="10">
        <v>85.19</v>
      </c>
      <c r="AB67" s="95">
        <v>4425800</v>
      </c>
      <c r="AC67" s="10">
        <v>84.62</v>
      </c>
      <c r="AD67" s="2">
        <f>Y67-Z67</f>
        <v>1.4699999999999989</v>
      </c>
      <c r="AE67" s="138">
        <f>AC67/AC68-1</f>
        <v>-5.2897613729868675E-3</v>
      </c>
    </row>
    <row r="68" spans="15:31" x14ac:dyDescent="0.25">
      <c r="W68" s="133">
        <v>42494</v>
      </c>
      <c r="X68" s="10">
        <v>85.93</v>
      </c>
      <c r="Y68" s="10">
        <v>87.02</v>
      </c>
      <c r="Z68" s="10">
        <v>85.33</v>
      </c>
      <c r="AA68" s="10">
        <v>85.64</v>
      </c>
      <c r="AB68" s="95">
        <v>3532900</v>
      </c>
      <c r="AC68" s="10">
        <v>85.07</v>
      </c>
      <c r="AD68" s="2">
        <f>Y68-Z68</f>
        <v>1.6899999999999977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7" priority="11">
      <formula>F24&gt;0</formula>
    </cfRule>
    <cfRule type="expression" dxfId="386" priority="12">
      <formula>F24&lt;0</formula>
    </cfRule>
  </conditionalFormatting>
  <conditionalFormatting sqref="H27:H30">
    <cfRule type="expression" dxfId="385" priority="9">
      <formula>H27&gt;0</formula>
    </cfRule>
    <cfRule type="expression" dxfId="384" priority="10">
      <formula>H27&lt;0</formula>
    </cfRule>
  </conditionalFormatting>
  <conditionalFormatting sqref="F25">
    <cfRule type="expression" dxfId="383" priority="7">
      <formula>F25&gt;0</formula>
    </cfRule>
    <cfRule type="expression" dxfId="382" priority="8">
      <formula>F25&lt;0</formula>
    </cfRule>
  </conditionalFormatting>
  <conditionalFormatting sqref="H24:H26">
    <cfRule type="expression" dxfId="381" priority="5">
      <formula>H24&gt;0</formula>
    </cfRule>
    <cfRule type="expression" dxfId="380" priority="6">
      <formula>H24&lt;0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42587</v>
      </c>
      <c r="X2" s="373">
        <v>216.41</v>
      </c>
      <c r="Y2" s="40">
        <v>218.23</v>
      </c>
      <c r="Z2" s="40">
        <v>216.41</v>
      </c>
      <c r="AA2" s="373">
        <v>218.18</v>
      </c>
      <c r="AB2" s="95">
        <v>69464500</v>
      </c>
      <c r="AC2" s="247">
        <v>218.18</v>
      </c>
      <c r="AD2" s="2">
        <f>Y2-Z2</f>
        <v>1.8199999999999932</v>
      </c>
      <c r="AE2" s="138">
        <f>AC2/AC3-1</f>
        <v>8.1789196432697775E-3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218.05</v>
      </c>
      <c r="T3" s="121"/>
      <c r="W3" s="94">
        <v>42586</v>
      </c>
      <c r="X3" s="373">
        <v>216.31</v>
      </c>
      <c r="Y3" s="40">
        <v>216.78</v>
      </c>
      <c r="Z3" s="40">
        <v>214.25</v>
      </c>
      <c r="AA3" s="373">
        <v>216.41</v>
      </c>
      <c r="AB3" s="95">
        <v>46585500</v>
      </c>
      <c r="AC3" s="247">
        <v>216.41</v>
      </c>
      <c r="AD3" s="2">
        <f>Y3-Z3</f>
        <v>2.5300000000000011</v>
      </c>
      <c r="AE3" s="138">
        <f>AC3/AC4-1</f>
        <v>1.0639282079747403E-3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218.05</v>
      </c>
      <c r="T4" s="121"/>
      <c r="W4" s="94">
        <v>42585</v>
      </c>
      <c r="X4" s="373">
        <v>215.48</v>
      </c>
      <c r="Y4" s="40">
        <v>216.25</v>
      </c>
      <c r="Z4" s="40">
        <v>215.13</v>
      </c>
      <c r="AA4" s="373">
        <v>216.18</v>
      </c>
      <c r="AB4" s="95">
        <v>53993600</v>
      </c>
      <c r="AC4" s="247">
        <v>216.18</v>
      </c>
      <c r="AD4" s="2">
        <f t="shared" ref="AD4:AD67" si="0">Y4-Z4</f>
        <v>1.1200000000000045</v>
      </c>
      <c r="AE4" s="138">
        <f t="shared" ref="AE4:AE67" si="1">AC4/AC5-1</f>
        <v>2.9227557411273253E-3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42584</v>
      </c>
      <c r="X5" s="373">
        <v>216.65</v>
      </c>
      <c r="Y5" s="40">
        <v>216.83</v>
      </c>
      <c r="Z5" s="40">
        <v>214.57</v>
      </c>
      <c r="AA5" s="373">
        <v>215.55</v>
      </c>
      <c r="AB5" s="95">
        <v>92295500</v>
      </c>
      <c r="AC5" s="247">
        <v>215.55</v>
      </c>
      <c r="AD5" s="2">
        <f t="shared" si="0"/>
        <v>2.2600000000000193</v>
      </c>
      <c r="AE5" s="138">
        <f t="shared" si="1"/>
        <v>-6.4073015580343728E-3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42583</v>
      </c>
      <c r="X6" s="373">
        <v>217.19</v>
      </c>
      <c r="Y6" s="40">
        <v>217.65</v>
      </c>
      <c r="Z6" s="40">
        <v>216.41</v>
      </c>
      <c r="AA6" s="373">
        <v>216.94</v>
      </c>
      <c r="AB6" s="95">
        <v>73311400</v>
      </c>
      <c r="AC6" s="247">
        <v>216.94</v>
      </c>
      <c r="AD6" s="2">
        <f t="shared" si="0"/>
        <v>1.2400000000000091</v>
      </c>
      <c r="AE6" s="138">
        <f t="shared" si="1"/>
        <v>-8.2903463522476795E-4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188</v>
      </c>
      <c r="P7"/>
      <c r="Q7" s="2">
        <f>Q10+Q8</f>
        <v>160.82999999999993</v>
      </c>
      <c r="R7">
        <v>0</v>
      </c>
      <c r="T7" s="85"/>
      <c r="W7" s="94">
        <v>42580</v>
      </c>
      <c r="X7" s="373">
        <v>216.46</v>
      </c>
      <c r="Y7" s="40">
        <v>217.54</v>
      </c>
      <c r="Z7" s="40">
        <v>216.13</v>
      </c>
      <c r="AA7" s="373">
        <v>217.12</v>
      </c>
      <c r="AB7" s="95">
        <v>79519400</v>
      </c>
      <c r="AC7" s="247">
        <v>217.12</v>
      </c>
      <c r="AD7" s="2">
        <f t="shared" si="0"/>
        <v>1.4099999999999966</v>
      </c>
      <c r="AE7" s="138">
        <f t="shared" si="1"/>
        <v>1.6146145684365898E-3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192</v>
      </c>
      <c r="Q8" s="2">
        <f>K18+M18-F18+Q2*Q4</f>
        <v>0</v>
      </c>
      <c r="W8" s="94">
        <v>42579</v>
      </c>
      <c r="X8" s="373">
        <v>216.29</v>
      </c>
      <c r="Y8" s="40">
        <v>217.11</v>
      </c>
      <c r="Z8" s="40">
        <v>215.75</v>
      </c>
      <c r="AA8" s="373">
        <v>216.77</v>
      </c>
      <c r="AB8" s="95">
        <v>65035700</v>
      </c>
      <c r="AC8" s="247">
        <v>216.77</v>
      </c>
      <c r="AD8" s="2">
        <f t="shared" si="0"/>
        <v>1.3600000000000136</v>
      </c>
      <c r="AE8" s="138">
        <f t="shared" si="1"/>
        <v>1.1546277480141143E-3</v>
      </c>
    </row>
    <row r="9" spans="1:40" x14ac:dyDescent="0.25">
      <c r="O9" s="11" t="s">
        <v>231</v>
      </c>
      <c r="P9"/>
      <c r="Q9" s="138">
        <f>IF(Q2=0, 0, Q8/Q6)</f>
        <v>0</v>
      </c>
      <c r="W9" s="94">
        <v>42578</v>
      </c>
      <c r="X9" s="373">
        <v>217.19</v>
      </c>
      <c r="Y9" s="40">
        <v>217.27</v>
      </c>
      <c r="Z9" s="40">
        <v>215.62</v>
      </c>
      <c r="AA9" s="373">
        <v>216.52</v>
      </c>
      <c r="AB9" s="95">
        <v>84083900</v>
      </c>
      <c r="AC9" s="247">
        <v>216.52</v>
      </c>
      <c r="AD9" s="2">
        <f t="shared" si="0"/>
        <v>1.6500000000000057</v>
      </c>
      <c r="AE9" s="138">
        <f t="shared" si="1"/>
        <v>-1.0611303344867373E-3</v>
      </c>
      <c r="AK9" s="236"/>
      <c r="AN9" s="236"/>
    </row>
    <row r="10" spans="1:40" ht="12.75" customHeight="1" x14ac:dyDescent="0.25">
      <c r="O10" s="11" t="s">
        <v>230</v>
      </c>
      <c r="Q10" s="2">
        <f>M37</f>
        <v>160.82999999999993</v>
      </c>
      <c r="W10" s="94">
        <v>42577</v>
      </c>
      <c r="X10" s="373">
        <v>216.53</v>
      </c>
      <c r="Y10" s="40">
        <v>217.17</v>
      </c>
      <c r="Z10" s="40">
        <v>215.76</v>
      </c>
      <c r="AA10" s="373">
        <v>216.75</v>
      </c>
      <c r="AB10" s="95">
        <v>70080500</v>
      </c>
      <c r="AC10" s="247">
        <v>216.75</v>
      </c>
      <c r="AD10" s="2">
        <f t="shared" si="0"/>
        <v>1.4099999999999966</v>
      </c>
      <c r="AE10" s="138">
        <f t="shared" si="1"/>
        <v>4.6157396722823485E-4</v>
      </c>
    </row>
    <row r="11" spans="1:40" x14ac:dyDescent="0.25">
      <c r="O11" s="11" t="s">
        <v>184</v>
      </c>
      <c r="Q11" s="138">
        <v>0</v>
      </c>
      <c r="W11" s="94">
        <v>42576</v>
      </c>
      <c r="X11" s="373">
        <v>217</v>
      </c>
      <c r="Y11" s="40">
        <v>217.06</v>
      </c>
      <c r="Z11" s="40">
        <v>215.97</v>
      </c>
      <c r="AA11" s="373">
        <v>216.65</v>
      </c>
      <c r="AB11" s="95">
        <v>55873100</v>
      </c>
      <c r="AC11" s="247">
        <v>216.65</v>
      </c>
      <c r="AD11" s="2">
        <f t="shared" si="0"/>
        <v>1.0900000000000034</v>
      </c>
      <c r="AE11" s="138">
        <f t="shared" si="1"/>
        <v>-2.7158902596207124E-3</v>
      </c>
      <c r="AK11" s="236"/>
      <c r="AN11" s="236"/>
    </row>
    <row r="12" spans="1:40" x14ac:dyDescent="0.25">
      <c r="W12" s="94">
        <v>42573</v>
      </c>
      <c r="X12" s="373">
        <v>216.41</v>
      </c>
      <c r="Y12" s="40">
        <v>217.3</v>
      </c>
      <c r="Z12" s="40">
        <v>216.1</v>
      </c>
      <c r="AA12" s="373">
        <v>217.24</v>
      </c>
      <c r="AB12" s="95">
        <v>62787500</v>
      </c>
      <c r="AC12" s="247">
        <v>217.24</v>
      </c>
      <c r="AD12" s="2">
        <f t="shared" si="0"/>
        <v>1.2000000000000171</v>
      </c>
      <c r="AE12" s="138">
        <f t="shared" si="1"/>
        <v>4.4851343228371476E-3</v>
      </c>
    </row>
    <row r="13" spans="1:40" x14ac:dyDescent="0.25">
      <c r="W13" s="94">
        <v>42572</v>
      </c>
      <c r="X13" s="373">
        <v>216.96</v>
      </c>
      <c r="Y13" s="40">
        <v>217.22</v>
      </c>
      <c r="Z13" s="40">
        <v>215.75</v>
      </c>
      <c r="AA13" s="373">
        <v>216.27</v>
      </c>
      <c r="AB13" s="95">
        <v>67777300</v>
      </c>
      <c r="AC13" s="247">
        <v>216.27</v>
      </c>
      <c r="AD13" s="2">
        <f t="shared" si="0"/>
        <v>1.4699999999999989</v>
      </c>
      <c r="AE13" s="138">
        <f t="shared" si="1"/>
        <v>-3.7772352480537341E-3</v>
      </c>
      <c r="AK13" s="236"/>
      <c r="AN13" s="236"/>
    </row>
    <row r="14" spans="1:40" x14ac:dyDescent="0.25">
      <c r="T14" s="84"/>
      <c r="U14" s="11"/>
      <c r="W14" s="94">
        <v>42571</v>
      </c>
      <c r="X14" s="373">
        <v>216.19</v>
      </c>
      <c r="Y14" s="40">
        <v>217.37</v>
      </c>
      <c r="Z14" s="40">
        <v>216.19</v>
      </c>
      <c r="AA14" s="373">
        <v>217.09</v>
      </c>
      <c r="AB14" s="95">
        <v>58159500</v>
      </c>
      <c r="AC14" s="247">
        <v>217.09</v>
      </c>
      <c r="AD14" s="2">
        <f t="shared" si="0"/>
        <v>1.1800000000000068</v>
      </c>
      <c r="AE14" s="138">
        <f t="shared" si="1"/>
        <v>4.1630047643277379E-3</v>
      </c>
    </row>
    <row r="15" spans="1:40" x14ac:dyDescent="0.25">
      <c r="W15" s="94">
        <v>42570</v>
      </c>
      <c r="X15" s="373">
        <v>215.92</v>
      </c>
      <c r="Y15" s="40">
        <v>216.23</v>
      </c>
      <c r="Z15" s="40">
        <v>215.63</v>
      </c>
      <c r="AA15" s="373">
        <v>216.19</v>
      </c>
      <c r="AB15" s="95">
        <v>54345700</v>
      </c>
      <c r="AC15" s="247">
        <v>216.19</v>
      </c>
      <c r="AD15" s="2">
        <f t="shared" si="0"/>
        <v>0.59999999999999432</v>
      </c>
      <c r="AE15" s="138">
        <f t="shared" si="1"/>
        <v>-1.0165888822143421E-3</v>
      </c>
      <c r="AK15" s="236"/>
      <c r="AN15" s="236"/>
    </row>
    <row r="16" spans="1:40" x14ac:dyDescent="0.25">
      <c r="W16" s="94">
        <v>42569</v>
      </c>
      <c r="X16" s="373">
        <v>215.97</v>
      </c>
      <c r="Y16" s="40">
        <v>216.6</v>
      </c>
      <c r="Z16" s="40">
        <v>215.67</v>
      </c>
      <c r="AA16" s="373">
        <v>216.41</v>
      </c>
      <c r="AB16" s="95">
        <v>58725900</v>
      </c>
      <c r="AC16" s="247">
        <v>216.41</v>
      </c>
      <c r="AD16" s="2">
        <f t="shared" si="0"/>
        <v>0.93000000000000682</v>
      </c>
      <c r="AE16" s="138">
        <f t="shared" si="1"/>
        <v>2.6873001899643256E-3</v>
      </c>
    </row>
    <row r="17" spans="1:40" x14ac:dyDescent="0.25">
      <c r="W17" s="94">
        <v>42566</v>
      </c>
      <c r="X17" s="373">
        <v>216.78</v>
      </c>
      <c r="Y17" s="40">
        <v>217.01</v>
      </c>
      <c r="Z17" s="40">
        <v>215.31</v>
      </c>
      <c r="AA17" s="373">
        <v>215.83</v>
      </c>
      <c r="AB17" s="95">
        <v>107155400</v>
      </c>
      <c r="AC17" s="247">
        <v>215.83</v>
      </c>
      <c r="AD17" s="2">
        <f t="shared" si="0"/>
        <v>1.6999999999999886</v>
      </c>
      <c r="AE17" s="138">
        <f t="shared" si="1"/>
        <v>-1.3418471219692751E-3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42565</v>
      </c>
      <c r="X18" s="373">
        <v>216.4</v>
      </c>
      <c r="Y18" s="40">
        <v>216.67</v>
      </c>
      <c r="Z18" s="40">
        <v>215.66</v>
      </c>
      <c r="AA18" s="373">
        <v>216.12</v>
      </c>
      <c r="AB18" s="95">
        <v>91230900</v>
      </c>
      <c r="AC18" s="247">
        <v>216.12</v>
      </c>
      <c r="AD18" s="2">
        <f t="shared" si="0"/>
        <v>1.0099999999999909</v>
      </c>
      <c r="AE18" s="138">
        <f t="shared" si="1"/>
        <v>5.5834729201564848E-3</v>
      </c>
    </row>
    <row r="19" spans="1:40" x14ac:dyDescent="0.25">
      <c r="W19" s="94">
        <v>42564</v>
      </c>
      <c r="X19" s="373">
        <v>215.44</v>
      </c>
      <c r="Y19" s="40">
        <v>215.45</v>
      </c>
      <c r="Z19" s="40">
        <v>214.35</v>
      </c>
      <c r="AA19" s="373">
        <v>214.92</v>
      </c>
      <c r="AB19" s="95">
        <v>87324100</v>
      </c>
      <c r="AC19" s="247">
        <v>214.92</v>
      </c>
      <c r="AD19" s="2">
        <f t="shared" si="0"/>
        <v>1.0999999999999943</v>
      </c>
      <c r="AE19" s="138">
        <f t="shared" si="1"/>
        <v>-1.3956734124220826E-4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42563</v>
      </c>
      <c r="X20" s="373">
        <v>214.53</v>
      </c>
      <c r="Y20" s="40">
        <v>215.3</v>
      </c>
      <c r="Z20" s="40">
        <v>213.43</v>
      </c>
      <c r="AA20" s="373">
        <v>214.95</v>
      </c>
      <c r="AB20" s="95">
        <v>101275600</v>
      </c>
      <c r="AC20" s="247">
        <v>214.95</v>
      </c>
      <c r="AD20" s="2">
        <f t="shared" si="0"/>
        <v>1.8700000000000045</v>
      </c>
      <c r="AE20" s="138">
        <f t="shared" si="1"/>
        <v>7.2633552014993441E-3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42562</v>
      </c>
      <c r="X21" s="373">
        <v>213.19</v>
      </c>
      <c r="Y21" s="40">
        <v>214.07</v>
      </c>
      <c r="Z21" s="40">
        <v>212.95</v>
      </c>
      <c r="AA21" s="373">
        <v>213.4</v>
      </c>
      <c r="AB21" s="95">
        <v>73633900</v>
      </c>
      <c r="AC21" s="247">
        <v>213.4</v>
      </c>
      <c r="AD21" s="2">
        <f t="shared" si="0"/>
        <v>1.1200000000000045</v>
      </c>
      <c r="AE21" s="138">
        <f t="shared" si="1"/>
        <v>3.5269221725839905E-3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42559</v>
      </c>
      <c r="X22" s="373">
        <v>211.05</v>
      </c>
      <c r="Y22" s="40">
        <v>212.94</v>
      </c>
      <c r="Z22" s="40">
        <v>210.78</v>
      </c>
      <c r="AA22" s="373">
        <v>212.65</v>
      </c>
      <c r="AB22" s="95">
        <v>133971000</v>
      </c>
      <c r="AC22" s="247">
        <v>212.65</v>
      </c>
      <c r="AD22" s="2">
        <f t="shared" si="0"/>
        <v>2.1599999999999966</v>
      </c>
      <c r="AE22" s="138">
        <f t="shared" si="1"/>
        <v>1.4890469145229845E-2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42558</v>
      </c>
      <c r="X23" s="373">
        <v>209.87</v>
      </c>
      <c r="Y23" s="40">
        <v>210.65</v>
      </c>
      <c r="Z23" s="40">
        <v>208.63</v>
      </c>
      <c r="AA23" s="373">
        <v>209.53</v>
      </c>
      <c r="AB23" s="95">
        <v>85593800</v>
      </c>
      <c r="AC23" s="247">
        <v>209.53</v>
      </c>
      <c r="AD23" s="2">
        <f t="shared" si="0"/>
        <v>2.0200000000000102</v>
      </c>
      <c r="AE23" s="138">
        <f t="shared" si="1"/>
        <v>-6.2005151197175312E-4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42557</v>
      </c>
      <c r="X24" s="373">
        <v>207.83</v>
      </c>
      <c r="Y24" s="40">
        <v>209.8</v>
      </c>
      <c r="Z24" s="40">
        <v>207.06</v>
      </c>
      <c r="AA24" s="373">
        <v>209.66</v>
      </c>
      <c r="AB24" s="95">
        <v>96021500</v>
      </c>
      <c r="AC24" s="247">
        <v>209.66</v>
      </c>
      <c r="AD24" s="2">
        <f t="shared" si="0"/>
        <v>2.7400000000000091</v>
      </c>
      <c r="AE24" s="138">
        <f t="shared" si="1"/>
        <v>5.9977928122449953E-3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42556</v>
      </c>
      <c r="X25" s="373">
        <v>208.95</v>
      </c>
      <c r="Y25" s="40">
        <v>209.08</v>
      </c>
      <c r="Z25" s="40">
        <v>207.71</v>
      </c>
      <c r="AA25" s="373">
        <v>208.41</v>
      </c>
      <c r="AB25" s="95">
        <v>109803700</v>
      </c>
      <c r="AC25" s="247">
        <v>208.41</v>
      </c>
      <c r="AD25" s="2">
        <f t="shared" si="0"/>
        <v>1.3700000000000045</v>
      </c>
      <c r="AE25" s="138">
        <f t="shared" si="1"/>
        <v>-7.1932164634146423E-3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42552</v>
      </c>
      <c r="X26" s="373">
        <v>209.48</v>
      </c>
      <c r="Y26" s="40">
        <v>210.49</v>
      </c>
      <c r="Z26" s="40">
        <v>209.29</v>
      </c>
      <c r="AA26" s="373">
        <v>209.92</v>
      </c>
      <c r="AB26" s="95">
        <v>106055300</v>
      </c>
      <c r="AC26" s="247">
        <v>209.92</v>
      </c>
      <c r="AD26" s="2">
        <f t="shared" si="0"/>
        <v>1.2000000000000171</v>
      </c>
      <c r="AE26" s="138">
        <f t="shared" si="1"/>
        <v>2.1004391827381674E-3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42551</v>
      </c>
      <c r="X27" s="373">
        <v>207.21</v>
      </c>
      <c r="Y27" s="40">
        <v>209.54</v>
      </c>
      <c r="Z27" s="40">
        <v>206.56</v>
      </c>
      <c r="AA27" s="373">
        <v>209.48</v>
      </c>
      <c r="AB27" s="95">
        <v>165021900</v>
      </c>
      <c r="AC27" s="247">
        <v>209.48</v>
      </c>
      <c r="AD27" s="2">
        <f t="shared" si="0"/>
        <v>2.9799999999999898</v>
      </c>
      <c r="AE27" s="138">
        <f t="shared" si="1"/>
        <v>1.3645601471015123E-2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42550</v>
      </c>
      <c r="X28" s="373">
        <v>204.84</v>
      </c>
      <c r="Y28" s="40">
        <v>206.93</v>
      </c>
      <c r="Z28" s="40">
        <v>204.72</v>
      </c>
      <c r="AA28" s="373">
        <v>206.66</v>
      </c>
      <c r="AB28" s="95">
        <v>137328600</v>
      </c>
      <c r="AC28" s="247">
        <v>206.66</v>
      </c>
      <c r="AD28" s="2">
        <f t="shared" si="0"/>
        <v>2.210000000000008</v>
      </c>
      <c r="AE28" s="138">
        <f t="shared" si="1"/>
        <v>1.7027559055118102E-2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42549</v>
      </c>
      <c r="X29" s="373">
        <v>201.48</v>
      </c>
      <c r="Y29" s="40">
        <v>203.23</v>
      </c>
      <c r="Z29" s="40">
        <v>201.12</v>
      </c>
      <c r="AA29" s="373">
        <v>203.2</v>
      </c>
      <c r="AB29" s="95">
        <v>159382400</v>
      </c>
      <c r="AC29" s="247">
        <v>203.2</v>
      </c>
      <c r="AD29" s="2">
        <f t="shared" si="0"/>
        <v>2.1099999999999852</v>
      </c>
      <c r="AE29" s="138">
        <f t="shared" si="1"/>
        <v>1.8036072144288484E-2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42548</v>
      </c>
      <c r="X30" s="373">
        <v>201.59</v>
      </c>
      <c r="Y30" s="40">
        <v>201.6</v>
      </c>
      <c r="Z30" s="40">
        <v>198.65</v>
      </c>
      <c r="AA30" s="373">
        <v>199.6</v>
      </c>
      <c r="AB30" s="95">
        <v>230775800</v>
      </c>
      <c r="AC30" s="247">
        <v>199.6</v>
      </c>
      <c r="AD30" s="2">
        <f t="shared" si="0"/>
        <v>2.9499999999999886</v>
      </c>
      <c r="AE30" s="138">
        <f t="shared" si="1"/>
        <v>-1.790986026372765E-2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42545</v>
      </c>
      <c r="X31" s="373">
        <v>203.63</v>
      </c>
      <c r="Y31" s="40">
        <v>210.85</v>
      </c>
      <c r="Z31" s="40">
        <v>202.72</v>
      </c>
      <c r="AA31" s="373">
        <v>203.24</v>
      </c>
      <c r="AB31" s="95">
        <v>333444400</v>
      </c>
      <c r="AC31" s="247">
        <v>203.24</v>
      </c>
      <c r="AD31" s="2">
        <f t="shared" si="0"/>
        <v>8.1299999999999955</v>
      </c>
      <c r="AE31" s="138">
        <f t="shared" si="1"/>
        <v>-3.5909112470945415E-2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42544</v>
      </c>
      <c r="X32" s="373">
        <v>209.81</v>
      </c>
      <c r="Y32" s="40">
        <v>210.87</v>
      </c>
      <c r="Z32" s="40">
        <v>209.27</v>
      </c>
      <c r="AA32" s="373">
        <v>210.81</v>
      </c>
      <c r="AB32" s="95">
        <v>102731400</v>
      </c>
      <c r="AC32" s="247">
        <v>210.81</v>
      </c>
      <c r="AD32" s="2">
        <f t="shared" si="0"/>
        <v>1.5999999999999943</v>
      </c>
      <c r="AE32" s="138">
        <f t="shared" si="1"/>
        <v>1.302258529553102E-2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42543</v>
      </c>
      <c r="X33" s="373">
        <v>208.65</v>
      </c>
      <c r="Y33" s="40">
        <v>209.5</v>
      </c>
      <c r="Z33" s="40">
        <v>207.93</v>
      </c>
      <c r="AA33" s="373">
        <v>208.1</v>
      </c>
      <c r="AB33" s="95">
        <v>95560500</v>
      </c>
      <c r="AC33" s="247">
        <v>208.1</v>
      </c>
      <c r="AD33" s="2">
        <f t="shared" si="0"/>
        <v>1.5699999999999932</v>
      </c>
      <c r="AE33" s="138">
        <f t="shared" si="1"/>
        <v>-1.6311648436000414E-3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42542</v>
      </c>
      <c r="X34" s="373">
        <v>208.3</v>
      </c>
      <c r="Y34" s="40">
        <v>208.92</v>
      </c>
      <c r="Z34" s="40">
        <v>207.78</v>
      </c>
      <c r="AA34" s="373">
        <v>208.44</v>
      </c>
      <c r="AB34" s="95">
        <v>72461700</v>
      </c>
      <c r="AC34" s="247">
        <v>208.44</v>
      </c>
      <c r="AD34" s="2">
        <f t="shared" si="0"/>
        <v>1.1399999999999864</v>
      </c>
      <c r="AE34" s="138">
        <f t="shared" si="1"/>
        <v>2.8385855184027697E-3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42541</v>
      </c>
      <c r="X35" s="373">
        <v>208.82</v>
      </c>
      <c r="Y35" s="40">
        <v>209.61</v>
      </c>
      <c r="Z35" s="40">
        <v>207.75</v>
      </c>
      <c r="AA35" s="373">
        <v>207.85</v>
      </c>
      <c r="AB35" s="95">
        <v>82789600</v>
      </c>
      <c r="AC35" s="247">
        <v>207.85</v>
      </c>
      <c r="AD35" s="2">
        <f t="shared" si="0"/>
        <v>1.8600000000000136</v>
      </c>
      <c r="AE35" s="138">
        <f t="shared" si="1"/>
        <v>6.4400542320355303E-3</v>
      </c>
    </row>
    <row r="36" spans="1:31" x14ac:dyDescent="0.25">
      <c r="W36" s="94">
        <v>42538</v>
      </c>
      <c r="X36" s="373">
        <v>207.17</v>
      </c>
      <c r="Y36" s="40">
        <v>207.2</v>
      </c>
      <c r="Z36" s="40">
        <v>205.75</v>
      </c>
      <c r="AA36" s="373">
        <v>206.52</v>
      </c>
      <c r="AB36" s="95">
        <v>117055700</v>
      </c>
      <c r="AC36" s="247">
        <v>206.52</v>
      </c>
      <c r="AD36" s="2">
        <f t="shared" si="0"/>
        <v>1.4499999999999886</v>
      </c>
      <c r="AE36" s="138" t="e">
        <f t="shared" si="1"/>
        <v>#DIV/0!</v>
      </c>
    </row>
    <row r="37" spans="1:31" x14ac:dyDescent="0.25">
      <c r="L37" t="s">
        <v>230</v>
      </c>
      <c r="M37" s="2">
        <f>M55+K55-F55</f>
        <v>160.82999999999993</v>
      </c>
      <c r="W37" s="94">
        <v>42538</v>
      </c>
      <c r="X37" s="373" t="s">
        <v>262</v>
      </c>
      <c r="Y37" s="40"/>
      <c r="Z37" s="40"/>
      <c r="AA37" s="373"/>
      <c r="AB37" s="95"/>
      <c r="AC37" s="247"/>
      <c r="AD37" s="2">
        <f t="shared" si="0"/>
        <v>0</v>
      </c>
      <c r="AE37" s="138">
        <f t="shared" si="1"/>
        <v>-1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42537</v>
      </c>
      <c r="X38" s="373">
        <v>207.75</v>
      </c>
      <c r="Y38" s="40">
        <v>208.57</v>
      </c>
      <c r="Z38" s="40">
        <v>205.59</v>
      </c>
      <c r="AA38" s="373">
        <v>208.37</v>
      </c>
      <c r="AB38" s="95">
        <v>149533100</v>
      </c>
      <c r="AC38" s="247">
        <v>207.29</v>
      </c>
      <c r="AD38" s="2">
        <f t="shared" si="0"/>
        <v>2.9799999999999898</v>
      </c>
      <c r="AE38" s="138">
        <f t="shared" si="1"/>
        <v>2.9514224888715912E-3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525" t="s">
        <v>78</v>
      </c>
      <c r="Q39" s="525"/>
      <c r="R39" s="34"/>
      <c r="T39" s="91" t="s">
        <v>113</v>
      </c>
      <c r="W39" s="94">
        <v>42536</v>
      </c>
      <c r="X39" s="373">
        <v>208.04</v>
      </c>
      <c r="Y39" s="40">
        <v>209.36</v>
      </c>
      <c r="Z39" s="40">
        <v>207.53</v>
      </c>
      <c r="AA39" s="373">
        <v>207.75</v>
      </c>
      <c r="AB39" s="95">
        <v>109124500</v>
      </c>
      <c r="AC39" s="247">
        <v>206.68</v>
      </c>
      <c r="AD39" s="2">
        <f t="shared" si="0"/>
        <v>1.8300000000000125</v>
      </c>
      <c r="AE39" s="138">
        <f t="shared" si="1"/>
        <v>-1.3529184383456183E-3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239.85500000000002</v>
      </c>
      <c r="R40" s="34"/>
      <c r="T40" s="97" t="s">
        <v>98</v>
      </c>
      <c r="U40" s="129">
        <v>216.41</v>
      </c>
      <c r="W40" s="94">
        <v>42535</v>
      </c>
      <c r="X40" s="373">
        <v>208</v>
      </c>
      <c r="Y40" s="40">
        <v>208.74</v>
      </c>
      <c r="Z40" s="40">
        <v>206.92</v>
      </c>
      <c r="AA40" s="373">
        <v>208.04</v>
      </c>
      <c r="AB40" s="95">
        <v>125059300</v>
      </c>
      <c r="AC40" s="247">
        <v>206.96</v>
      </c>
      <c r="AD40" s="2">
        <f t="shared" si="0"/>
        <v>1.8200000000000216</v>
      </c>
      <c r="AE40" s="138">
        <f t="shared" si="1"/>
        <v>-1.9771423060230831E-3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237.67450000000002</v>
      </c>
      <c r="R41" s="34"/>
      <c r="T41" s="87" t="s">
        <v>99</v>
      </c>
      <c r="U41" s="130">
        <v>217.21</v>
      </c>
      <c r="W41" s="94">
        <v>42534</v>
      </c>
      <c r="X41" s="373">
        <v>209.36</v>
      </c>
      <c r="Y41" s="40">
        <v>210.37</v>
      </c>
      <c r="Z41" s="40">
        <v>208.35</v>
      </c>
      <c r="AA41" s="373">
        <v>208.45</v>
      </c>
      <c r="AB41" s="95">
        <v>117751200</v>
      </c>
      <c r="AC41" s="247">
        <v>207.37</v>
      </c>
      <c r="AD41" s="2">
        <f t="shared" si="0"/>
        <v>2.0200000000000102</v>
      </c>
      <c r="AE41" s="138">
        <f t="shared" si="1"/>
        <v>-7.7040865154559546E-3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235.49400000000003</v>
      </c>
      <c r="R42" s="34"/>
      <c r="T42" s="87" t="s">
        <v>100</v>
      </c>
      <c r="U42" s="130" t="s">
        <v>525</v>
      </c>
      <c r="W42" s="94">
        <v>42531</v>
      </c>
      <c r="X42" s="373">
        <v>210.46</v>
      </c>
      <c r="Y42" s="40">
        <v>210.86</v>
      </c>
      <c r="Z42" s="40">
        <v>209.43</v>
      </c>
      <c r="AA42" s="373">
        <v>210.07</v>
      </c>
      <c r="AB42" s="95">
        <v>113829200</v>
      </c>
      <c r="AC42" s="247">
        <v>208.98</v>
      </c>
      <c r="AD42" s="2">
        <f t="shared" si="0"/>
        <v>1.4300000000000068</v>
      </c>
      <c r="AE42" s="138">
        <f t="shared" si="1"/>
        <v>-9.4795715233670919E-3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233.31350000000003</v>
      </c>
      <c r="R43" s="83"/>
      <c r="T43" s="87" t="s">
        <v>101</v>
      </c>
      <c r="U43" s="130" t="s">
        <v>526</v>
      </c>
      <c r="W43" s="94">
        <v>42530</v>
      </c>
      <c r="X43" s="373">
        <v>211.51</v>
      </c>
      <c r="Y43" s="40">
        <v>212.22</v>
      </c>
      <c r="Z43" s="40">
        <v>211.19</v>
      </c>
      <c r="AA43" s="373">
        <v>212.08</v>
      </c>
      <c r="AB43" s="95">
        <v>73786900</v>
      </c>
      <c r="AC43" s="247">
        <v>210.98</v>
      </c>
      <c r="AD43" s="2">
        <f t="shared" si="0"/>
        <v>1.0300000000000011</v>
      </c>
      <c r="AE43" s="138">
        <f t="shared" si="1"/>
        <v>-1.3726511099542149E-3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231.13300000000001</v>
      </c>
      <c r="R44" s="83"/>
      <c r="T44" s="87" t="s">
        <v>251</v>
      </c>
      <c r="U44" s="130">
        <v>216.36</v>
      </c>
      <c r="W44" s="94">
        <v>42529</v>
      </c>
      <c r="X44" s="373">
        <v>211.84</v>
      </c>
      <c r="Y44" s="40">
        <v>212.52</v>
      </c>
      <c r="Z44" s="40">
        <v>211.69</v>
      </c>
      <c r="AA44" s="373">
        <v>212.37</v>
      </c>
      <c r="AB44" s="95">
        <v>66170900</v>
      </c>
      <c r="AC44" s="247">
        <v>211.27</v>
      </c>
      <c r="AD44" s="2">
        <f t="shared" si="0"/>
        <v>0.83000000000001251</v>
      </c>
      <c r="AE44" s="138">
        <f t="shared" si="1"/>
        <v>3.2766644505650699E-3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228.95250000000001</v>
      </c>
      <c r="R45" s="83"/>
      <c r="T45" s="87" t="s">
        <v>252</v>
      </c>
      <c r="U45" s="130" t="s">
        <v>527</v>
      </c>
      <c r="W45" s="94">
        <v>42528</v>
      </c>
      <c r="X45" s="373">
        <v>211.53</v>
      </c>
      <c r="Y45" s="40">
        <v>212.34</v>
      </c>
      <c r="Z45" s="40">
        <v>211.5</v>
      </c>
      <c r="AA45" s="373">
        <v>211.68</v>
      </c>
      <c r="AB45" s="95">
        <v>60974800</v>
      </c>
      <c r="AC45" s="247">
        <v>210.58</v>
      </c>
      <c r="AD45" s="2">
        <f t="shared" si="0"/>
        <v>0.84000000000000341</v>
      </c>
      <c r="AE45" s="138">
        <f t="shared" si="1"/>
        <v>1.5219252354228274E-3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226.77200000000002</v>
      </c>
      <c r="R46" s="83"/>
      <c r="T46" s="87" t="s">
        <v>253</v>
      </c>
      <c r="U46" s="234">
        <v>7.6100000000000001E-2</v>
      </c>
      <c r="W46" s="94">
        <v>42527</v>
      </c>
      <c r="X46" s="373">
        <v>210.7</v>
      </c>
      <c r="Y46" s="40">
        <v>211.77</v>
      </c>
      <c r="Z46" s="40">
        <v>210.51</v>
      </c>
      <c r="AA46" s="373">
        <v>211.35</v>
      </c>
      <c r="AB46" s="95">
        <v>64887000</v>
      </c>
      <c r="AC46" s="247">
        <v>210.26</v>
      </c>
      <c r="AD46" s="2">
        <f t="shared" si="0"/>
        <v>1.2600000000000193</v>
      </c>
      <c r="AE46" s="138">
        <f t="shared" si="1"/>
        <v>5.1149672546488834E-3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224.59150000000002</v>
      </c>
      <c r="R47" s="83"/>
      <c r="T47" s="87"/>
      <c r="U47" s="130"/>
      <c r="W47" s="94">
        <v>42524</v>
      </c>
      <c r="X47" s="373">
        <v>210.25</v>
      </c>
      <c r="Y47" s="40">
        <v>210.69</v>
      </c>
      <c r="Z47" s="40">
        <v>208.86</v>
      </c>
      <c r="AA47" s="373">
        <v>210.28</v>
      </c>
      <c r="AB47" s="95">
        <v>101757100</v>
      </c>
      <c r="AC47" s="247">
        <v>209.19</v>
      </c>
      <c r="AD47" s="2">
        <f t="shared" si="0"/>
        <v>1.8299999999999841</v>
      </c>
      <c r="AE47" s="138">
        <f t="shared" si="1"/>
        <v>-3.0025736345439258E-3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222.411</v>
      </c>
      <c r="R48" s="83"/>
      <c r="T48" s="87" t="s">
        <v>105</v>
      </c>
      <c r="U48" s="130" t="s">
        <v>528</v>
      </c>
      <c r="W48" s="94">
        <v>42523</v>
      </c>
      <c r="X48" s="373">
        <v>209.8</v>
      </c>
      <c r="Y48" s="40">
        <v>210.93</v>
      </c>
      <c r="Z48" s="40">
        <v>209.24</v>
      </c>
      <c r="AA48" s="373">
        <v>210.91</v>
      </c>
      <c r="AB48" s="95">
        <v>63044700</v>
      </c>
      <c r="AC48" s="247">
        <v>209.82</v>
      </c>
      <c r="AD48" s="2">
        <f t="shared" si="0"/>
        <v>1.6899999999999977</v>
      </c>
      <c r="AE48" s="138">
        <f t="shared" si="1"/>
        <v>3.0595659240844064E-3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220.23050000000001</v>
      </c>
      <c r="R49" s="83"/>
      <c r="T49" s="87" t="s">
        <v>106</v>
      </c>
      <c r="U49" s="130" t="s">
        <v>529</v>
      </c>
      <c r="W49" s="94">
        <v>42522</v>
      </c>
      <c r="X49" s="373">
        <v>209.12</v>
      </c>
      <c r="Y49" s="40">
        <v>210.48</v>
      </c>
      <c r="Z49" s="40">
        <v>208.89</v>
      </c>
      <c r="AA49" s="373">
        <v>210.27</v>
      </c>
      <c r="AB49" s="95">
        <v>69936200</v>
      </c>
      <c r="AC49" s="247">
        <v>209.18</v>
      </c>
      <c r="AD49" s="2">
        <f t="shared" si="0"/>
        <v>1.5900000000000034</v>
      </c>
      <c r="AE49" s="138">
        <f t="shared" si="1"/>
        <v>2.0598802395210836E-3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218.05</v>
      </c>
      <c r="R50" s="83"/>
      <c r="T50" s="87" t="s">
        <v>107</v>
      </c>
      <c r="U50" s="131">
        <v>71892161</v>
      </c>
      <c r="W50" s="94">
        <v>42521</v>
      </c>
      <c r="X50" s="373">
        <v>210.56</v>
      </c>
      <c r="Y50" s="40">
        <v>210.69</v>
      </c>
      <c r="Z50" s="40">
        <v>209.18</v>
      </c>
      <c r="AA50" s="373">
        <v>209.84</v>
      </c>
      <c r="AB50" s="95">
        <v>109879400</v>
      </c>
      <c r="AC50" s="247">
        <v>208.75</v>
      </c>
      <c r="AD50" s="2">
        <f t="shared" si="0"/>
        <v>1.5099999999999909</v>
      </c>
      <c r="AE50" s="138">
        <f t="shared" si="1"/>
        <v>-1.9125029882859357E-3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215.86950000000002</v>
      </c>
      <c r="R51" s="83"/>
      <c r="T51" s="87" t="s">
        <v>110</v>
      </c>
      <c r="U51" s="131">
        <v>95312500</v>
      </c>
      <c r="W51" s="94">
        <v>42517</v>
      </c>
      <c r="X51" s="373">
        <v>209.53</v>
      </c>
      <c r="Y51" s="40">
        <v>210.25</v>
      </c>
      <c r="Z51" s="40">
        <v>209.47</v>
      </c>
      <c r="AA51" s="373">
        <v>210.24</v>
      </c>
      <c r="AB51" s="95">
        <v>64211200</v>
      </c>
      <c r="AC51" s="247">
        <v>209.15</v>
      </c>
      <c r="AD51" s="2">
        <f t="shared" si="0"/>
        <v>0.78000000000000114</v>
      </c>
      <c r="AE51" s="138">
        <f t="shared" si="1"/>
        <v>4.2735042735042583E-3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213.68900000000002</v>
      </c>
      <c r="R52" s="83"/>
      <c r="T52" s="87" t="s">
        <v>254</v>
      </c>
      <c r="U52" s="130">
        <v>18</v>
      </c>
      <c r="W52" s="94">
        <v>42516</v>
      </c>
      <c r="X52" s="373">
        <v>209.44</v>
      </c>
      <c r="Y52" s="40">
        <v>209.71</v>
      </c>
      <c r="Z52" s="40">
        <v>208.97</v>
      </c>
      <c r="AA52" s="373">
        <v>209.34</v>
      </c>
      <c r="AB52" s="95">
        <v>55280700</v>
      </c>
      <c r="AC52" s="247">
        <v>208.26</v>
      </c>
      <c r="AD52" s="2">
        <f t="shared" si="0"/>
        <v>0.74000000000000909</v>
      </c>
      <c r="AE52" s="138">
        <f t="shared" si="1"/>
        <v>2.881844380404619E-4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211.5085</v>
      </c>
      <c r="R53" s="83"/>
      <c r="T53" s="87" t="s">
        <v>255</v>
      </c>
      <c r="U53" s="130">
        <v>2.0099999999999998</v>
      </c>
      <c r="W53" s="94">
        <v>42515</v>
      </c>
      <c r="X53" s="373">
        <v>208.67</v>
      </c>
      <c r="Y53" s="40">
        <v>209.77</v>
      </c>
      <c r="Z53" s="40">
        <v>207.87</v>
      </c>
      <c r="AA53" s="373">
        <v>209.28</v>
      </c>
      <c r="AB53" s="95">
        <v>76621400</v>
      </c>
      <c r="AC53" s="247">
        <v>208.2</v>
      </c>
      <c r="AD53" s="2">
        <f t="shared" si="0"/>
        <v>1.9000000000000057</v>
      </c>
      <c r="AE53" s="138">
        <f t="shared" si="1"/>
        <v>6.8185115334395974E-3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209.328</v>
      </c>
      <c r="R54" s="83"/>
      <c r="T54" s="87"/>
      <c r="U54" s="130"/>
      <c r="W54" s="94">
        <v>42514</v>
      </c>
      <c r="X54" s="373">
        <v>206.17</v>
      </c>
      <c r="Y54" s="40">
        <v>208.24</v>
      </c>
      <c r="Z54" s="40">
        <v>206.14</v>
      </c>
      <c r="AA54" s="373">
        <v>207.87</v>
      </c>
      <c r="AB54" s="95">
        <v>93537800</v>
      </c>
      <c r="AC54" s="247">
        <v>206.79</v>
      </c>
      <c r="AD54" s="2">
        <f t="shared" si="0"/>
        <v>2.1000000000000227</v>
      </c>
      <c r="AE54" s="138">
        <f t="shared" si="1"/>
        <v>1.2931667891256327E-2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207.14750000000001</v>
      </c>
      <c r="R55" s="83"/>
      <c r="T55" s="87"/>
      <c r="U55" s="130"/>
      <c r="W55" s="94">
        <v>42513</v>
      </c>
      <c r="X55" s="373">
        <v>205.51</v>
      </c>
      <c r="Y55" s="40">
        <v>205.84</v>
      </c>
      <c r="Z55" s="40">
        <v>204.99</v>
      </c>
      <c r="AA55" s="373">
        <v>205.21</v>
      </c>
      <c r="AB55" s="95">
        <v>58682600</v>
      </c>
      <c r="AC55" s="247">
        <v>204.15</v>
      </c>
      <c r="AD55" s="2">
        <f t="shared" si="0"/>
        <v>0.84999999999999432</v>
      </c>
      <c r="AE55" s="138">
        <f t="shared" si="1"/>
        <v>-1.3696619869881799E-3</v>
      </c>
    </row>
    <row r="56" spans="1:31" x14ac:dyDescent="0.25">
      <c r="O56" s="2"/>
      <c r="P56" s="83">
        <v>0.94</v>
      </c>
      <c r="Q56" s="83">
        <f t="shared" si="5"/>
        <v>204.96700000000001</v>
      </c>
      <c r="R56" s="83"/>
      <c r="W56" s="94">
        <v>42510</v>
      </c>
      <c r="X56" s="373">
        <v>204.92</v>
      </c>
      <c r="Y56" s="40">
        <v>206.1</v>
      </c>
      <c r="Z56" s="40">
        <v>204.86</v>
      </c>
      <c r="AA56" s="373">
        <v>205.49</v>
      </c>
      <c r="AB56" s="95">
        <v>104990400</v>
      </c>
      <c r="AC56" s="247">
        <v>204.43</v>
      </c>
      <c r="AD56" s="2">
        <f t="shared" si="0"/>
        <v>1.2399999999999807</v>
      </c>
      <c r="AE56" s="138">
        <f t="shared" si="1"/>
        <v>6.3503002855174184E-3</v>
      </c>
    </row>
    <row r="57" spans="1:31" x14ac:dyDescent="0.25">
      <c r="O57" s="2"/>
      <c r="P57" s="83">
        <v>0.93</v>
      </c>
      <c r="Q57" s="83">
        <f t="shared" si="5"/>
        <v>202.78650000000002</v>
      </c>
      <c r="R57" s="83"/>
      <c r="W57" s="94">
        <v>42509</v>
      </c>
      <c r="X57" s="373">
        <v>204.06</v>
      </c>
      <c r="Y57" s="40">
        <v>204.54</v>
      </c>
      <c r="Z57" s="40">
        <v>202.78</v>
      </c>
      <c r="AA57" s="373">
        <v>204.2</v>
      </c>
      <c r="AB57" s="95">
        <v>115430500</v>
      </c>
      <c r="AC57" s="247">
        <v>203.14</v>
      </c>
      <c r="AD57" s="2">
        <f t="shared" si="0"/>
        <v>1.7599999999999909</v>
      </c>
      <c r="AE57" s="138">
        <f t="shared" si="1"/>
        <v>-3.4829531518273393E-3</v>
      </c>
    </row>
    <row r="58" spans="1:31" x14ac:dyDescent="0.25">
      <c r="O58" s="2"/>
      <c r="P58" s="83">
        <v>0.92</v>
      </c>
      <c r="Q58" s="83">
        <f t="shared" si="5"/>
        <v>200.60600000000002</v>
      </c>
      <c r="R58" s="83"/>
      <c r="W58" s="94">
        <v>42508</v>
      </c>
      <c r="X58" s="373">
        <v>204.44</v>
      </c>
      <c r="Y58" s="40">
        <v>206.3</v>
      </c>
      <c r="Z58" s="40">
        <v>203.63</v>
      </c>
      <c r="AA58" s="373">
        <v>204.91</v>
      </c>
      <c r="AB58" s="95">
        <v>123493400</v>
      </c>
      <c r="AC58" s="247">
        <v>203.85</v>
      </c>
      <c r="AD58" s="2">
        <f t="shared" si="0"/>
        <v>2.6700000000000159</v>
      </c>
      <c r="AE58" s="138">
        <f t="shared" si="1"/>
        <v>2.9442072721930224E-4</v>
      </c>
    </row>
    <row r="59" spans="1:31" x14ac:dyDescent="0.25">
      <c r="O59" s="2"/>
      <c r="P59" s="83">
        <v>0.91</v>
      </c>
      <c r="Q59" s="83">
        <f t="shared" si="5"/>
        <v>198.42550000000003</v>
      </c>
      <c r="R59" s="83"/>
      <c r="W59" s="94">
        <v>42507</v>
      </c>
      <c r="X59" s="373">
        <v>206.46</v>
      </c>
      <c r="Y59" s="40">
        <v>206.8</v>
      </c>
      <c r="Z59" s="40">
        <v>204.23</v>
      </c>
      <c r="AA59" s="373">
        <v>204.85</v>
      </c>
      <c r="AB59" s="95">
        <v>114924900</v>
      </c>
      <c r="AC59" s="247">
        <v>203.79</v>
      </c>
      <c r="AD59" s="2">
        <f t="shared" si="0"/>
        <v>2.5700000000000216</v>
      </c>
      <c r="AE59" s="138">
        <f t="shared" si="1"/>
        <v>-9.333527781828832E-3</v>
      </c>
    </row>
    <row r="60" spans="1:31" x14ac:dyDescent="0.25">
      <c r="O60" s="2"/>
      <c r="P60" s="83">
        <v>0.9</v>
      </c>
      <c r="Q60" s="83">
        <f t="shared" si="5"/>
        <v>196.245</v>
      </c>
      <c r="R60" s="83"/>
      <c r="W60" s="94">
        <v>42506</v>
      </c>
      <c r="X60" s="373">
        <v>204.96</v>
      </c>
      <c r="Y60" s="40">
        <v>207.34</v>
      </c>
      <c r="Z60" s="40">
        <v>204.89</v>
      </c>
      <c r="AA60" s="373">
        <v>206.78</v>
      </c>
      <c r="AB60" s="95">
        <v>77486800</v>
      </c>
      <c r="AC60" s="247">
        <v>205.71</v>
      </c>
      <c r="AD60" s="2">
        <f t="shared" si="0"/>
        <v>2.4500000000000171</v>
      </c>
      <c r="AE60" s="138">
        <f t="shared" si="1"/>
        <v>9.8674521354935596E-3</v>
      </c>
    </row>
    <row r="61" spans="1:31" x14ac:dyDescent="0.25">
      <c r="W61" s="94">
        <v>42503</v>
      </c>
      <c r="X61" s="373">
        <v>206.21</v>
      </c>
      <c r="Y61" s="40">
        <v>206.86</v>
      </c>
      <c r="Z61" s="40">
        <v>204.38</v>
      </c>
      <c r="AA61" s="373">
        <v>204.76</v>
      </c>
      <c r="AB61" s="95">
        <v>96474600</v>
      </c>
      <c r="AC61" s="247">
        <v>203.7</v>
      </c>
      <c r="AD61" s="2">
        <f t="shared" si="0"/>
        <v>2.4800000000000182</v>
      </c>
      <c r="AE61" s="138">
        <f t="shared" si="1"/>
        <v>-8.7108861745097688E-3</v>
      </c>
    </row>
    <row r="62" spans="1:31" x14ac:dyDescent="0.25">
      <c r="W62" s="94">
        <v>42502</v>
      </c>
      <c r="X62" s="373">
        <v>207.29</v>
      </c>
      <c r="Y62" s="40">
        <v>207.49</v>
      </c>
      <c r="Z62" s="40">
        <v>205.37</v>
      </c>
      <c r="AA62" s="373">
        <v>206.56</v>
      </c>
      <c r="AB62" s="95">
        <v>89586300</v>
      </c>
      <c r="AC62" s="247">
        <v>205.49</v>
      </c>
      <c r="AD62" s="2">
        <f t="shared" si="0"/>
        <v>2.1200000000000045</v>
      </c>
      <c r="AE62" s="138">
        <f t="shared" si="1"/>
        <v>2.9207029158362374E-4</v>
      </c>
    </row>
    <row r="63" spans="1:31" x14ac:dyDescent="0.25">
      <c r="W63" s="94">
        <v>42501</v>
      </c>
      <c r="X63" s="373">
        <v>207.91</v>
      </c>
      <c r="Y63" s="40">
        <v>208.54</v>
      </c>
      <c r="Z63" s="40">
        <v>206.5</v>
      </c>
      <c r="AA63" s="373">
        <v>206.5</v>
      </c>
      <c r="AB63" s="95">
        <v>81727000</v>
      </c>
      <c r="AC63" s="247">
        <v>205.43</v>
      </c>
      <c r="AD63" s="2">
        <f t="shared" si="0"/>
        <v>2.039999999999992</v>
      </c>
      <c r="AE63" s="138">
        <f t="shared" si="1"/>
        <v>-9.3552587163041601E-3</v>
      </c>
    </row>
    <row r="64" spans="1:31" x14ac:dyDescent="0.25">
      <c r="W64" s="94">
        <v>42500</v>
      </c>
      <c r="X64" s="373">
        <v>206.72</v>
      </c>
      <c r="Y64" s="40">
        <v>208.47</v>
      </c>
      <c r="Z64" s="40">
        <v>206.64</v>
      </c>
      <c r="AA64" s="373">
        <v>208.45</v>
      </c>
      <c r="AB64" s="95">
        <v>77472200</v>
      </c>
      <c r="AC64" s="247">
        <v>207.37</v>
      </c>
      <c r="AD64" s="2">
        <f t="shared" si="0"/>
        <v>1.8300000000000125</v>
      </c>
      <c r="AE64" s="138">
        <f t="shared" si="1"/>
        <v>1.2449956058978584E-2</v>
      </c>
    </row>
    <row r="65" spans="23:31" x14ac:dyDescent="0.25">
      <c r="W65" s="94">
        <v>42499</v>
      </c>
      <c r="X65" s="373">
        <v>205.57</v>
      </c>
      <c r="Y65" s="40">
        <v>206.4</v>
      </c>
      <c r="Z65" s="40">
        <v>205.36</v>
      </c>
      <c r="AA65" s="373">
        <v>205.89</v>
      </c>
      <c r="AB65" s="95">
        <v>74374900</v>
      </c>
      <c r="AC65" s="247">
        <v>204.82</v>
      </c>
      <c r="AD65" s="2">
        <f t="shared" si="0"/>
        <v>1.039999999999992</v>
      </c>
      <c r="AE65" s="138">
        <f t="shared" si="1"/>
        <v>7.8178442294540851E-4</v>
      </c>
    </row>
    <row r="66" spans="23:31" x14ac:dyDescent="0.25">
      <c r="W66" s="94">
        <v>42496</v>
      </c>
      <c r="X66" s="373">
        <v>204.06</v>
      </c>
      <c r="Y66" s="40">
        <v>205.77</v>
      </c>
      <c r="Z66" s="40">
        <v>203.88</v>
      </c>
      <c r="AA66" s="373">
        <v>205.72</v>
      </c>
      <c r="AB66" s="95">
        <v>89315000</v>
      </c>
      <c r="AC66" s="247">
        <v>204.66</v>
      </c>
      <c r="AD66" s="2">
        <f t="shared" si="0"/>
        <v>1.8900000000000148</v>
      </c>
      <c r="AE66" s="138">
        <f t="shared" si="1"/>
        <v>3.6780932764455265E-3</v>
      </c>
    </row>
    <row r="67" spans="23:31" x14ac:dyDescent="0.25">
      <c r="W67" s="94">
        <v>42495</v>
      </c>
      <c r="X67" s="373">
        <v>205.56</v>
      </c>
      <c r="Y67" s="40">
        <v>205.98</v>
      </c>
      <c r="Z67" s="40">
        <v>204.47</v>
      </c>
      <c r="AA67" s="373">
        <v>204.97</v>
      </c>
      <c r="AB67" s="95">
        <v>67619200</v>
      </c>
      <c r="AC67" s="247">
        <v>203.91</v>
      </c>
      <c r="AD67" s="2">
        <f t="shared" si="0"/>
        <v>1.5099999999999909</v>
      </c>
      <c r="AE67" s="138">
        <f t="shared" si="1"/>
        <v>-1.9612650159350764E-4</v>
      </c>
    </row>
    <row r="68" spans="23:31" x14ac:dyDescent="0.25">
      <c r="W68" s="94">
        <v>42494</v>
      </c>
      <c r="X68" s="10">
        <v>204.99</v>
      </c>
      <c r="Y68" s="40">
        <v>205.85</v>
      </c>
      <c r="Z68" s="40">
        <v>204.42</v>
      </c>
      <c r="AA68" s="10">
        <v>205.01</v>
      </c>
      <c r="AB68" s="95">
        <v>92243800</v>
      </c>
      <c r="AC68" s="247">
        <v>203.95</v>
      </c>
      <c r="AD68" s="2">
        <f>Y68-Z68</f>
        <v>1.4300000000000068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5" priority="19">
      <formula>F25&gt;0</formula>
    </cfRule>
    <cfRule type="expression" dxfId="37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3" priority="11">
      <formula>F28&gt;0</formula>
    </cfRule>
    <cfRule type="expression" dxfId="372" priority="12">
      <formula>F28&lt;0</formula>
    </cfRule>
  </conditionalFormatting>
  <conditionalFormatting sqref="F28:F35">
    <cfRule type="expression" dxfId="371" priority="13">
      <formula>F28&gt;0</formula>
    </cfRule>
    <cfRule type="expression" dxfId="370" priority="14">
      <formula>F28&lt;0</formula>
    </cfRule>
  </conditionalFormatting>
  <conditionalFormatting sqref="H25:H35">
    <cfRule type="expression" dxfId="369" priority="9">
      <formula>H25&gt;0</formula>
    </cfRule>
    <cfRule type="expression" dxfId="368" priority="10">
      <formula>H25&lt;0</formula>
    </cfRule>
  </conditionalFormatting>
  <conditionalFormatting sqref="F21:F24">
    <cfRule type="expression" dxfId="367" priority="7">
      <formula>F21&gt;0</formula>
    </cfRule>
    <cfRule type="expression" dxfId="366" priority="8">
      <formula>F21&lt;0</formula>
    </cfRule>
  </conditionalFormatting>
  <conditionalFormatting sqref="H21:H24">
    <cfRule type="expression" dxfId="365" priority="5">
      <formula>H21&gt;0</formula>
    </cfRule>
    <cfRule type="expression" dxfId="364" priority="6">
      <formula>H21&lt;0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0"/>
  <sheetViews>
    <sheetView tabSelected="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2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482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>
        <v>42607</v>
      </c>
      <c r="M2" s="3"/>
      <c r="O2" s="11" t="s">
        <v>57</v>
      </c>
      <c r="Q2">
        <f>C18-H18</f>
        <v>90</v>
      </c>
      <c r="T2" s="85"/>
      <c r="W2" s="94">
        <v>42587</v>
      </c>
      <c r="X2" s="10">
        <v>65.59</v>
      </c>
      <c r="Y2" s="40">
        <v>66.569999999999993</v>
      </c>
      <c r="Z2" s="40">
        <v>65.14</v>
      </c>
      <c r="AA2" s="10">
        <v>66.55</v>
      </c>
      <c r="AB2" s="95">
        <v>2177600</v>
      </c>
      <c r="AC2" s="247">
        <v>66.55</v>
      </c>
      <c r="AD2" s="2">
        <f>Y2-Z2</f>
        <v>1.4299999999999926</v>
      </c>
      <c r="AE2" s="138">
        <f>AC2/AC3-1</f>
        <v>2.1332105586249206E-2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>
        <v>42587</v>
      </c>
      <c r="H3" s="82">
        <v>20</v>
      </c>
      <c r="I3" s="44">
        <v>65.900000000000006</v>
      </c>
      <c r="J3" s="44">
        <v>0.03</v>
      </c>
      <c r="K3" s="44">
        <f>I3*H3-J3</f>
        <v>1317.97</v>
      </c>
      <c r="L3" s="4"/>
      <c r="O3" s="11" t="s">
        <v>58</v>
      </c>
      <c r="Q3" s="232">
        <f>IF(Q2=0, Q4, (F18-K18-M18)/Q2)</f>
        <v>58.038444444444458</v>
      </c>
      <c r="T3" s="121"/>
      <c r="W3" s="94">
        <v>42586</v>
      </c>
      <c r="X3" s="10">
        <v>64.45</v>
      </c>
      <c r="Y3" s="40">
        <v>65.260000000000005</v>
      </c>
      <c r="Z3" s="40">
        <v>64.02</v>
      </c>
      <c r="AA3" s="10">
        <v>65.16</v>
      </c>
      <c r="AB3" s="95">
        <v>3069800</v>
      </c>
      <c r="AC3" s="247">
        <v>65.16</v>
      </c>
      <c r="AD3" s="2">
        <f>Y3-Z3</f>
        <v>1.2400000000000091</v>
      </c>
      <c r="AE3" s="138">
        <f>AC3/AC4-1</f>
        <v>1.1958378630221977E-2</v>
      </c>
      <c r="AN3" s="236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5"/>
      <c r="I4" s="3"/>
      <c r="J4" s="3"/>
      <c r="K4" s="3"/>
      <c r="L4" s="4"/>
      <c r="O4" s="11" t="s">
        <v>66</v>
      </c>
      <c r="Q4" s="55">
        <v>65.94</v>
      </c>
      <c r="T4" s="121"/>
      <c r="W4" s="94">
        <v>42585</v>
      </c>
      <c r="X4" s="10">
        <v>63.33</v>
      </c>
      <c r="Y4" s="40">
        <v>65.03</v>
      </c>
      <c r="Z4" s="40">
        <v>63.3</v>
      </c>
      <c r="AA4" s="10">
        <v>64.39</v>
      </c>
      <c r="AB4" s="95">
        <v>3477200</v>
      </c>
      <c r="AC4" s="247">
        <v>64.39</v>
      </c>
      <c r="AD4" s="2">
        <f t="shared" ref="AD4:AD67" si="0">Y4-Z4</f>
        <v>1.730000000000004</v>
      </c>
      <c r="AE4" s="138">
        <f t="shared" ref="AE4:AE67" si="1">AC4/AC5-1</f>
        <v>-9.9938499384994994E-3</v>
      </c>
      <c r="AK4" s="236"/>
      <c r="AN4" s="236"/>
    </row>
    <row r="5" spans="1:40" x14ac:dyDescent="0.25">
      <c r="B5" s="74">
        <v>42573</v>
      </c>
      <c r="C5" s="434">
        <v>20</v>
      </c>
      <c r="D5" s="46">
        <v>63.68</v>
      </c>
      <c r="E5" s="46">
        <v>0</v>
      </c>
      <c r="F5" s="44">
        <f>C5*D5+E5</f>
        <v>1273.5999999999999</v>
      </c>
      <c r="G5" s="74"/>
      <c r="H5" s="185"/>
      <c r="I5" s="3"/>
      <c r="J5" s="3"/>
      <c r="K5" s="3"/>
      <c r="L5" s="4"/>
      <c r="O5" s="11" t="s">
        <v>67</v>
      </c>
      <c r="Q5" s="3">
        <f>Q4*Q2</f>
        <v>5934.5999999999995</v>
      </c>
      <c r="W5" s="94">
        <v>42584</v>
      </c>
      <c r="X5" s="10">
        <v>65.569999999999993</v>
      </c>
      <c r="Y5" s="40">
        <v>65.959999999999994</v>
      </c>
      <c r="Z5" s="40">
        <v>64.430000000000007</v>
      </c>
      <c r="AA5" s="10">
        <v>65.040000000000006</v>
      </c>
      <c r="AB5" s="95">
        <v>2304100</v>
      </c>
      <c r="AC5" s="247">
        <v>65.040000000000006</v>
      </c>
      <c r="AD5" s="2">
        <f t="shared" si="0"/>
        <v>1.5299999999999869</v>
      </c>
      <c r="AE5" s="138" t="e">
        <f t="shared" si="1"/>
        <v>#DIV/0!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5223.4600000000009</v>
      </c>
      <c r="W6" s="94">
        <v>42584</v>
      </c>
      <c r="X6" s="10" t="s">
        <v>366</v>
      </c>
      <c r="Y6" s="40"/>
      <c r="Z6" s="40"/>
      <c r="AA6" s="10"/>
      <c r="AB6" s="95"/>
      <c r="AC6" s="247"/>
      <c r="AD6" s="2">
        <f t="shared" si="0"/>
        <v>0</v>
      </c>
      <c r="AE6" s="138">
        <f t="shared" si="1"/>
        <v>-1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P7"/>
      <c r="Q7" s="2">
        <f>Q10+Q8</f>
        <v>1125.7299999999987</v>
      </c>
      <c r="R7">
        <v>70</v>
      </c>
      <c r="T7" s="85"/>
      <c r="W7" s="94">
        <v>42583</v>
      </c>
      <c r="X7" s="10">
        <v>65.92</v>
      </c>
      <c r="Y7" s="40">
        <v>66.87</v>
      </c>
      <c r="Z7" s="40">
        <v>65.8</v>
      </c>
      <c r="AA7" s="10">
        <v>66.14</v>
      </c>
      <c r="AB7" s="95">
        <v>2073400</v>
      </c>
      <c r="AC7" s="247">
        <v>65.86</v>
      </c>
      <c r="AD7" s="2">
        <f t="shared" si="0"/>
        <v>1.0700000000000074</v>
      </c>
      <c r="AE7" s="138">
        <f t="shared" si="1"/>
        <v>1.8253726802557324E-3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Q8" s="2">
        <f>K18+M18-F18+Q2*Q4</f>
        <v>711.13999999999851</v>
      </c>
      <c r="W8" s="94">
        <v>42580</v>
      </c>
      <c r="X8" s="10">
        <v>66.48</v>
      </c>
      <c r="Y8" s="40">
        <v>66.7</v>
      </c>
      <c r="Z8" s="40">
        <v>65.5</v>
      </c>
      <c r="AA8" s="10">
        <v>66.02</v>
      </c>
      <c r="AB8" s="95">
        <v>1577000</v>
      </c>
      <c r="AC8" s="247">
        <v>65.739999999999995</v>
      </c>
      <c r="AD8" s="2">
        <f t="shared" si="0"/>
        <v>1.2000000000000028</v>
      </c>
      <c r="AE8" s="138">
        <f t="shared" si="1"/>
        <v>-6.7986100619429335E-3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231</v>
      </c>
      <c r="P9"/>
      <c r="Q9" s="138">
        <f>IF(Q2=0, 0, Q8/Q6)</f>
        <v>0.1361434757804211</v>
      </c>
      <c r="W9" s="94">
        <v>42579</v>
      </c>
      <c r="X9" s="10">
        <v>66.17</v>
      </c>
      <c r="Y9" s="40">
        <v>66.59</v>
      </c>
      <c r="Z9" s="40">
        <v>65.2</v>
      </c>
      <c r="AA9" s="10">
        <v>66.47</v>
      </c>
      <c r="AB9" s="95">
        <v>2332100</v>
      </c>
      <c r="AC9" s="247">
        <v>66.19</v>
      </c>
      <c r="AD9" s="2">
        <f t="shared" si="0"/>
        <v>1.3900000000000006</v>
      </c>
      <c r="AE9" s="138">
        <f t="shared" si="1"/>
        <v>0</v>
      </c>
      <c r="AK9" s="236"/>
      <c r="AN9" s="236"/>
    </row>
    <row r="10" spans="1:40" ht="12.75" customHeight="1" x14ac:dyDescent="0.25">
      <c r="H10" s="72"/>
      <c r="O10" s="11" t="s">
        <v>230</v>
      </c>
      <c r="Q10" s="2">
        <f>M48</f>
        <v>414.59000000000015</v>
      </c>
      <c r="W10" s="94">
        <v>42578</v>
      </c>
      <c r="X10" s="10">
        <v>68.14</v>
      </c>
      <c r="Y10" s="40">
        <v>68.19</v>
      </c>
      <c r="Z10" s="40">
        <v>66.22</v>
      </c>
      <c r="AA10" s="10">
        <v>66.47</v>
      </c>
      <c r="AB10" s="95">
        <v>4701500</v>
      </c>
      <c r="AC10" s="247">
        <v>66.19</v>
      </c>
      <c r="AD10" s="2">
        <f t="shared" si="0"/>
        <v>1.9699999999999989</v>
      </c>
      <c r="AE10" s="138">
        <f t="shared" si="1"/>
        <v>9.147735935356005E-3</v>
      </c>
    </row>
    <row r="11" spans="1:40" x14ac:dyDescent="0.25">
      <c r="H11" s="72"/>
      <c r="O11" s="11" t="s">
        <v>184</v>
      </c>
      <c r="Q11" s="138">
        <f>VALUE(TRIM(CLEAN(MID(U55, FIND("(", U55)+1, 5))))</f>
        <v>1.72E-2</v>
      </c>
      <c r="W11" s="94">
        <v>42577</v>
      </c>
      <c r="X11" s="10">
        <v>65.36</v>
      </c>
      <c r="Y11" s="40">
        <v>66.38</v>
      </c>
      <c r="Z11" s="40">
        <v>64.05</v>
      </c>
      <c r="AA11" s="10">
        <v>65.87</v>
      </c>
      <c r="AB11" s="95">
        <v>4316900</v>
      </c>
      <c r="AC11" s="247">
        <v>65.59</v>
      </c>
      <c r="AD11" s="2">
        <f t="shared" si="0"/>
        <v>2.3299999999999983</v>
      </c>
      <c r="AE11" s="138">
        <f t="shared" si="1"/>
        <v>1.422607082109173E-2</v>
      </c>
      <c r="AK11" s="236"/>
      <c r="AN11" s="236"/>
    </row>
    <row r="12" spans="1:40" x14ac:dyDescent="0.25">
      <c r="H12" s="72"/>
      <c r="W12" s="94">
        <v>42576</v>
      </c>
      <c r="X12" s="10">
        <v>64.989999999999995</v>
      </c>
      <c r="Y12" s="40">
        <v>65.52</v>
      </c>
      <c r="Z12" s="40">
        <v>64.680000000000007</v>
      </c>
      <c r="AA12" s="10">
        <v>64.94</v>
      </c>
      <c r="AB12" s="95">
        <v>4223700</v>
      </c>
      <c r="AC12" s="247">
        <v>64.67</v>
      </c>
      <c r="AD12" s="2">
        <f t="shared" si="0"/>
        <v>0.8399999999999892</v>
      </c>
      <c r="AE12" s="138">
        <f t="shared" si="1"/>
        <v>2.014254725751341E-3</v>
      </c>
    </row>
    <row r="13" spans="1:40" x14ac:dyDescent="0.25">
      <c r="H13" s="72"/>
      <c r="W13" s="94">
        <v>42573</v>
      </c>
      <c r="X13" s="10">
        <v>66.739999999999995</v>
      </c>
      <c r="Y13" s="40">
        <v>67.150000000000006</v>
      </c>
      <c r="Z13" s="40">
        <v>62.4</v>
      </c>
      <c r="AA13" s="10">
        <v>64.81</v>
      </c>
      <c r="AB13" s="95">
        <v>12772200</v>
      </c>
      <c r="AC13" s="247">
        <v>64.540000000000006</v>
      </c>
      <c r="AD13" s="2">
        <f t="shared" si="0"/>
        <v>4.7500000000000071</v>
      </c>
      <c r="AE13" s="138">
        <f t="shared" si="1"/>
        <v>-8.6094590767487933E-2</v>
      </c>
      <c r="AK13" s="236"/>
      <c r="AN13" s="236"/>
    </row>
    <row r="14" spans="1:40" x14ac:dyDescent="0.25">
      <c r="H14" s="72"/>
      <c r="T14" s="84"/>
      <c r="U14" s="11"/>
      <c r="W14" s="94">
        <v>42572</v>
      </c>
      <c r="X14" s="10">
        <v>70</v>
      </c>
      <c r="Y14" s="40">
        <v>71.33</v>
      </c>
      <c r="Z14" s="40">
        <v>69.760000000000005</v>
      </c>
      <c r="AA14" s="10">
        <v>70.92</v>
      </c>
      <c r="AB14" s="95">
        <v>5387400</v>
      </c>
      <c r="AC14" s="247">
        <v>70.62</v>
      </c>
      <c r="AD14" s="2">
        <f t="shared" si="0"/>
        <v>1.5699999999999932</v>
      </c>
      <c r="AE14" s="138">
        <f t="shared" si="1"/>
        <v>2.0520231213872808E-2</v>
      </c>
    </row>
    <row r="15" spans="1:40" x14ac:dyDescent="0.25">
      <c r="H15" s="72"/>
      <c r="W15" s="94">
        <v>42571</v>
      </c>
      <c r="X15" s="10">
        <v>68.47</v>
      </c>
      <c r="Y15" s="40">
        <v>69.8</v>
      </c>
      <c r="Z15" s="40">
        <v>67.959999999999994</v>
      </c>
      <c r="AA15" s="10">
        <v>69.489999999999995</v>
      </c>
      <c r="AB15" s="95">
        <v>3220800</v>
      </c>
      <c r="AC15" s="247">
        <v>69.2</v>
      </c>
      <c r="AD15" s="2">
        <f t="shared" si="0"/>
        <v>1.8400000000000034</v>
      </c>
      <c r="AE15" s="138">
        <f t="shared" si="1"/>
        <v>1.7048794826572511E-2</v>
      </c>
      <c r="AK15" s="236"/>
      <c r="AN15" s="236"/>
    </row>
    <row r="16" spans="1:40" x14ac:dyDescent="0.25">
      <c r="H16" s="72"/>
      <c r="W16" s="94">
        <v>42570</v>
      </c>
      <c r="X16" s="10">
        <v>68.33</v>
      </c>
      <c r="Y16" s="40">
        <v>68.55</v>
      </c>
      <c r="Z16" s="40">
        <v>67.81</v>
      </c>
      <c r="AA16" s="10">
        <v>68.33</v>
      </c>
      <c r="AB16" s="95">
        <v>1464400</v>
      </c>
      <c r="AC16" s="247">
        <v>68.040000000000006</v>
      </c>
      <c r="AD16" s="2">
        <f t="shared" si="0"/>
        <v>0.73999999999999488</v>
      </c>
      <c r="AE16" s="138">
        <f t="shared" si="1"/>
        <v>-5.4085659991227608E-3</v>
      </c>
    </row>
    <row r="17" spans="1:40" x14ac:dyDescent="0.25">
      <c r="H17" s="72"/>
      <c r="W17" s="94">
        <v>42569</v>
      </c>
      <c r="X17" s="10">
        <v>68.180000000000007</v>
      </c>
      <c r="Y17" s="40">
        <v>68.95</v>
      </c>
      <c r="Z17" s="40">
        <v>67.709999999999994</v>
      </c>
      <c r="AA17" s="10">
        <v>68.7</v>
      </c>
      <c r="AB17" s="95">
        <v>1951400</v>
      </c>
      <c r="AC17" s="247">
        <v>68.41</v>
      </c>
      <c r="AD17" s="2">
        <f t="shared" si="0"/>
        <v>1.2400000000000091</v>
      </c>
      <c r="AE17" s="138">
        <f t="shared" si="1"/>
        <v>1.9523099850968784E-2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170</v>
      </c>
      <c r="D18" s="14"/>
      <c r="E18" s="14"/>
      <c r="F18" s="18">
        <f>SUM(F2:F7)</f>
        <v>10313.200000000001</v>
      </c>
      <c r="G18" s="18"/>
      <c r="H18" s="73">
        <f>SUM(H2:H7)</f>
        <v>80</v>
      </c>
      <c r="I18" s="18"/>
      <c r="J18" s="18"/>
      <c r="K18" s="18">
        <f>SUM(K2:K7)</f>
        <v>5089.74</v>
      </c>
      <c r="L18" s="18"/>
      <c r="M18" s="18">
        <f>SUM(M2:M6)</f>
        <v>0</v>
      </c>
      <c r="W18" s="94">
        <v>42566</v>
      </c>
      <c r="X18" s="10">
        <v>67.72</v>
      </c>
      <c r="Y18" s="40">
        <v>67.739999999999995</v>
      </c>
      <c r="Z18" s="40">
        <v>67.02</v>
      </c>
      <c r="AA18" s="10">
        <v>67.39</v>
      </c>
      <c r="AB18" s="95">
        <v>1791400</v>
      </c>
      <c r="AC18" s="247">
        <v>67.099999999999994</v>
      </c>
      <c r="AD18" s="2">
        <f t="shared" si="0"/>
        <v>0.71999999999999886</v>
      </c>
      <c r="AE18" s="138">
        <f t="shared" si="1"/>
        <v>0</v>
      </c>
    </row>
    <row r="19" spans="1:40" ht="15.75" thickBot="1" x14ac:dyDescent="0.3">
      <c r="A19" s="363" t="s">
        <v>206</v>
      </c>
      <c r="B19" s="364"/>
      <c r="C19" s="365">
        <f>SumByColor($A$19,C2:C17)</f>
        <v>80</v>
      </c>
      <c r="D19" s="365"/>
      <c r="E19" s="365"/>
      <c r="F19" s="366">
        <f>SumByColor($A$19,F2:F17)</f>
        <v>4787</v>
      </c>
      <c r="G19" s="365"/>
      <c r="H19" s="365">
        <f>SumByColor($A$19,H2:H17)</f>
        <v>80</v>
      </c>
      <c r="I19" s="365"/>
      <c r="J19" s="365"/>
      <c r="K19" s="366">
        <f>SumByColor($A$19,K2:K17)</f>
        <v>5090</v>
      </c>
      <c r="L19" s="365"/>
      <c r="M19" s="366">
        <f t="shared" ref="M19" si="2">SumByColor($A$19,M2:M17)</f>
        <v>0</v>
      </c>
      <c r="W19" s="94">
        <v>42565</v>
      </c>
      <c r="X19" s="10">
        <v>66.31</v>
      </c>
      <c r="Y19" s="40">
        <v>67.599999999999994</v>
      </c>
      <c r="Z19" s="40">
        <v>65.48</v>
      </c>
      <c r="AA19" s="10">
        <v>67.39</v>
      </c>
      <c r="AB19" s="95">
        <v>2088400</v>
      </c>
      <c r="AC19" s="247">
        <v>67.099999999999994</v>
      </c>
      <c r="AD19" s="2">
        <f t="shared" si="0"/>
        <v>2.1199999999999903</v>
      </c>
      <c r="AE19" s="138">
        <f t="shared" si="1"/>
        <v>3.1197172276010487E-2</v>
      </c>
      <c r="AK19" s="236"/>
      <c r="AN19" s="236"/>
    </row>
    <row r="20" spans="1:40" x14ac:dyDescent="0.25">
      <c r="W20" s="94">
        <v>42564</v>
      </c>
      <c r="X20" s="10">
        <v>66.44</v>
      </c>
      <c r="Y20" s="40">
        <v>66.48</v>
      </c>
      <c r="Z20" s="40">
        <v>65.08</v>
      </c>
      <c r="AA20" s="10">
        <v>65.349999999999994</v>
      </c>
      <c r="AB20" s="95">
        <v>1940300</v>
      </c>
      <c r="AC20" s="247">
        <v>65.069999999999993</v>
      </c>
      <c r="AD20" s="2">
        <f t="shared" si="0"/>
        <v>1.4000000000000057</v>
      </c>
      <c r="AE20" s="138">
        <f t="shared" si="1"/>
        <v>-6.8681318681319548E-3</v>
      </c>
    </row>
    <row r="21" spans="1:40" x14ac:dyDescent="0.25">
      <c r="W21" s="94">
        <v>42563</v>
      </c>
      <c r="X21" s="10">
        <v>65.489999999999995</v>
      </c>
      <c r="Y21" s="40">
        <v>66.42</v>
      </c>
      <c r="Z21" s="40">
        <v>65.209999999999994</v>
      </c>
      <c r="AA21" s="10">
        <v>65.8</v>
      </c>
      <c r="AB21" s="95">
        <v>2073700</v>
      </c>
      <c r="AC21" s="247">
        <v>65.52</v>
      </c>
      <c r="AD21" s="2">
        <f t="shared" si="0"/>
        <v>1.210000000000008</v>
      </c>
      <c r="AE21" s="138">
        <f t="shared" si="1"/>
        <v>1.7865465278856574E-2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42562</v>
      </c>
      <c r="X22" s="10">
        <v>63.6</v>
      </c>
      <c r="Y22" s="40">
        <v>65.2</v>
      </c>
      <c r="Z22" s="40">
        <v>63.57</v>
      </c>
      <c r="AA22" s="10">
        <v>64.64</v>
      </c>
      <c r="AB22" s="95">
        <v>2179200</v>
      </c>
      <c r="AC22" s="247">
        <v>64.37</v>
      </c>
      <c r="AD22" s="2">
        <f t="shared" si="0"/>
        <v>1.6300000000000026</v>
      </c>
      <c r="AE22" s="138">
        <f t="shared" si="1"/>
        <v>2.761813537675617E-2</v>
      </c>
    </row>
    <row r="23" spans="1:40" x14ac:dyDescent="0.25">
      <c r="B23" s="195">
        <v>42546</v>
      </c>
      <c r="C23" s="461">
        <v>60</v>
      </c>
      <c r="D23" s="463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42559</v>
      </c>
      <c r="X23" s="10">
        <v>61.67</v>
      </c>
      <c r="Y23" s="40">
        <v>63.15</v>
      </c>
      <c r="Z23" s="40">
        <v>61.52</v>
      </c>
      <c r="AA23" s="10">
        <v>62.91</v>
      </c>
      <c r="AB23" s="95">
        <v>2299100</v>
      </c>
      <c r="AC23" s="247">
        <v>62.64</v>
      </c>
      <c r="AD23" s="2">
        <f t="shared" si="0"/>
        <v>1.6299999999999955</v>
      </c>
      <c r="AE23" s="138">
        <f t="shared" si="1"/>
        <v>3.3151904997525961E-2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42558</v>
      </c>
      <c r="X24" s="10">
        <v>59.39</v>
      </c>
      <c r="Y24" s="40">
        <v>61.2</v>
      </c>
      <c r="Z24" s="40">
        <v>59.34</v>
      </c>
      <c r="AA24" s="10">
        <v>60.89</v>
      </c>
      <c r="AB24" s="95">
        <v>2860000</v>
      </c>
      <c r="AC24" s="247">
        <v>60.63</v>
      </c>
      <c r="AD24" s="2">
        <f t="shared" si="0"/>
        <v>1.8599999999999994</v>
      </c>
      <c r="AE24" s="138">
        <f t="shared" si="1"/>
        <v>2.9197080291970989E-2</v>
      </c>
    </row>
    <row r="25" spans="1:40" x14ac:dyDescent="0.25">
      <c r="B25" s="195">
        <v>42549</v>
      </c>
      <c r="C25" s="476">
        <v>120</v>
      </c>
      <c r="D25" s="489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42557</v>
      </c>
      <c r="X25" s="10">
        <v>58.25</v>
      </c>
      <c r="Y25" s="40">
        <v>59.26</v>
      </c>
      <c r="Z25" s="40">
        <v>57.19</v>
      </c>
      <c r="AA25" s="10">
        <v>59.16</v>
      </c>
      <c r="AB25" s="95">
        <v>3848000</v>
      </c>
      <c r="AC25" s="247">
        <v>58.91</v>
      </c>
      <c r="AD25" s="2">
        <f t="shared" si="0"/>
        <v>2.0700000000000003</v>
      </c>
      <c r="AE25" s="138">
        <f t="shared" si="1"/>
        <v>5.8050196346250971E-3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42556</v>
      </c>
      <c r="X26" s="10">
        <v>60.67</v>
      </c>
      <c r="Y26" s="40">
        <v>60.74</v>
      </c>
      <c r="Z26" s="40">
        <v>58.08</v>
      </c>
      <c r="AA26" s="10">
        <v>58.82</v>
      </c>
      <c r="AB26" s="95">
        <v>3668100</v>
      </c>
      <c r="AC26" s="247">
        <v>58.57</v>
      </c>
      <c r="AD26" s="2">
        <f t="shared" si="0"/>
        <v>2.6600000000000037</v>
      </c>
      <c r="AE26" s="138">
        <f t="shared" si="1"/>
        <v>-6.0324081501684557E-2</v>
      </c>
    </row>
    <row r="27" spans="1:40" x14ac:dyDescent="0.25">
      <c r="B27" s="195">
        <v>42551</v>
      </c>
      <c r="C27" s="449">
        <v>60</v>
      </c>
      <c r="D27" s="468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42552</v>
      </c>
      <c r="X27" s="10">
        <v>62.48</v>
      </c>
      <c r="Y27" s="40">
        <v>63.22</v>
      </c>
      <c r="Z27" s="40">
        <v>61.87</v>
      </c>
      <c r="AA27" s="10">
        <v>62.6</v>
      </c>
      <c r="AB27" s="95">
        <v>2110200</v>
      </c>
      <c r="AC27" s="247">
        <v>62.33</v>
      </c>
      <c r="AD27" s="2">
        <f t="shared" si="0"/>
        <v>1.3500000000000014</v>
      </c>
      <c r="AE27" s="138">
        <f t="shared" si="1"/>
        <v>-1.079193778765275E-2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42551</v>
      </c>
      <c r="X28" s="10">
        <v>62.03</v>
      </c>
      <c r="Y28" s="40">
        <v>63.31</v>
      </c>
      <c r="Z28" s="40">
        <v>61.68</v>
      </c>
      <c r="AA28" s="10">
        <v>63.28</v>
      </c>
      <c r="AB28" s="95">
        <v>3375700</v>
      </c>
      <c r="AC28" s="247">
        <v>63.01</v>
      </c>
      <c r="AD28" s="2">
        <f t="shared" si="0"/>
        <v>1.6300000000000026</v>
      </c>
      <c r="AE28" s="138">
        <f t="shared" si="1"/>
        <v>2.5052871319342751E-2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42550</v>
      </c>
      <c r="X29" s="10">
        <v>61.08</v>
      </c>
      <c r="Y29" s="40">
        <v>62.23</v>
      </c>
      <c r="Z29" s="40">
        <v>60.75</v>
      </c>
      <c r="AA29" s="10">
        <v>61.73</v>
      </c>
      <c r="AB29" s="95">
        <v>2155700</v>
      </c>
      <c r="AC29" s="247">
        <v>61.47</v>
      </c>
      <c r="AD29" s="2">
        <f t="shared" si="0"/>
        <v>1.4799999999999969</v>
      </c>
      <c r="AE29" s="138">
        <f t="shared" si="1"/>
        <v>2.4499999999999966E-2</v>
      </c>
    </row>
    <row r="30" spans="1:40" x14ac:dyDescent="0.25">
      <c r="B30" s="195">
        <v>42557</v>
      </c>
      <c r="C30" s="434">
        <v>90</v>
      </c>
      <c r="D30" s="46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42549</v>
      </c>
      <c r="X30" s="10">
        <v>59.29</v>
      </c>
      <c r="Y30" s="40">
        <v>60.77</v>
      </c>
      <c r="Z30" s="40">
        <v>59.13</v>
      </c>
      <c r="AA30" s="10">
        <v>60.26</v>
      </c>
      <c r="AB30" s="95">
        <v>3095500</v>
      </c>
      <c r="AC30" s="247">
        <v>60</v>
      </c>
      <c r="AD30" s="2">
        <f t="shared" si="0"/>
        <v>1.6400000000000006</v>
      </c>
      <c r="AE30" s="138">
        <f t="shared" si="1"/>
        <v>3.8781163434903121E-2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42548</v>
      </c>
      <c r="X31" s="10">
        <v>60.16</v>
      </c>
      <c r="Y31" s="40">
        <v>60.8</v>
      </c>
      <c r="Z31" s="40">
        <v>57.11</v>
      </c>
      <c r="AA31" s="10">
        <v>58.01</v>
      </c>
      <c r="AB31" s="95">
        <v>5188700</v>
      </c>
      <c r="AC31" s="247">
        <v>57.76</v>
      </c>
      <c r="AD31" s="2">
        <f t="shared" si="0"/>
        <v>3.6899999999999977</v>
      </c>
      <c r="AE31" s="138">
        <f t="shared" si="1"/>
        <v>-5.8516707416462976E-2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42545</v>
      </c>
      <c r="X32" s="10">
        <v>64</v>
      </c>
      <c r="Y32" s="40">
        <v>65.09</v>
      </c>
      <c r="Z32" s="40">
        <v>61.37</v>
      </c>
      <c r="AA32" s="10">
        <v>61.61</v>
      </c>
      <c r="AB32" s="95">
        <v>3913500</v>
      </c>
      <c r="AC32" s="247">
        <v>61.35</v>
      </c>
      <c r="AD32" s="2">
        <f t="shared" si="0"/>
        <v>3.720000000000006</v>
      </c>
      <c r="AE32" s="138">
        <f t="shared" si="1"/>
        <v>-8.3370685791125165E-2</v>
      </c>
    </row>
    <row r="33" spans="1:31" x14ac:dyDescent="0.25">
      <c r="B33" s="195">
        <v>42569</v>
      </c>
      <c r="C33" s="286">
        <v>90</v>
      </c>
      <c r="D33" s="343">
        <v>58.531399999999998</v>
      </c>
      <c r="E33" s="343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3">
        <f t="shared" ref="H33" si="32">(E33-D33)/D33</f>
        <v>0.17372897282484281</v>
      </c>
      <c r="I33" s="40"/>
      <c r="W33" s="94">
        <v>42544</v>
      </c>
      <c r="X33" s="10">
        <v>66.23</v>
      </c>
      <c r="Y33" s="40">
        <v>67.23</v>
      </c>
      <c r="Z33" s="40">
        <v>65.83</v>
      </c>
      <c r="AA33" s="10">
        <v>67.209999999999994</v>
      </c>
      <c r="AB33" s="95">
        <v>1462900</v>
      </c>
      <c r="AC33" s="247">
        <v>66.930000000000007</v>
      </c>
      <c r="AD33" s="2">
        <f t="shared" si="0"/>
        <v>1.4000000000000057</v>
      </c>
      <c r="AE33" s="138">
        <f t="shared" si="1"/>
        <v>2.8584601198709203E-2</v>
      </c>
    </row>
    <row r="34" spans="1:31" x14ac:dyDescent="0.25">
      <c r="B34" s="195">
        <v>42570</v>
      </c>
      <c r="C34" s="286">
        <v>90</v>
      </c>
      <c r="D34" s="343">
        <v>58.531399999999998</v>
      </c>
      <c r="E34" s="343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3">
        <f t="shared" ref="H34" si="35">(E34-D34)/D34</f>
        <v>0.1674075795214193</v>
      </c>
      <c r="I34" s="40"/>
      <c r="W34" s="94">
        <v>42543</v>
      </c>
      <c r="X34" s="10">
        <v>65.41</v>
      </c>
      <c r="Y34" s="40">
        <v>66.77</v>
      </c>
      <c r="Z34" s="40">
        <v>65.290000000000006</v>
      </c>
      <c r="AA34" s="10">
        <v>65.349999999999994</v>
      </c>
      <c r="AB34" s="95">
        <v>1833700</v>
      </c>
      <c r="AC34" s="247">
        <v>65.069999999999993</v>
      </c>
      <c r="AD34" s="2">
        <f t="shared" si="0"/>
        <v>1.4799999999999898</v>
      </c>
      <c r="AE34" s="138">
        <f t="shared" si="1"/>
        <v>-1.6876342436332736E-3</v>
      </c>
    </row>
    <row r="35" spans="1:31" x14ac:dyDescent="0.25">
      <c r="B35" s="195">
        <v>42571</v>
      </c>
      <c r="C35" s="286">
        <v>90</v>
      </c>
      <c r="D35" s="343">
        <v>58.531399999999998</v>
      </c>
      <c r="E35" s="343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3">
        <f t="shared" ref="H35" si="38">(E35-D35)/D35</f>
        <v>0.18722600176999007</v>
      </c>
      <c r="I35" s="40"/>
      <c r="W35" s="94">
        <v>42542</v>
      </c>
      <c r="X35" s="10">
        <v>66.14</v>
      </c>
      <c r="Y35" s="40">
        <v>67.099999999999994</v>
      </c>
      <c r="Z35" s="40">
        <v>65.34</v>
      </c>
      <c r="AA35" s="10">
        <v>65.459999999999994</v>
      </c>
      <c r="AB35" s="95">
        <v>1638400</v>
      </c>
      <c r="AC35" s="247">
        <v>65.180000000000007</v>
      </c>
      <c r="AD35" s="2">
        <f t="shared" si="0"/>
        <v>1.7599999999999909</v>
      </c>
      <c r="AE35" s="138">
        <f t="shared" si="1"/>
        <v>-7.4615501751179591E-3</v>
      </c>
    </row>
    <row r="36" spans="1:31" ht="20.25" thickBot="1" x14ac:dyDescent="0.35">
      <c r="B36" s="195">
        <v>42572</v>
      </c>
      <c r="C36" s="286">
        <v>90</v>
      </c>
      <c r="D36" s="343">
        <v>58.531399999999998</v>
      </c>
      <c r="E36" s="343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3">
        <f t="shared" ref="H36" si="41">(E36-D36)/D36</f>
        <v>0.21165733264538358</v>
      </c>
      <c r="I36" s="40" t="s">
        <v>333</v>
      </c>
      <c r="O36" s="11"/>
      <c r="P36" s="263" t="s">
        <v>78</v>
      </c>
      <c r="Q36" s="263"/>
      <c r="R36" s="34"/>
      <c r="W36" s="94">
        <v>42541</v>
      </c>
      <c r="X36" s="10">
        <v>64.95</v>
      </c>
      <c r="Y36" s="40">
        <v>66.62</v>
      </c>
      <c r="Z36" s="40">
        <v>64.739999999999995</v>
      </c>
      <c r="AA36" s="10">
        <v>65.95</v>
      </c>
      <c r="AB36" s="95">
        <v>3590100</v>
      </c>
      <c r="AC36" s="247">
        <v>65.67</v>
      </c>
      <c r="AD36" s="2">
        <f t="shared" si="0"/>
        <v>1.8800000000000097</v>
      </c>
      <c r="AE36" s="138">
        <f t="shared" si="1"/>
        <v>3.0926216640502435E-2</v>
      </c>
    </row>
    <row r="37" spans="1:31" ht="15.75" thickTop="1" x14ac:dyDescent="0.25">
      <c r="B37" s="195">
        <v>42575</v>
      </c>
      <c r="C37" s="286">
        <v>110</v>
      </c>
      <c r="D37" s="343">
        <v>59.467500000000001</v>
      </c>
      <c r="E37" s="343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3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72.534000000000006</v>
      </c>
      <c r="R37" s="34"/>
      <c r="W37" s="94">
        <v>42538</v>
      </c>
      <c r="X37" s="10">
        <v>64.739999999999995</v>
      </c>
      <c r="Y37" s="40">
        <v>64.739999999999995</v>
      </c>
      <c r="Z37" s="40">
        <v>63.31</v>
      </c>
      <c r="AA37" s="10">
        <v>63.97</v>
      </c>
      <c r="AB37" s="95">
        <v>2401400</v>
      </c>
      <c r="AC37" s="247">
        <v>63.7</v>
      </c>
      <c r="AD37" s="2">
        <f t="shared" si="0"/>
        <v>1.4299999999999926</v>
      </c>
      <c r="AE37" s="138">
        <f t="shared" si="1"/>
        <v>-1.2556192838319657E-2</v>
      </c>
    </row>
    <row r="38" spans="1:31" x14ac:dyDescent="0.25">
      <c r="B38" s="195">
        <v>42577</v>
      </c>
      <c r="C38" s="286">
        <v>110</v>
      </c>
      <c r="D38" s="343">
        <v>59.467500000000001</v>
      </c>
      <c r="E38" s="343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3">
        <f t="shared" ref="H38" si="47">(E38-D38)/D38</f>
        <v>0.10766385000210205</v>
      </c>
      <c r="I38" s="40" t="s">
        <v>342</v>
      </c>
      <c r="O38" s="2"/>
      <c r="P38" s="83">
        <v>1.0900000000000001</v>
      </c>
      <c r="Q38" s="83">
        <f t="shared" ref="Q38:Q57" si="48">P38*$Q$4</f>
        <v>71.874600000000001</v>
      </c>
      <c r="R38" s="34"/>
      <c r="W38" s="94">
        <v>42537</v>
      </c>
      <c r="X38" s="10">
        <v>64.25</v>
      </c>
      <c r="Y38" s="40">
        <v>64.94</v>
      </c>
      <c r="Z38" s="40">
        <v>63.36</v>
      </c>
      <c r="AA38" s="10">
        <v>64.78</v>
      </c>
      <c r="AB38" s="95">
        <v>1733800</v>
      </c>
      <c r="AC38" s="247">
        <v>64.510000000000005</v>
      </c>
      <c r="AD38" s="2">
        <f t="shared" si="0"/>
        <v>1.5799999999999983</v>
      </c>
      <c r="AE38" s="138">
        <f t="shared" si="1"/>
        <v>-3.0907124092101057E-3</v>
      </c>
    </row>
    <row r="39" spans="1:31" ht="20.25" thickBot="1" x14ac:dyDescent="0.35">
      <c r="B39" s="195">
        <v>42585</v>
      </c>
      <c r="C39" s="286">
        <v>110</v>
      </c>
      <c r="D39" s="343">
        <v>59.467500000000001</v>
      </c>
      <c r="E39" s="343">
        <v>65.040000000000006</v>
      </c>
      <c r="F39" s="40">
        <f t="shared" ref="F39:F40" si="49">C39*(E39-D39)</f>
        <v>612.97500000000059</v>
      </c>
      <c r="G39" s="40">
        <f t="shared" ref="G39:G40" si="50">D39*C39</f>
        <v>6541.4250000000002</v>
      </c>
      <c r="H39" s="233">
        <f t="shared" ref="H39:H40" si="51">(E39-D39)/D39</f>
        <v>9.370664648757733E-2</v>
      </c>
      <c r="I39" s="40"/>
      <c r="O39" s="2"/>
      <c r="P39" s="83">
        <v>1.08</v>
      </c>
      <c r="Q39" s="83">
        <f t="shared" si="48"/>
        <v>71.215199999999996</v>
      </c>
      <c r="R39" s="34"/>
      <c r="T39" s="91" t="s">
        <v>113</v>
      </c>
      <c r="W39" s="94">
        <v>42536</v>
      </c>
      <c r="X39" s="10">
        <v>65.19</v>
      </c>
      <c r="Y39" s="40">
        <v>65.510000000000005</v>
      </c>
      <c r="Z39" s="40">
        <v>64.760000000000005</v>
      </c>
      <c r="AA39" s="10">
        <v>64.989999999999995</v>
      </c>
      <c r="AB39" s="95">
        <v>1597100</v>
      </c>
      <c r="AC39" s="247">
        <v>64.709999999999994</v>
      </c>
      <c r="AD39" s="2">
        <f t="shared" si="0"/>
        <v>0.75</v>
      </c>
      <c r="AE39" s="138">
        <f t="shared" si="1"/>
        <v>-3.0897574540411643E-4</v>
      </c>
    </row>
    <row r="40" spans="1:31" ht="15.75" thickTop="1" x14ac:dyDescent="0.25">
      <c r="B40" s="195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3">
        <f t="shared" si="51"/>
        <v>0.13390444946793845</v>
      </c>
      <c r="I40" s="40"/>
      <c r="O40" s="2"/>
      <c r="P40" s="83">
        <v>1.07</v>
      </c>
      <c r="Q40" s="83">
        <f t="shared" si="48"/>
        <v>70.555800000000005</v>
      </c>
      <c r="R40" s="83"/>
      <c r="T40" s="97" t="s">
        <v>98</v>
      </c>
      <c r="U40" s="129">
        <v>65.16</v>
      </c>
      <c r="W40" s="94">
        <v>42535</v>
      </c>
      <c r="X40" s="10">
        <v>64.75</v>
      </c>
      <c r="Y40" s="40">
        <v>65.19</v>
      </c>
      <c r="Z40" s="40">
        <v>64.010000000000005</v>
      </c>
      <c r="AA40" s="10">
        <v>65.010000000000005</v>
      </c>
      <c r="AB40" s="95">
        <v>1570200</v>
      </c>
      <c r="AC40" s="247">
        <v>64.73</v>
      </c>
      <c r="AD40" s="2">
        <f t="shared" si="0"/>
        <v>1.1799999999999926</v>
      </c>
      <c r="AE40" s="138">
        <f t="shared" si="1"/>
        <v>7.7303648732218733E-4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48"/>
        <v>69.8964</v>
      </c>
      <c r="R41" s="83"/>
      <c r="T41" s="87" t="s">
        <v>99</v>
      </c>
      <c r="U41" s="130">
        <v>65.59</v>
      </c>
      <c r="W41" s="94">
        <v>42534</v>
      </c>
      <c r="X41" s="10">
        <v>65.02</v>
      </c>
      <c r="Y41" s="40">
        <v>66.13</v>
      </c>
      <c r="Z41" s="40">
        <v>64.819999999999993</v>
      </c>
      <c r="AA41" s="10">
        <v>64.959999999999994</v>
      </c>
      <c r="AB41" s="95">
        <v>1253000</v>
      </c>
      <c r="AC41" s="247">
        <v>64.680000000000007</v>
      </c>
      <c r="AD41" s="2">
        <f t="shared" si="0"/>
        <v>1.3100000000000023</v>
      </c>
      <c r="AE41" s="138">
        <f t="shared" si="1"/>
        <v>-9.0393749042437799E-3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48"/>
        <v>69.236999999999995</v>
      </c>
      <c r="R42" s="83"/>
      <c r="T42" s="87" t="s">
        <v>100</v>
      </c>
      <c r="U42" s="130" t="s">
        <v>400</v>
      </c>
      <c r="W42" s="94">
        <v>42531</v>
      </c>
      <c r="X42" s="10">
        <v>66.91</v>
      </c>
      <c r="Y42" s="40">
        <v>67.08</v>
      </c>
      <c r="Z42" s="40">
        <v>65.42</v>
      </c>
      <c r="AA42" s="10">
        <v>65.55</v>
      </c>
      <c r="AB42" s="95">
        <v>2417000</v>
      </c>
      <c r="AC42" s="247">
        <v>65.27</v>
      </c>
      <c r="AD42" s="2">
        <f t="shared" si="0"/>
        <v>1.6599999999999966</v>
      </c>
      <c r="AE42" s="138">
        <f t="shared" si="1"/>
        <v>-3.5608747044917455E-2</v>
      </c>
    </row>
    <row r="43" spans="1:31" x14ac:dyDescent="0.25">
      <c r="O43" s="2"/>
      <c r="P43" s="83">
        <v>1.04</v>
      </c>
      <c r="Q43" s="83">
        <f t="shared" si="48"/>
        <v>68.577600000000004</v>
      </c>
      <c r="R43" s="83"/>
      <c r="T43" s="87" t="s">
        <v>101</v>
      </c>
      <c r="U43" s="130" t="s">
        <v>401</v>
      </c>
      <c r="W43" s="94">
        <v>42530</v>
      </c>
      <c r="X43" s="10">
        <v>66.5</v>
      </c>
      <c r="Y43" s="40">
        <v>68.09</v>
      </c>
      <c r="Z43" s="40">
        <v>66.349999999999994</v>
      </c>
      <c r="AA43" s="10">
        <v>67.97</v>
      </c>
      <c r="AB43" s="95">
        <v>2504900</v>
      </c>
      <c r="AC43" s="247">
        <v>67.680000000000007</v>
      </c>
      <c r="AD43" s="2">
        <f t="shared" si="0"/>
        <v>1.7400000000000091</v>
      </c>
      <c r="AE43" s="138">
        <f t="shared" si="1"/>
        <v>-6.0214422088411546E-3</v>
      </c>
    </row>
    <row r="44" spans="1:31" x14ac:dyDescent="0.25">
      <c r="O44" s="2"/>
      <c r="P44" s="83">
        <v>1.03</v>
      </c>
      <c r="Q44" s="83">
        <f t="shared" si="48"/>
        <v>67.918199999999999</v>
      </c>
      <c r="R44" s="83"/>
      <c r="T44" s="87" t="s">
        <v>102</v>
      </c>
      <c r="U44" s="130">
        <v>83</v>
      </c>
      <c r="W44" s="94">
        <v>42529</v>
      </c>
      <c r="X44" s="10">
        <v>68.53</v>
      </c>
      <c r="Y44" s="40">
        <v>68.98</v>
      </c>
      <c r="Z44" s="40">
        <v>67.709999999999994</v>
      </c>
      <c r="AA44" s="10">
        <v>68.38</v>
      </c>
      <c r="AB44" s="95">
        <v>2093000</v>
      </c>
      <c r="AC44" s="247">
        <v>68.09</v>
      </c>
      <c r="AD44" s="2">
        <f t="shared" si="0"/>
        <v>1.2700000000000102</v>
      </c>
      <c r="AE44" s="138">
        <f t="shared" si="1"/>
        <v>-4.2410061421467304E-3</v>
      </c>
    </row>
    <row r="45" spans="1:31" x14ac:dyDescent="0.25">
      <c r="O45" s="2"/>
      <c r="P45" s="83">
        <v>1.02</v>
      </c>
      <c r="Q45" s="83">
        <f t="shared" si="48"/>
        <v>67.258799999999994</v>
      </c>
      <c r="R45" s="83"/>
      <c r="T45" s="87" t="s">
        <v>103</v>
      </c>
      <c r="U45" s="130">
        <v>0.69600899999999999</v>
      </c>
      <c r="W45" s="94">
        <v>42528</v>
      </c>
      <c r="X45" s="10">
        <v>66.39</v>
      </c>
      <c r="Y45" s="40">
        <v>68.959999999999994</v>
      </c>
      <c r="Z45" s="40">
        <v>66.17</v>
      </c>
      <c r="AA45" s="10">
        <v>68.67</v>
      </c>
      <c r="AB45" s="95">
        <v>3066200</v>
      </c>
      <c r="AC45" s="247">
        <v>68.38</v>
      </c>
      <c r="AD45" s="2">
        <f t="shared" si="0"/>
        <v>2.789999999999992</v>
      </c>
      <c r="AE45" s="138">
        <f t="shared" si="1"/>
        <v>3.8736138538660203E-2</v>
      </c>
    </row>
    <row r="46" spans="1:31" x14ac:dyDescent="0.25">
      <c r="O46" s="2"/>
      <c r="P46" s="83">
        <v>1.01</v>
      </c>
      <c r="Q46" s="83">
        <f t="shared" si="48"/>
        <v>66.599400000000003</v>
      </c>
      <c r="R46" s="83"/>
      <c r="T46" s="87" t="s">
        <v>123</v>
      </c>
      <c r="U46" s="94" t="s">
        <v>402</v>
      </c>
      <c r="W46" s="94">
        <v>42527</v>
      </c>
      <c r="X46" s="10">
        <v>66.94</v>
      </c>
      <c r="Y46" s="40">
        <v>67.260000000000005</v>
      </c>
      <c r="Z46" s="40">
        <v>66.06</v>
      </c>
      <c r="AA46" s="10">
        <v>66.11</v>
      </c>
      <c r="AB46" s="95">
        <v>1938300</v>
      </c>
      <c r="AC46" s="247">
        <v>65.83</v>
      </c>
      <c r="AD46" s="2">
        <f t="shared" si="0"/>
        <v>1.2000000000000028</v>
      </c>
      <c r="AE46" s="138">
        <f t="shared" si="1"/>
        <v>-1.2451245124512456E-2</v>
      </c>
    </row>
    <row r="47" spans="1:31" x14ac:dyDescent="0.25">
      <c r="O47" s="2"/>
      <c r="P47" s="83">
        <v>1</v>
      </c>
      <c r="Q47" s="83">
        <f t="shared" si="48"/>
        <v>65.94</v>
      </c>
      <c r="R47" s="83"/>
      <c r="T47" s="87"/>
      <c r="U47" s="130"/>
      <c r="W47" s="94">
        <v>42524</v>
      </c>
      <c r="X47" s="10">
        <v>67.739999999999995</v>
      </c>
      <c r="Y47" s="40">
        <v>68.5</v>
      </c>
      <c r="Z47" s="40">
        <v>66.27</v>
      </c>
      <c r="AA47" s="10">
        <v>66.94</v>
      </c>
      <c r="AB47" s="95">
        <v>3682600</v>
      </c>
      <c r="AC47" s="247">
        <v>66.66</v>
      </c>
      <c r="AD47" s="2">
        <f t="shared" si="0"/>
        <v>2.230000000000004</v>
      </c>
      <c r="AE47" s="138">
        <f t="shared" si="1"/>
        <v>5.4298642533936459E-3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48"/>
        <v>65.280599999999993</v>
      </c>
      <c r="R48" s="83"/>
      <c r="T48" s="87" t="s">
        <v>105</v>
      </c>
      <c r="U48" s="130" t="s">
        <v>403</v>
      </c>
      <c r="W48" s="94">
        <v>42523</v>
      </c>
      <c r="X48" s="10">
        <v>67.03</v>
      </c>
      <c r="Y48" s="40">
        <v>67.56</v>
      </c>
      <c r="Z48" s="40">
        <v>66.260000000000005</v>
      </c>
      <c r="AA48" s="10">
        <v>66.58</v>
      </c>
      <c r="AB48" s="95">
        <v>2172300</v>
      </c>
      <c r="AC48" s="247">
        <v>66.3</v>
      </c>
      <c r="AD48" s="2">
        <f t="shared" si="0"/>
        <v>1.2999999999999972</v>
      </c>
      <c r="AE48" s="138">
        <f t="shared" si="1"/>
        <v>-1.030004478280333E-2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48"/>
        <v>64.621200000000002</v>
      </c>
      <c r="R49" s="83"/>
      <c r="T49" s="87" t="s">
        <v>106</v>
      </c>
      <c r="U49" s="130" t="s">
        <v>358</v>
      </c>
      <c r="W49" s="94">
        <v>42522</v>
      </c>
      <c r="X49" s="10">
        <v>66.37</v>
      </c>
      <c r="Y49" s="40">
        <v>67.64</v>
      </c>
      <c r="Z49" s="40">
        <v>66.37</v>
      </c>
      <c r="AA49" s="10">
        <v>67.27</v>
      </c>
      <c r="AB49" s="95">
        <v>2039800</v>
      </c>
      <c r="AC49" s="247">
        <v>66.989999999999995</v>
      </c>
      <c r="AD49" s="2">
        <f t="shared" si="0"/>
        <v>1.269999999999996</v>
      </c>
      <c r="AE49" s="138">
        <f t="shared" si="1"/>
        <v>7.6714801444042191E-3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52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53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48"/>
        <v>63.961799999999997</v>
      </c>
      <c r="R50" s="83"/>
      <c r="T50" s="87" t="s">
        <v>107</v>
      </c>
      <c r="U50" s="131">
        <v>2178465</v>
      </c>
      <c r="W50" s="94">
        <v>42521</v>
      </c>
      <c r="X50" s="10">
        <v>66.319999999999993</v>
      </c>
      <c r="Y50" s="40">
        <v>67.099999999999994</v>
      </c>
      <c r="Z50" s="40">
        <v>66.3</v>
      </c>
      <c r="AA50" s="10">
        <v>66.760000000000005</v>
      </c>
      <c r="AB50" s="95">
        <v>1756800</v>
      </c>
      <c r="AC50" s="247">
        <v>66.48</v>
      </c>
      <c r="AD50" s="2">
        <f t="shared" si="0"/>
        <v>0.79999999999999716</v>
      </c>
      <c r="AE50" s="138">
        <f t="shared" si="1"/>
        <v>3.9263062518877234E-3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52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53"/>
        <v>1838.96</v>
      </c>
      <c r="L51" s="265"/>
      <c r="M51" s="265"/>
      <c r="O51" s="2"/>
      <c r="P51" s="83">
        <v>0.96</v>
      </c>
      <c r="Q51" s="83">
        <f t="shared" si="48"/>
        <v>63.302399999999999</v>
      </c>
      <c r="R51" s="83"/>
      <c r="T51" s="87" t="s">
        <v>110</v>
      </c>
      <c r="U51" s="131">
        <v>2839400</v>
      </c>
      <c r="W51" s="94">
        <v>42517</v>
      </c>
      <c r="X51" s="10">
        <v>65.930000000000007</v>
      </c>
      <c r="Y51" s="40">
        <v>66.55</v>
      </c>
      <c r="Z51" s="40">
        <v>65.81</v>
      </c>
      <c r="AA51" s="10">
        <v>66.5</v>
      </c>
      <c r="AB51" s="95">
        <v>1128000</v>
      </c>
      <c r="AC51" s="247">
        <v>66.22</v>
      </c>
      <c r="AD51" s="2">
        <f t="shared" si="0"/>
        <v>0.73999999999999488</v>
      </c>
      <c r="AE51" s="138">
        <f t="shared" si="1"/>
        <v>5.008347245408995E-3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52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53"/>
        <v>2024.96</v>
      </c>
      <c r="L52" s="265"/>
      <c r="M52" s="265"/>
      <c r="O52" s="2"/>
      <c r="P52" s="83">
        <v>0.95</v>
      </c>
      <c r="Q52" s="83">
        <f t="shared" si="48"/>
        <v>62.642999999999994</v>
      </c>
      <c r="R52" s="83"/>
      <c r="T52" s="87" t="s">
        <v>108</v>
      </c>
      <c r="U52" s="130" t="s">
        <v>404</v>
      </c>
      <c r="W52" s="94">
        <v>42516</v>
      </c>
      <c r="X52" s="10">
        <v>66</v>
      </c>
      <c r="Y52" s="40">
        <v>66.8</v>
      </c>
      <c r="Z52" s="40">
        <v>65.89</v>
      </c>
      <c r="AA52" s="10">
        <v>66.17</v>
      </c>
      <c r="AB52" s="95">
        <v>1699700</v>
      </c>
      <c r="AC52" s="247">
        <v>65.89</v>
      </c>
      <c r="AD52" s="2">
        <f t="shared" si="0"/>
        <v>0.90999999999999659</v>
      </c>
      <c r="AE52" s="138">
        <f t="shared" si="1"/>
        <v>-1.5153811183511445E-3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52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53"/>
        <v>2080.4499999999998</v>
      </c>
      <c r="L53" s="265"/>
      <c r="M53" s="265"/>
      <c r="O53" s="2"/>
      <c r="P53" s="83">
        <v>0.94</v>
      </c>
      <c r="Q53" s="83">
        <f t="shared" si="48"/>
        <v>61.983599999999996</v>
      </c>
      <c r="R53" s="83"/>
      <c r="T53" s="87" t="s">
        <v>111</v>
      </c>
      <c r="U53" s="130">
        <v>13.18</v>
      </c>
      <c r="W53" s="94">
        <v>42515</v>
      </c>
      <c r="X53" s="10">
        <v>66.45</v>
      </c>
      <c r="Y53" s="40">
        <v>66.78</v>
      </c>
      <c r="Z53" s="40">
        <v>65.11</v>
      </c>
      <c r="AA53" s="10">
        <v>66.27</v>
      </c>
      <c r="AB53" s="95">
        <v>2387400</v>
      </c>
      <c r="AC53" s="247">
        <v>65.989999999999995</v>
      </c>
      <c r="AD53" s="2">
        <f t="shared" si="0"/>
        <v>1.6700000000000017</v>
      </c>
      <c r="AE53" s="138">
        <f t="shared" si="1"/>
        <v>-2.870957993351686E-3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52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53"/>
        <v>2203.4499999999998</v>
      </c>
      <c r="L54" s="265"/>
      <c r="M54" s="265"/>
      <c r="O54" s="2"/>
      <c r="P54" s="83">
        <v>0.93</v>
      </c>
      <c r="Q54" s="83">
        <f t="shared" si="48"/>
        <v>61.324199999999998</v>
      </c>
      <c r="R54" s="83"/>
      <c r="T54" s="87" t="s">
        <v>112</v>
      </c>
      <c r="U54" s="130">
        <v>5.05</v>
      </c>
      <c r="W54" s="94">
        <v>42514</v>
      </c>
      <c r="X54" s="10">
        <v>66.069999999999993</v>
      </c>
      <c r="Y54" s="40">
        <v>66.67</v>
      </c>
      <c r="Z54" s="40">
        <v>65.849999999999994</v>
      </c>
      <c r="AA54" s="10">
        <v>66.459999999999994</v>
      </c>
      <c r="AB54" s="95">
        <v>2768000</v>
      </c>
      <c r="AC54" s="247">
        <v>66.180000000000007</v>
      </c>
      <c r="AD54" s="2">
        <f t="shared" si="0"/>
        <v>0.82000000000000739</v>
      </c>
      <c r="AE54" s="138">
        <f t="shared" si="1"/>
        <v>9.9191210132765217E-3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52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53"/>
        <v>2176.4499999999998</v>
      </c>
      <c r="L55" s="265"/>
      <c r="M55" s="265"/>
      <c r="O55" s="2"/>
      <c r="P55" s="83">
        <v>0.92</v>
      </c>
      <c r="Q55" s="83">
        <f t="shared" si="48"/>
        <v>60.6648</v>
      </c>
      <c r="R55" s="83"/>
      <c r="T55" s="87" t="s">
        <v>109</v>
      </c>
      <c r="U55" s="130" t="s">
        <v>564</v>
      </c>
      <c r="W55" s="94">
        <v>42513</v>
      </c>
      <c r="X55" s="10">
        <v>65.849999999999994</v>
      </c>
      <c r="Y55" s="40">
        <v>67.459999999999994</v>
      </c>
      <c r="Z55" s="40">
        <v>65.760000000000005</v>
      </c>
      <c r="AA55" s="10">
        <v>65.81</v>
      </c>
      <c r="AB55" s="95">
        <v>3368100</v>
      </c>
      <c r="AC55" s="247">
        <v>65.53</v>
      </c>
      <c r="AD55" s="2">
        <f t="shared" si="0"/>
        <v>1.6999999999999886</v>
      </c>
      <c r="AE55" s="138">
        <f t="shared" si="1"/>
        <v>1.9287603048685487E-2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48"/>
        <v>60.005400000000002</v>
      </c>
      <c r="R56" s="83"/>
      <c r="W56" s="94">
        <v>42510</v>
      </c>
      <c r="X56" s="10">
        <v>63.47</v>
      </c>
      <c r="Y56" s="40">
        <v>64.8</v>
      </c>
      <c r="Z56" s="40">
        <v>62.91</v>
      </c>
      <c r="AA56" s="10">
        <v>64.56</v>
      </c>
      <c r="AB56" s="95">
        <v>2236800</v>
      </c>
      <c r="AC56" s="247">
        <v>64.290000000000006</v>
      </c>
      <c r="AD56" s="2">
        <f t="shared" si="0"/>
        <v>1.8900000000000006</v>
      </c>
      <c r="AE56" s="138">
        <f t="shared" si="1"/>
        <v>2.8146489684951259E-2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48"/>
        <v>59.345999999999997</v>
      </c>
      <c r="R57" s="83"/>
      <c r="W57" s="94">
        <v>42509</v>
      </c>
      <c r="X57" s="10">
        <v>63</v>
      </c>
      <c r="Y57" s="40">
        <v>63.84</v>
      </c>
      <c r="Z57" s="40">
        <v>61.83</v>
      </c>
      <c r="AA57" s="10">
        <v>62.8</v>
      </c>
      <c r="AB57" s="95">
        <v>2578700</v>
      </c>
      <c r="AC57" s="247">
        <v>62.53</v>
      </c>
      <c r="AD57" s="2">
        <f t="shared" si="0"/>
        <v>2.0100000000000051</v>
      </c>
      <c r="AE57" s="138">
        <f t="shared" si="1"/>
        <v>-1.2164296998420143E-2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42508</v>
      </c>
      <c r="X58" s="10">
        <v>62.1</v>
      </c>
      <c r="Y58" s="40">
        <v>64.36</v>
      </c>
      <c r="Z58" s="40">
        <v>62.01</v>
      </c>
      <c r="AA58" s="10">
        <v>63.57</v>
      </c>
      <c r="AB58" s="95">
        <v>2633200</v>
      </c>
      <c r="AC58" s="247">
        <v>63.3</v>
      </c>
      <c r="AD58" s="2">
        <f t="shared" si="0"/>
        <v>2.3500000000000014</v>
      </c>
      <c r="AE58" s="138">
        <f t="shared" si="1"/>
        <v>2.0145044319097583E-2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42507</v>
      </c>
      <c r="X59" s="10">
        <v>62.13</v>
      </c>
      <c r="Y59" s="40">
        <v>63.58</v>
      </c>
      <c r="Z59" s="40">
        <v>61.94</v>
      </c>
      <c r="AA59" s="10">
        <v>62.31</v>
      </c>
      <c r="AB59" s="95">
        <v>3119200</v>
      </c>
      <c r="AC59" s="247">
        <v>62.05</v>
      </c>
      <c r="AD59" s="2">
        <f t="shared" si="0"/>
        <v>1.6400000000000006</v>
      </c>
      <c r="AE59" s="138">
        <f t="shared" si="1"/>
        <v>-1.7696267696267753E-3</v>
      </c>
    </row>
    <row r="60" spans="1:31" x14ac:dyDescent="0.25">
      <c r="W60" s="94">
        <v>42506</v>
      </c>
      <c r="X60" s="10">
        <v>61.11</v>
      </c>
      <c r="Y60" s="40">
        <v>62.86</v>
      </c>
      <c r="Z60" s="40">
        <v>60.96</v>
      </c>
      <c r="AA60" s="10">
        <v>62.42</v>
      </c>
      <c r="AB60" s="95">
        <v>3261600</v>
      </c>
      <c r="AC60" s="247">
        <v>62.16</v>
      </c>
      <c r="AD60" s="2">
        <f t="shared" si="0"/>
        <v>1.8999999999999986</v>
      </c>
      <c r="AE60" s="138">
        <f t="shared" si="1"/>
        <v>2.7607869069267599E-2</v>
      </c>
    </row>
    <row r="61" spans="1:31" x14ac:dyDescent="0.25">
      <c r="W61" s="94">
        <v>42503</v>
      </c>
      <c r="X61" s="10">
        <v>60.97</v>
      </c>
      <c r="Y61" s="40">
        <v>62.24</v>
      </c>
      <c r="Z61" s="40">
        <v>60.43</v>
      </c>
      <c r="AA61" s="10">
        <v>60.75</v>
      </c>
      <c r="AB61" s="95">
        <v>4892400</v>
      </c>
      <c r="AC61" s="247">
        <v>60.49</v>
      </c>
      <c r="AD61" s="2">
        <f t="shared" si="0"/>
        <v>1.8100000000000023</v>
      </c>
      <c r="AE61" s="138">
        <f t="shared" si="1"/>
        <v>-1.4820846905537421E-2</v>
      </c>
    </row>
    <row r="62" spans="1:31" x14ac:dyDescent="0.25">
      <c r="W62" s="94">
        <v>42502</v>
      </c>
      <c r="X62" s="10">
        <v>64.849999999999994</v>
      </c>
      <c r="Y62" s="40">
        <v>64.95</v>
      </c>
      <c r="Z62" s="40">
        <v>60.92</v>
      </c>
      <c r="AA62" s="10">
        <v>61.66</v>
      </c>
      <c r="AB62" s="95">
        <v>5182300</v>
      </c>
      <c r="AC62" s="247">
        <v>61.4</v>
      </c>
      <c r="AD62" s="2">
        <f t="shared" si="0"/>
        <v>4.0300000000000011</v>
      </c>
      <c r="AE62" s="138">
        <f t="shared" si="1"/>
        <v>-4.5398009950248674E-2</v>
      </c>
    </row>
    <row r="63" spans="1:31" x14ac:dyDescent="0.25">
      <c r="W63" s="94">
        <v>42501</v>
      </c>
      <c r="X63" s="10">
        <v>64.66</v>
      </c>
      <c r="Y63" s="40">
        <v>65.31</v>
      </c>
      <c r="Z63" s="40">
        <v>64.349999999999994</v>
      </c>
      <c r="AA63" s="10">
        <v>64.59</v>
      </c>
      <c r="AB63" s="95">
        <v>2168600</v>
      </c>
      <c r="AC63" s="247">
        <v>64.319999999999993</v>
      </c>
      <c r="AD63" s="2">
        <f t="shared" si="0"/>
        <v>0.96000000000000796</v>
      </c>
      <c r="AE63" s="138">
        <f t="shared" si="1"/>
        <v>-4.1802136553648062E-3</v>
      </c>
    </row>
    <row r="64" spans="1:31" x14ac:dyDescent="0.25">
      <c r="W64" s="94">
        <v>42500</v>
      </c>
      <c r="X64" s="10">
        <v>64.900000000000006</v>
      </c>
      <c r="Y64" s="40">
        <v>65.11</v>
      </c>
      <c r="Z64" s="40">
        <v>63.75</v>
      </c>
      <c r="AA64" s="10">
        <v>64.86</v>
      </c>
      <c r="AB64" s="95">
        <v>2398600</v>
      </c>
      <c r="AC64" s="247">
        <v>64.59</v>
      </c>
      <c r="AD64" s="2">
        <f t="shared" si="0"/>
        <v>1.3599999999999994</v>
      </c>
      <c r="AE64" s="138" t="e">
        <f t="shared" si="1"/>
        <v>#DIV/0!</v>
      </c>
    </row>
    <row r="65" spans="23:31" x14ac:dyDescent="0.25">
      <c r="W65" s="94">
        <v>42500</v>
      </c>
      <c r="X65" s="10" t="s">
        <v>142</v>
      </c>
      <c r="Y65" s="40"/>
      <c r="Z65" s="40"/>
      <c r="AA65" s="10"/>
      <c r="AB65" s="95"/>
      <c r="AC65" s="247"/>
      <c r="AD65" s="2">
        <f t="shared" si="0"/>
        <v>0</v>
      </c>
      <c r="AE65" s="138">
        <f t="shared" si="1"/>
        <v>-1</v>
      </c>
    </row>
    <row r="66" spans="23:31" x14ac:dyDescent="0.25">
      <c r="W66" s="94">
        <v>42499</v>
      </c>
      <c r="X66" s="10">
        <v>64.42</v>
      </c>
      <c r="Y66" s="40">
        <v>65.569999999999993</v>
      </c>
      <c r="Z66" s="40">
        <v>64.42</v>
      </c>
      <c r="AA66" s="10">
        <v>65.05</v>
      </c>
      <c r="AB66" s="95">
        <v>2494300</v>
      </c>
      <c r="AC66" s="247">
        <v>64.52</v>
      </c>
      <c r="AD66" s="2">
        <f t="shared" si="0"/>
        <v>1.1499999999999915</v>
      </c>
      <c r="AE66" s="138">
        <f t="shared" si="1"/>
        <v>6.5522620904836515E-3</v>
      </c>
    </row>
    <row r="67" spans="23:31" x14ac:dyDescent="0.25">
      <c r="W67" s="94">
        <v>42496</v>
      </c>
      <c r="X67" s="10">
        <v>64.2</v>
      </c>
      <c r="Y67" s="40">
        <v>64.650000000000006</v>
      </c>
      <c r="Z67" s="40">
        <v>62.62</v>
      </c>
      <c r="AA67" s="10">
        <v>64.63</v>
      </c>
      <c r="AB67" s="95">
        <v>3016300</v>
      </c>
      <c r="AC67" s="247">
        <v>64.099999999999994</v>
      </c>
      <c r="AD67" s="2">
        <f t="shared" si="0"/>
        <v>2.0300000000000082</v>
      </c>
      <c r="AE67" s="138">
        <f t="shared" si="1"/>
        <v>4.3873393920399462E-3</v>
      </c>
    </row>
    <row r="68" spans="23:31" x14ac:dyDescent="0.25">
      <c r="W68" s="94">
        <v>42495</v>
      </c>
      <c r="X68" s="10">
        <v>66.12</v>
      </c>
      <c r="Y68" s="40">
        <v>66.19</v>
      </c>
      <c r="Z68" s="40">
        <v>64.25</v>
      </c>
      <c r="AA68" s="10">
        <v>64.349999999999994</v>
      </c>
      <c r="AB68" s="95">
        <v>2815600</v>
      </c>
      <c r="AC68" s="247">
        <v>63.82</v>
      </c>
      <c r="AD68" s="2">
        <f>Y68-Z68</f>
        <v>1.9399999999999977</v>
      </c>
      <c r="AE68" s="138" t="e">
        <f>AC68/#REF!-1</f>
        <v>#REF!</v>
      </c>
    </row>
    <row r="69" spans="23:31" x14ac:dyDescent="0.25">
      <c r="W69" s="217">
        <v>42494</v>
      </c>
      <c r="X69" s="96">
        <v>66.489999999999995</v>
      </c>
      <c r="Y69" s="247">
        <v>67.010000000000005</v>
      </c>
      <c r="Z69" s="247">
        <v>64.78</v>
      </c>
      <c r="AA69" s="96">
        <v>65.23</v>
      </c>
      <c r="AB69" s="218">
        <v>2505900</v>
      </c>
      <c r="AC69" s="247">
        <v>64.69</v>
      </c>
      <c r="AD69" s="2" t="e">
        <f>#REF!-#REF!</f>
        <v>#REF!</v>
      </c>
      <c r="AE69" s="138" t="e">
        <f>#REF!/AC70-1</f>
        <v>#REF!</v>
      </c>
    </row>
    <row r="70" spans="23:31" x14ac:dyDescent="0.25">
      <c r="W70" s="94" t="s">
        <v>122</v>
      </c>
      <c r="X70" s="10"/>
      <c r="Y70" s="40"/>
      <c r="Z70" s="40"/>
      <c r="AA70" s="10"/>
      <c r="AB70" s="95"/>
      <c r="AC70" s="247"/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2">
    <cfRule type="expression" dxfId="359" priority="27">
      <formula>F40&gt;0</formula>
    </cfRule>
    <cfRule type="expression" dxfId="358" priority="28">
      <formula>F40&lt;0</formula>
    </cfRule>
  </conditionalFormatting>
  <conditionalFormatting sqref="F40:F42">
    <cfRule type="expression" dxfId="357" priority="29">
      <formula>F40&gt;0</formula>
    </cfRule>
    <cfRule type="expression" dxfId="356" priority="30">
      <formula>F40&lt;0</formula>
    </cfRule>
  </conditionalFormatting>
  <conditionalFormatting sqref="H40:H42">
    <cfRule type="expression" dxfId="355" priority="25">
      <formula>H40&gt;0</formula>
    </cfRule>
    <cfRule type="expression" dxfId="354" priority="26">
      <formula>H40&lt;0</formula>
    </cfRule>
  </conditionalFormatting>
  <conditionalFormatting sqref="F23:F39">
    <cfRule type="expression" dxfId="353" priority="11">
      <formula>F23&gt;0</formula>
    </cfRule>
    <cfRule type="expression" dxfId="352" priority="12">
      <formula>F23&lt;0</formula>
    </cfRule>
  </conditionalFormatting>
  <conditionalFormatting sqref="H23:H39">
    <cfRule type="expression" dxfId="351" priority="9">
      <formula>H23&gt;0</formula>
    </cfRule>
    <cfRule type="expression" dxfId="350" priority="10">
      <formula>H23&lt;0</formula>
    </cfRule>
  </conditionalFormatting>
  <conditionalFormatting sqref="Q7">
    <cfRule type="expression" dxfId="349" priority="7">
      <formula>Q7&gt;0</formula>
    </cfRule>
    <cfRule type="expression" dxfId="348" priority="8">
      <formula>Q7&lt;0</formula>
    </cfRule>
  </conditionalFormatting>
  <conditionalFormatting sqref="Q8">
    <cfRule type="expression" dxfId="347" priority="5">
      <formula>Q8&gt;0</formula>
    </cfRule>
    <cfRule type="expression" dxfId="346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42587</v>
      </c>
      <c r="X2" s="41">
        <v>61.63</v>
      </c>
      <c r="Y2" s="41">
        <v>62.21</v>
      </c>
      <c r="Z2" s="41">
        <v>61.54</v>
      </c>
      <c r="AA2" s="41">
        <v>61.95</v>
      </c>
      <c r="AB2" s="104">
        <v>899900</v>
      </c>
      <c r="AC2" s="9">
        <v>61.95</v>
      </c>
      <c r="AD2" s="2">
        <f>Y2-Z2</f>
        <v>0.67000000000000171</v>
      </c>
      <c r="AE2" s="138">
        <f>AC2/AC3-1</f>
        <v>2.4271844660195274E-3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62.29</v>
      </c>
      <c r="W3" s="123">
        <v>42586</v>
      </c>
      <c r="X3" s="41">
        <v>62.05</v>
      </c>
      <c r="Y3" s="41">
        <v>62.16</v>
      </c>
      <c r="Z3" s="41">
        <v>61.4</v>
      </c>
      <c r="AA3" s="41">
        <v>61.8</v>
      </c>
      <c r="AB3" s="104">
        <v>762200</v>
      </c>
      <c r="AC3" s="9">
        <v>61.8</v>
      </c>
      <c r="AD3" s="2">
        <f t="shared" ref="AD3:AD66" si="0">Y3-Z3</f>
        <v>0.75999999999999801</v>
      </c>
      <c r="AE3" s="138">
        <f t="shared" ref="AE3:AE66" si="1">AC3/AC4-1</f>
        <v>-7.3883713459684808E-3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62.29</v>
      </c>
      <c r="T4" s="1"/>
      <c r="W4" s="123">
        <v>42585</v>
      </c>
      <c r="X4" s="41">
        <v>61.88</v>
      </c>
      <c r="Y4" s="41">
        <v>62.66</v>
      </c>
      <c r="Z4" s="41">
        <v>61.71</v>
      </c>
      <c r="AA4" s="41">
        <v>62.26</v>
      </c>
      <c r="AB4" s="104">
        <v>982400</v>
      </c>
      <c r="AC4" s="9">
        <v>62.26</v>
      </c>
      <c r="AD4" s="2">
        <f t="shared" si="0"/>
        <v>0.94999999999999574</v>
      </c>
      <c r="AE4" s="138">
        <f t="shared" si="1"/>
        <v>7.1174377224199059E-3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42584</v>
      </c>
      <c r="X5" s="41">
        <v>63.77</v>
      </c>
      <c r="Y5" s="41">
        <v>64.27</v>
      </c>
      <c r="Z5" s="41">
        <v>61.71</v>
      </c>
      <c r="AA5" s="41">
        <v>61.82</v>
      </c>
      <c r="AB5" s="104">
        <v>1317800</v>
      </c>
      <c r="AC5" s="9">
        <v>61.82</v>
      </c>
      <c r="AD5" s="2">
        <f t="shared" si="0"/>
        <v>2.5599999999999952</v>
      </c>
      <c r="AE5" s="138">
        <f t="shared" si="1"/>
        <v>-1.4192313825546199E-2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42583</v>
      </c>
      <c r="X6" s="41">
        <v>62.8</v>
      </c>
      <c r="Y6" s="41">
        <v>63.14</v>
      </c>
      <c r="Z6" s="41">
        <v>61.9</v>
      </c>
      <c r="AA6" s="41">
        <v>62.71</v>
      </c>
      <c r="AB6" s="104">
        <v>878200</v>
      </c>
      <c r="AC6" s="9">
        <v>62.71</v>
      </c>
      <c r="AD6" s="2">
        <f t="shared" si="0"/>
        <v>1.240000000000002</v>
      </c>
      <c r="AE6" s="138">
        <f t="shared" si="1"/>
        <v>-7.9101408005062268E-3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188</v>
      </c>
      <c r="Q7" s="2">
        <f>Q10+Q8</f>
        <v>121.94999999999982</v>
      </c>
      <c r="R7">
        <v>0</v>
      </c>
      <c r="W7" s="123">
        <v>42580</v>
      </c>
      <c r="X7" s="41">
        <v>63.7</v>
      </c>
      <c r="Y7" s="41">
        <v>63.89</v>
      </c>
      <c r="Z7" s="41">
        <v>63.18</v>
      </c>
      <c r="AA7" s="41">
        <v>63.21</v>
      </c>
      <c r="AB7" s="104">
        <v>981800</v>
      </c>
      <c r="AC7" s="9">
        <v>63.21</v>
      </c>
      <c r="AD7" s="2">
        <f t="shared" si="0"/>
        <v>0.71000000000000085</v>
      </c>
      <c r="AE7" s="138">
        <f t="shared" si="1"/>
        <v>-5.5066079295154058E-3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192</v>
      </c>
      <c r="P8" s="34"/>
      <c r="Q8" s="2">
        <f>K18+M18-F18+Q2*Q4</f>
        <v>0</v>
      </c>
      <c r="R8" s="166"/>
      <c r="W8" s="123">
        <v>42579</v>
      </c>
      <c r="X8" s="41">
        <v>63.74</v>
      </c>
      <c r="Y8" s="41">
        <v>64.22</v>
      </c>
      <c r="Z8" s="41">
        <v>63.48</v>
      </c>
      <c r="AA8" s="41">
        <v>63.56</v>
      </c>
      <c r="AB8" s="104">
        <v>792100</v>
      </c>
      <c r="AC8" s="9">
        <v>63.56</v>
      </c>
      <c r="AD8" s="2">
        <f t="shared" si="0"/>
        <v>0.74000000000000199</v>
      </c>
      <c r="AE8" s="138">
        <f t="shared" si="1"/>
        <v>-1.4139827179889819E-3</v>
      </c>
      <c r="AL8" s="236"/>
      <c r="AO8" s="236"/>
    </row>
    <row r="9" spans="1:42" x14ac:dyDescent="0.25">
      <c r="O9" s="11" t="s">
        <v>231</v>
      </c>
      <c r="Q9" s="138">
        <f>IF(Q2=0, 0, Q8/Q6)</f>
        <v>0</v>
      </c>
      <c r="W9" s="123">
        <v>42578</v>
      </c>
      <c r="X9" s="41">
        <v>63.41</v>
      </c>
      <c r="Y9" s="41">
        <v>64.099999999999994</v>
      </c>
      <c r="Z9" s="41">
        <v>63.29</v>
      </c>
      <c r="AA9" s="41">
        <v>63.65</v>
      </c>
      <c r="AB9" s="104">
        <v>1232100</v>
      </c>
      <c r="AC9" s="9">
        <v>63.65</v>
      </c>
      <c r="AD9" s="2">
        <f t="shared" si="0"/>
        <v>0.80999999999999517</v>
      </c>
      <c r="AE9" s="138">
        <f t="shared" si="1"/>
        <v>5.0528975209220839E-3</v>
      </c>
      <c r="AL9" s="236"/>
      <c r="AO9" s="236"/>
    </row>
    <row r="10" spans="1:42" x14ac:dyDescent="0.25">
      <c r="O10" s="11" t="s">
        <v>230</v>
      </c>
      <c r="P10" s="34"/>
      <c r="Q10" s="2">
        <f>M36</f>
        <v>121.94999999999982</v>
      </c>
      <c r="W10" s="123">
        <v>42577</v>
      </c>
      <c r="X10" s="41">
        <v>64.400000000000006</v>
      </c>
      <c r="Y10" s="41">
        <v>64.73</v>
      </c>
      <c r="Z10" s="41">
        <v>62.67</v>
      </c>
      <c r="AA10" s="41">
        <v>63.33</v>
      </c>
      <c r="AB10" s="104">
        <v>1708100</v>
      </c>
      <c r="AC10" s="9">
        <v>63.33</v>
      </c>
      <c r="AD10" s="2">
        <f t="shared" si="0"/>
        <v>2.0600000000000023</v>
      </c>
      <c r="AE10" s="138">
        <f t="shared" si="1"/>
        <v>-2.2057665038600627E-3</v>
      </c>
      <c r="AL10" s="236"/>
      <c r="AO10" s="236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1.84E-2</v>
      </c>
      <c r="T11" s="11"/>
      <c r="W11" s="123">
        <v>42576</v>
      </c>
      <c r="X11" s="41">
        <v>63.02</v>
      </c>
      <c r="Y11" s="41">
        <v>63.54</v>
      </c>
      <c r="Z11" s="41">
        <v>62.7</v>
      </c>
      <c r="AA11" s="41">
        <v>63.47</v>
      </c>
      <c r="AB11" s="104">
        <v>2205500</v>
      </c>
      <c r="AC11" s="9">
        <v>63.47</v>
      </c>
      <c r="AD11" s="2">
        <f t="shared" si="0"/>
        <v>0.83999999999999631</v>
      </c>
      <c r="AE11" s="138">
        <f t="shared" si="1"/>
        <v>2.2106426654033839E-3</v>
      </c>
      <c r="AL11" s="236"/>
      <c r="AO11" s="236"/>
    </row>
    <row r="12" spans="1:42" x14ac:dyDescent="0.25">
      <c r="W12" s="123">
        <v>42573</v>
      </c>
      <c r="X12" s="41">
        <v>63.17</v>
      </c>
      <c r="Y12" s="41">
        <v>63.38</v>
      </c>
      <c r="Z12" s="41">
        <v>62.77</v>
      </c>
      <c r="AA12" s="41">
        <v>63.33</v>
      </c>
      <c r="AB12" s="104">
        <v>736700</v>
      </c>
      <c r="AC12" s="9">
        <v>63.33</v>
      </c>
      <c r="AD12" s="2">
        <f t="shared" si="0"/>
        <v>0.60999999999999943</v>
      </c>
      <c r="AE12" s="138">
        <f t="shared" si="1"/>
        <v>5.8767471410419159E-3</v>
      </c>
      <c r="AL12" s="236"/>
      <c r="AO12" s="236"/>
    </row>
    <row r="13" spans="1:42" x14ac:dyDescent="0.25">
      <c r="W13" s="123">
        <v>42572</v>
      </c>
      <c r="X13" s="41">
        <v>63.31</v>
      </c>
      <c r="Y13" s="41">
        <v>63.57</v>
      </c>
      <c r="Z13" s="41">
        <v>62.53</v>
      </c>
      <c r="AA13" s="41">
        <v>62.96</v>
      </c>
      <c r="AB13" s="104">
        <v>810400</v>
      </c>
      <c r="AC13" s="9">
        <v>62.96</v>
      </c>
      <c r="AD13" s="2">
        <f t="shared" si="0"/>
        <v>1.0399999999999991</v>
      </c>
      <c r="AE13" s="138">
        <f t="shared" si="1"/>
        <v>-1.0529624391010572E-2</v>
      </c>
    </row>
    <row r="14" spans="1:42" x14ac:dyDescent="0.25">
      <c r="W14" s="123">
        <v>42571</v>
      </c>
      <c r="X14" s="41">
        <v>62.43</v>
      </c>
      <c r="Y14" s="41">
        <v>63.77</v>
      </c>
      <c r="Z14" s="41">
        <v>62.35</v>
      </c>
      <c r="AA14" s="41">
        <v>63.63</v>
      </c>
      <c r="AB14" s="104">
        <v>1184700</v>
      </c>
      <c r="AC14" s="9">
        <v>63.63</v>
      </c>
      <c r="AD14" s="2">
        <f t="shared" si="0"/>
        <v>1.4200000000000017</v>
      </c>
      <c r="AE14" s="138">
        <f t="shared" si="1"/>
        <v>1.6778523489932917E-2</v>
      </c>
    </row>
    <row r="15" spans="1:42" x14ac:dyDescent="0.25">
      <c r="V15" s="2"/>
      <c r="W15" s="123">
        <v>42570</v>
      </c>
      <c r="X15" s="41">
        <v>62.3</v>
      </c>
      <c r="Y15" s="41">
        <v>62.7</v>
      </c>
      <c r="Z15" s="41">
        <v>62.14</v>
      </c>
      <c r="AA15" s="41">
        <v>62.58</v>
      </c>
      <c r="AB15" s="104">
        <v>1092300</v>
      </c>
      <c r="AC15" s="9">
        <v>62.58</v>
      </c>
      <c r="AD15" s="2">
        <f t="shared" si="0"/>
        <v>0.56000000000000227</v>
      </c>
      <c r="AE15" s="138">
        <f t="shared" si="1"/>
        <v>-2.2321428571429047E-3</v>
      </c>
      <c r="AL15" s="236"/>
      <c r="AO15" s="236"/>
      <c r="AP15" s="236"/>
    </row>
    <row r="16" spans="1:42" x14ac:dyDescent="0.25">
      <c r="V16" s="2"/>
      <c r="W16" s="123">
        <v>42569</v>
      </c>
      <c r="X16" s="41">
        <v>62.08</v>
      </c>
      <c r="Y16" s="41">
        <v>62.88</v>
      </c>
      <c r="Z16" s="41">
        <v>62.04</v>
      </c>
      <c r="AA16" s="41">
        <v>62.72</v>
      </c>
      <c r="AB16" s="104">
        <v>782300</v>
      </c>
      <c r="AC16" s="9">
        <v>62.72</v>
      </c>
      <c r="AD16" s="2">
        <f t="shared" si="0"/>
        <v>0.84000000000000341</v>
      </c>
      <c r="AE16" s="138">
        <f t="shared" si="1"/>
        <v>6.9031947343072275E-3</v>
      </c>
    </row>
    <row r="17" spans="1:42" x14ac:dyDescent="0.25">
      <c r="V17" s="2"/>
      <c r="W17" s="123">
        <v>42566</v>
      </c>
      <c r="X17" s="41">
        <v>62.52</v>
      </c>
      <c r="Y17" s="41">
        <v>62.85</v>
      </c>
      <c r="Z17" s="41">
        <v>62.01</v>
      </c>
      <c r="AA17" s="41">
        <v>62.29</v>
      </c>
      <c r="AB17" s="104">
        <v>633400</v>
      </c>
      <c r="AC17" s="9">
        <v>62.29</v>
      </c>
      <c r="AD17" s="2">
        <f t="shared" si="0"/>
        <v>0.84000000000000341</v>
      </c>
      <c r="AE17" s="138">
        <f t="shared" si="1"/>
        <v>-2.2425116130065925E-3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42565</v>
      </c>
      <c r="X18" s="41">
        <v>62.26</v>
      </c>
      <c r="Y18" s="41">
        <v>62.89</v>
      </c>
      <c r="Z18" s="41">
        <v>62.1</v>
      </c>
      <c r="AA18" s="41">
        <v>62.43</v>
      </c>
      <c r="AB18" s="104">
        <v>985900</v>
      </c>
      <c r="AC18" s="9">
        <v>62.43</v>
      </c>
      <c r="AD18" s="2">
        <f t="shared" si="0"/>
        <v>0.78999999999999915</v>
      </c>
      <c r="AE18" s="138">
        <f t="shared" si="1"/>
        <v>1.1339705167665581E-2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42564</v>
      </c>
      <c r="X19" s="41">
        <v>61.29</v>
      </c>
      <c r="Y19" s="41">
        <v>62.03</v>
      </c>
      <c r="Z19" s="41">
        <v>60.88</v>
      </c>
      <c r="AA19" s="41">
        <v>61.73</v>
      </c>
      <c r="AB19" s="104">
        <v>963500</v>
      </c>
      <c r="AC19" s="9">
        <v>61.73</v>
      </c>
      <c r="AD19" s="2">
        <f t="shared" si="0"/>
        <v>1.1499999999999986</v>
      </c>
      <c r="AE19" s="138">
        <f t="shared" si="1"/>
        <v>8.8249714005557145E-3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42563</v>
      </c>
      <c r="X20" s="41">
        <v>60.71</v>
      </c>
      <c r="Y20" s="41">
        <v>61.39</v>
      </c>
      <c r="Z20" s="41">
        <v>60</v>
      </c>
      <c r="AA20" s="41">
        <v>61.19</v>
      </c>
      <c r="AB20" s="104">
        <v>1162500</v>
      </c>
      <c r="AC20" s="9">
        <v>61.19</v>
      </c>
      <c r="AD20" s="2">
        <f t="shared" si="0"/>
        <v>1.3900000000000006</v>
      </c>
      <c r="AE20" s="138">
        <f t="shared" si="1"/>
        <v>2.7885099949605197E-2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42562</v>
      </c>
      <c r="X21" s="41">
        <v>59.91</v>
      </c>
      <c r="Y21" s="41">
        <v>60.2</v>
      </c>
      <c r="Z21" s="41">
        <v>59.51</v>
      </c>
      <c r="AA21" s="41">
        <v>59.53</v>
      </c>
      <c r="AB21" s="104">
        <v>1145200</v>
      </c>
      <c r="AC21" s="9">
        <v>59.53</v>
      </c>
      <c r="AD21" s="2">
        <f t="shared" si="0"/>
        <v>0.69000000000000483</v>
      </c>
      <c r="AE21" s="138">
        <f t="shared" si="1"/>
        <v>-6.3428476047403537E-3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42559</v>
      </c>
      <c r="X22" s="41">
        <v>59.35</v>
      </c>
      <c r="Y22" s="41">
        <v>60.44</v>
      </c>
      <c r="Z22" s="41">
        <v>59.32</v>
      </c>
      <c r="AA22" s="41">
        <v>59.91</v>
      </c>
      <c r="AB22" s="104">
        <v>910700</v>
      </c>
      <c r="AC22" s="9">
        <v>59.91</v>
      </c>
      <c r="AD22" s="2">
        <f t="shared" si="0"/>
        <v>1.1199999999999974</v>
      </c>
      <c r="AE22" s="138">
        <f t="shared" si="1"/>
        <v>1.5423728813559245E-2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42558</v>
      </c>
      <c r="X23" s="41">
        <v>59.91</v>
      </c>
      <c r="Y23" s="41">
        <v>60</v>
      </c>
      <c r="Z23" s="41">
        <v>58.65</v>
      </c>
      <c r="AA23" s="41">
        <v>59</v>
      </c>
      <c r="AB23" s="104">
        <v>683500</v>
      </c>
      <c r="AC23" s="9">
        <v>59</v>
      </c>
      <c r="AD23" s="2">
        <f t="shared" si="0"/>
        <v>1.3500000000000014</v>
      </c>
      <c r="AE23" s="138">
        <f t="shared" si="1"/>
        <v>-6.3994610980128153E-3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42557</v>
      </c>
      <c r="X24" s="41">
        <v>58.78</v>
      </c>
      <c r="Y24" s="41">
        <v>59.49</v>
      </c>
      <c r="Z24" s="41">
        <v>58.21</v>
      </c>
      <c r="AA24" s="41">
        <v>59.38</v>
      </c>
      <c r="AB24" s="104">
        <v>495000</v>
      </c>
      <c r="AC24" s="9">
        <v>59.38</v>
      </c>
      <c r="AD24" s="2">
        <f t="shared" si="0"/>
        <v>1.2800000000000011</v>
      </c>
      <c r="AE24" s="138">
        <f t="shared" si="1"/>
        <v>3.0405405405404817E-3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42556</v>
      </c>
      <c r="X25" s="41">
        <v>59.46</v>
      </c>
      <c r="Y25" s="41">
        <v>60.23</v>
      </c>
      <c r="Z25" s="41">
        <v>59.04</v>
      </c>
      <c r="AA25" s="41">
        <v>59.2</v>
      </c>
      <c r="AB25" s="104">
        <v>962300</v>
      </c>
      <c r="AC25" s="9">
        <v>59.2</v>
      </c>
      <c r="AD25" s="2">
        <f t="shared" si="0"/>
        <v>1.1899999999999977</v>
      </c>
      <c r="AE25" s="138">
        <f t="shared" si="1"/>
        <v>-6.7521944631998565E-4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42552</v>
      </c>
      <c r="X26" s="41">
        <v>59.29</v>
      </c>
      <c r="Y26" s="41">
        <v>59.56</v>
      </c>
      <c r="Z26" s="41">
        <v>58.99</v>
      </c>
      <c r="AA26" s="41">
        <v>59.24</v>
      </c>
      <c r="AB26" s="104">
        <v>345900</v>
      </c>
      <c r="AC26" s="9">
        <v>59.24</v>
      </c>
      <c r="AD26" s="2">
        <f t="shared" si="0"/>
        <v>0.57000000000000028</v>
      </c>
      <c r="AE26" s="138">
        <f t="shared" si="1"/>
        <v>3.0477480528277034E-3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42551</v>
      </c>
      <c r="X27" s="41">
        <v>58.73</v>
      </c>
      <c r="Y27" s="41">
        <v>59.21</v>
      </c>
      <c r="Z27" s="41">
        <v>58.01</v>
      </c>
      <c r="AA27" s="41">
        <v>59.06</v>
      </c>
      <c r="AB27" s="104">
        <v>928600</v>
      </c>
      <c r="AC27" s="9">
        <v>59.06</v>
      </c>
      <c r="AD27" s="2">
        <f t="shared" si="0"/>
        <v>1.2000000000000028</v>
      </c>
      <c r="AE27" s="138">
        <f t="shared" si="1"/>
        <v>9.2276144907723623E-3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42550</v>
      </c>
      <c r="X28" s="41">
        <v>57.86</v>
      </c>
      <c r="Y28" s="41">
        <v>58.64</v>
      </c>
      <c r="Z28" s="41">
        <v>57.46</v>
      </c>
      <c r="AA28" s="41">
        <v>58.52</v>
      </c>
      <c r="AB28" s="104">
        <v>1097100</v>
      </c>
      <c r="AC28" s="9">
        <v>58.52</v>
      </c>
      <c r="AD28" s="2">
        <f t="shared" si="0"/>
        <v>1.1799999999999997</v>
      </c>
      <c r="AE28" s="138">
        <f t="shared" si="1"/>
        <v>1.7562163102069261E-2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42549</v>
      </c>
      <c r="X29" s="41">
        <v>56.99</v>
      </c>
      <c r="Y29" s="41">
        <v>57.69</v>
      </c>
      <c r="Z29" s="41">
        <v>56.51</v>
      </c>
      <c r="AA29" s="41">
        <v>57.51</v>
      </c>
      <c r="AB29" s="104">
        <v>988100</v>
      </c>
      <c r="AC29" s="9">
        <v>57.51</v>
      </c>
      <c r="AD29" s="2">
        <f t="shared" si="0"/>
        <v>1.1799999999999997</v>
      </c>
      <c r="AE29" s="138">
        <f t="shared" si="1"/>
        <v>1.9680851063829774E-2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42548</v>
      </c>
      <c r="X30" s="41">
        <v>56.4</v>
      </c>
      <c r="Y30" s="41">
        <v>56.78</v>
      </c>
      <c r="Z30" s="41">
        <v>55.73</v>
      </c>
      <c r="AA30" s="41">
        <v>56.4</v>
      </c>
      <c r="AB30" s="104">
        <v>1199600</v>
      </c>
      <c r="AC30" s="9">
        <v>56.4</v>
      </c>
      <c r="AD30" s="2">
        <f t="shared" si="0"/>
        <v>1.0500000000000043</v>
      </c>
      <c r="AE30" s="138">
        <f t="shared" si="1"/>
        <v>-1.0699877214523812E-2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42545</v>
      </c>
      <c r="X31" s="41">
        <v>57.19</v>
      </c>
      <c r="Y31" s="41">
        <v>58.11</v>
      </c>
      <c r="Z31" s="41">
        <v>56.85</v>
      </c>
      <c r="AA31" s="41">
        <v>57.01</v>
      </c>
      <c r="AB31" s="104">
        <v>1140600</v>
      </c>
      <c r="AC31" s="9">
        <v>57.01</v>
      </c>
      <c r="AD31" s="2">
        <f t="shared" si="0"/>
        <v>1.259999999999998</v>
      </c>
      <c r="AE31" s="138">
        <f t="shared" si="1"/>
        <v>-4.3135280295401146E-2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42544</v>
      </c>
      <c r="X32" s="41">
        <v>59.7</v>
      </c>
      <c r="Y32" s="41">
        <v>60.07</v>
      </c>
      <c r="Z32" s="41">
        <v>59.42</v>
      </c>
      <c r="AA32" s="41">
        <v>59.58</v>
      </c>
      <c r="AB32" s="104">
        <v>580600</v>
      </c>
      <c r="AC32" s="9">
        <v>59.58</v>
      </c>
      <c r="AD32" s="2">
        <f t="shared" si="0"/>
        <v>0.64999999999999858</v>
      </c>
      <c r="AE32" s="138">
        <f t="shared" si="1"/>
        <v>9.4883090477804188E-3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42543</v>
      </c>
      <c r="X33" s="41">
        <v>58.11</v>
      </c>
      <c r="Y33" s="41">
        <v>59.1</v>
      </c>
      <c r="Z33" s="41">
        <v>58.11</v>
      </c>
      <c r="AA33" s="41">
        <v>59.02</v>
      </c>
      <c r="AB33" s="104">
        <v>695400</v>
      </c>
      <c r="AC33" s="9">
        <v>59.02</v>
      </c>
      <c r="AD33" s="2">
        <f t="shared" si="0"/>
        <v>0.99000000000000199</v>
      </c>
      <c r="AE33" s="138">
        <f t="shared" si="1"/>
        <v>1.0616438356164437E-2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42542</v>
      </c>
      <c r="X34" s="41">
        <v>57.92</v>
      </c>
      <c r="Y34" s="41">
        <v>58.9</v>
      </c>
      <c r="Z34" s="41">
        <v>57.54</v>
      </c>
      <c r="AA34" s="41">
        <v>58.4</v>
      </c>
      <c r="AB34" s="104">
        <v>1250600</v>
      </c>
      <c r="AC34" s="9">
        <v>58.4</v>
      </c>
      <c r="AD34" s="2">
        <f t="shared" si="0"/>
        <v>1.3599999999999994</v>
      </c>
      <c r="AE34" s="138">
        <f t="shared" si="1"/>
        <v>-8.6572738075029187E-3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42541</v>
      </c>
      <c r="X35" s="41">
        <v>59.26</v>
      </c>
      <c r="Y35" s="41">
        <v>59.49</v>
      </c>
      <c r="Z35" s="41">
        <v>58.79</v>
      </c>
      <c r="AA35" s="41">
        <v>58.91</v>
      </c>
      <c r="AB35" s="104">
        <v>986900</v>
      </c>
      <c r="AC35" s="9">
        <v>58.91</v>
      </c>
      <c r="AD35" s="2">
        <f t="shared" si="0"/>
        <v>0.70000000000000284</v>
      </c>
      <c r="AE35" s="138">
        <f t="shared" si="1"/>
        <v>8.9056345264599823E-3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230</v>
      </c>
      <c r="M36" s="2">
        <f>K54+M54-F54</f>
        <v>121.94999999999982</v>
      </c>
      <c r="W36" s="123">
        <v>42538</v>
      </c>
      <c r="X36" s="41">
        <v>58.15</v>
      </c>
      <c r="Y36" s="41">
        <v>58.94</v>
      </c>
      <c r="Z36" s="41">
        <v>58.03</v>
      </c>
      <c r="AA36" s="41">
        <v>58.39</v>
      </c>
      <c r="AB36" s="104">
        <v>973500</v>
      </c>
      <c r="AC36" s="9">
        <v>58.39</v>
      </c>
      <c r="AD36" s="2">
        <f t="shared" si="0"/>
        <v>0.90999999999999659</v>
      </c>
      <c r="AE36" s="138">
        <f t="shared" si="1"/>
        <v>6.8977409898258735E-3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42537</v>
      </c>
      <c r="X37" s="41">
        <v>57.32</v>
      </c>
      <c r="Y37" s="41">
        <v>58.07</v>
      </c>
      <c r="Z37" s="41">
        <v>56.29</v>
      </c>
      <c r="AA37" s="41">
        <v>57.99</v>
      </c>
      <c r="AB37" s="104">
        <v>1628600</v>
      </c>
      <c r="AC37" s="9">
        <v>57.99</v>
      </c>
      <c r="AD37" s="2">
        <f t="shared" si="0"/>
        <v>1.7800000000000011</v>
      </c>
      <c r="AE37" s="138">
        <f t="shared" si="1"/>
        <v>-1.7214666896195885E-3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42536</v>
      </c>
      <c r="X38" s="41">
        <v>58.05</v>
      </c>
      <c r="Y38" s="41">
        <v>58.73</v>
      </c>
      <c r="Z38" s="41">
        <v>57.97</v>
      </c>
      <c r="AA38" s="41">
        <v>58.09</v>
      </c>
      <c r="AB38" s="104">
        <v>1086400</v>
      </c>
      <c r="AC38" s="9">
        <v>58.09</v>
      </c>
      <c r="AD38" s="2">
        <f t="shared" si="0"/>
        <v>0.75999999999999801</v>
      </c>
      <c r="AE38" s="138">
        <f t="shared" si="1"/>
        <v>-4.7969847524411691E-3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42535</v>
      </c>
      <c r="X39" s="41">
        <v>58.31</v>
      </c>
      <c r="Y39" s="41">
        <v>58.75</v>
      </c>
      <c r="Z39" s="41">
        <v>58.11</v>
      </c>
      <c r="AA39" s="41">
        <v>58.37</v>
      </c>
      <c r="AB39" s="104">
        <v>728300</v>
      </c>
      <c r="AC39" s="9">
        <v>58.37</v>
      </c>
      <c r="AD39" s="2">
        <f t="shared" si="0"/>
        <v>0.64000000000000057</v>
      </c>
      <c r="AE39" s="138">
        <f t="shared" si="1"/>
        <v>-2.5632262474368783E-3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42534</v>
      </c>
      <c r="X40" s="41">
        <v>58.86</v>
      </c>
      <c r="Y40" s="41">
        <v>59.02</v>
      </c>
      <c r="Z40" s="41">
        <v>58.41</v>
      </c>
      <c r="AA40" s="41">
        <v>58.52</v>
      </c>
      <c r="AB40" s="104">
        <v>1012900</v>
      </c>
      <c r="AC40" s="9">
        <v>58.52</v>
      </c>
      <c r="AD40" s="2">
        <f t="shared" si="0"/>
        <v>0.61000000000000654</v>
      </c>
      <c r="AE40" s="138">
        <f t="shared" si="1"/>
        <v>-1.1319479641831331E-2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42531</v>
      </c>
      <c r="X41" s="41">
        <v>59.7</v>
      </c>
      <c r="Y41" s="41">
        <v>59.94</v>
      </c>
      <c r="Z41" s="41">
        <v>58.93</v>
      </c>
      <c r="AA41" s="41">
        <v>59.19</v>
      </c>
      <c r="AB41" s="104">
        <v>753800</v>
      </c>
      <c r="AC41" s="9">
        <v>59.19</v>
      </c>
      <c r="AD41" s="2">
        <f t="shared" si="0"/>
        <v>1.009999999999998</v>
      </c>
      <c r="AE41" s="138">
        <f t="shared" si="1"/>
        <v>-1.6940707523667164E-2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42530</v>
      </c>
      <c r="X42" s="41">
        <v>60.33</v>
      </c>
      <c r="Y42" s="41">
        <v>60.39</v>
      </c>
      <c r="Z42" s="41">
        <v>59.8</v>
      </c>
      <c r="AA42" s="41">
        <v>60.21</v>
      </c>
      <c r="AB42" s="104">
        <v>561900</v>
      </c>
      <c r="AC42" s="9">
        <v>60.21</v>
      </c>
      <c r="AD42" s="2">
        <f t="shared" si="0"/>
        <v>0.59000000000000341</v>
      </c>
      <c r="AE42" s="138">
        <f t="shared" si="1"/>
        <v>-8.3992094861660149E-3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68.519000000000005</v>
      </c>
      <c r="T43" s="139" t="s">
        <v>98</v>
      </c>
      <c r="U43" s="140">
        <v>61.8</v>
      </c>
      <c r="W43" s="123">
        <v>42529</v>
      </c>
      <c r="X43" s="41">
        <v>61.13</v>
      </c>
      <c r="Y43" s="41">
        <v>61.4</v>
      </c>
      <c r="Z43" s="41">
        <v>60.62</v>
      </c>
      <c r="AA43" s="41">
        <v>60.72</v>
      </c>
      <c r="AB43" s="104">
        <v>973700</v>
      </c>
      <c r="AC43" s="9">
        <v>60.72</v>
      </c>
      <c r="AD43" s="2">
        <f t="shared" si="0"/>
        <v>0.78000000000000114</v>
      </c>
      <c r="AE43" s="138">
        <f t="shared" si="1"/>
        <v>1.980198019801982E-3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67.896100000000004</v>
      </c>
      <c r="T44" s="108" t="s">
        <v>99</v>
      </c>
      <c r="U44" s="106">
        <v>61.63</v>
      </c>
      <c r="W44" s="123">
        <v>42528</v>
      </c>
      <c r="X44" s="41">
        <v>60.43</v>
      </c>
      <c r="Y44" s="41">
        <v>60.7</v>
      </c>
      <c r="Z44" s="41">
        <v>60.21</v>
      </c>
      <c r="AA44" s="41">
        <v>60.6</v>
      </c>
      <c r="AB44" s="104">
        <v>836200</v>
      </c>
      <c r="AC44" s="9">
        <v>60.6</v>
      </c>
      <c r="AD44" s="2">
        <f t="shared" si="0"/>
        <v>0.49000000000000199</v>
      </c>
      <c r="AE44" s="138" t="e">
        <f t="shared" si="1"/>
        <v>#DIV/0!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67.273200000000003</v>
      </c>
      <c r="Q45" s="2"/>
      <c r="T45" s="108" t="s">
        <v>100</v>
      </c>
      <c r="U45" s="106" t="s">
        <v>405</v>
      </c>
      <c r="W45" s="123">
        <v>42528</v>
      </c>
      <c r="X45" s="41" t="s">
        <v>256</v>
      </c>
      <c r="Y45" s="41"/>
      <c r="Z45" s="41"/>
      <c r="AA45" s="41"/>
      <c r="AB45" s="104"/>
      <c r="AC45" s="9"/>
      <c r="AD45" s="2">
        <f t="shared" si="0"/>
        <v>0</v>
      </c>
      <c r="AE45" s="138">
        <f t="shared" si="1"/>
        <v>-1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66.650300000000001</v>
      </c>
      <c r="Q46" s="2"/>
      <c r="T46" s="108" t="s">
        <v>101</v>
      </c>
      <c r="U46" s="106" t="s">
        <v>400</v>
      </c>
      <c r="W46" s="123">
        <v>42527</v>
      </c>
      <c r="X46" s="41">
        <v>60.11</v>
      </c>
      <c r="Y46" s="41">
        <v>60.6</v>
      </c>
      <c r="Z46" s="41">
        <v>59.93</v>
      </c>
      <c r="AA46" s="41">
        <v>60.42</v>
      </c>
      <c r="AB46" s="104">
        <v>613000</v>
      </c>
      <c r="AC46" s="9">
        <v>60.13</v>
      </c>
      <c r="AD46" s="2">
        <f t="shared" si="0"/>
        <v>0.67000000000000171</v>
      </c>
      <c r="AE46" s="138">
        <f t="shared" si="1"/>
        <v>7.5402144772118707E-3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66.0274</v>
      </c>
      <c r="Q47" s="2"/>
      <c r="T47" s="108" t="s">
        <v>102</v>
      </c>
      <c r="U47" s="106">
        <v>62.38</v>
      </c>
      <c r="W47" s="123">
        <v>42524</v>
      </c>
      <c r="X47" s="41">
        <v>59.3</v>
      </c>
      <c r="Y47" s="41">
        <v>60.18</v>
      </c>
      <c r="Z47" s="41">
        <v>58.89</v>
      </c>
      <c r="AA47" s="41">
        <v>59.97</v>
      </c>
      <c r="AB47" s="104">
        <v>902400</v>
      </c>
      <c r="AC47" s="9">
        <v>59.68</v>
      </c>
      <c r="AD47" s="2">
        <f t="shared" si="0"/>
        <v>1.2899999999999991</v>
      </c>
      <c r="AE47" s="138">
        <f t="shared" si="1"/>
        <v>1.9299743808710579E-2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65.404499999999999</v>
      </c>
      <c r="Q48" s="2"/>
      <c r="T48" s="108" t="s">
        <v>103</v>
      </c>
      <c r="U48" s="106">
        <v>1.2538</v>
      </c>
      <c r="W48" s="123">
        <v>42523</v>
      </c>
      <c r="X48" s="41">
        <v>58.69</v>
      </c>
      <c r="Y48" s="41">
        <v>59.12</v>
      </c>
      <c r="Z48" s="41">
        <v>58.63</v>
      </c>
      <c r="AA48" s="41">
        <v>58.84</v>
      </c>
      <c r="AB48" s="104">
        <v>648400</v>
      </c>
      <c r="AC48" s="9">
        <v>58.55</v>
      </c>
      <c r="AD48" s="2">
        <f t="shared" si="0"/>
        <v>0.48999999999999488</v>
      </c>
      <c r="AE48" s="138">
        <f t="shared" si="1"/>
        <v>-4.0823269263480233E-3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64.781599999999997</v>
      </c>
      <c r="Q49" s="2"/>
      <c r="T49" s="108" t="s">
        <v>104</v>
      </c>
      <c r="U49" s="106" t="s">
        <v>130</v>
      </c>
      <c r="W49" s="123">
        <v>42522</v>
      </c>
      <c r="X49" s="41">
        <v>59.18</v>
      </c>
      <c r="Y49" s="41">
        <v>59.22</v>
      </c>
      <c r="Z49" s="41">
        <v>58.56</v>
      </c>
      <c r="AA49" s="41">
        <v>59.08</v>
      </c>
      <c r="AB49" s="104">
        <v>1018500</v>
      </c>
      <c r="AC49" s="9">
        <v>58.79</v>
      </c>
      <c r="AD49" s="2">
        <f t="shared" si="0"/>
        <v>0.65999999999999659</v>
      </c>
      <c r="AE49" s="138">
        <f t="shared" si="1"/>
        <v>-3.5593220338983045E-3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64.158699999999996</v>
      </c>
      <c r="Q50" s="2"/>
      <c r="T50" s="108"/>
      <c r="U50" s="106"/>
      <c r="W50" s="123">
        <v>42521</v>
      </c>
      <c r="X50" s="41">
        <v>60.06</v>
      </c>
      <c r="Y50" s="41">
        <v>60.26</v>
      </c>
      <c r="Z50" s="41">
        <v>59.09</v>
      </c>
      <c r="AA50" s="41">
        <v>59.29</v>
      </c>
      <c r="AB50" s="104">
        <v>1063900</v>
      </c>
      <c r="AC50" s="9">
        <v>59</v>
      </c>
      <c r="AD50" s="2">
        <f t="shared" si="0"/>
        <v>1.1699999999999946</v>
      </c>
      <c r="AE50" s="138">
        <f t="shared" si="1"/>
        <v>-1.2056262558606812E-2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63.535800000000002</v>
      </c>
      <c r="Q51" s="2"/>
      <c r="T51" s="108" t="s">
        <v>105</v>
      </c>
      <c r="U51" s="106" t="s">
        <v>406</v>
      </c>
      <c r="W51" s="123">
        <v>42517</v>
      </c>
      <c r="X51" s="41">
        <v>59.84</v>
      </c>
      <c r="Y51" s="41">
        <v>60.19</v>
      </c>
      <c r="Z51" s="41">
        <v>59.72</v>
      </c>
      <c r="AA51" s="41">
        <v>60.01</v>
      </c>
      <c r="AB51" s="104">
        <v>854900</v>
      </c>
      <c r="AC51" s="9">
        <v>59.72</v>
      </c>
      <c r="AD51" s="2">
        <f t="shared" si="0"/>
        <v>0.46999999999999886</v>
      </c>
      <c r="AE51" s="138">
        <f>AC51/AC52-1</f>
        <v>-3.8365304420351354E-3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62.9129</v>
      </c>
      <c r="Q52" s="2"/>
      <c r="T52" s="108" t="s">
        <v>106</v>
      </c>
      <c r="U52" s="106" t="s">
        <v>221</v>
      </c>
      <c r="W52" s="123">
        <v>42516</v>
      </c>
      <c r="X52" s="41">
        <v>59.68</v>
      </c>
      <c r="Y52" s="41">
        <v>60.4</v>
      </c>
      <c r="Z52" s="41">
        <v>59.4</v>
      </c>
      <c r="AA52" s="41">
        <v>60.24</v>
      </c>
      <c r="AB52" s="104">
        <v>1333400</v>
      </c>
      <c r="AC52" s="9">
        <v>59.95</v>
      </c>
      <c r="AD52" s="2">
        <f t="shared" si="0"/>
        <v>1</v>
      </c>
      <c r="AE52" s="138">
        <f t="shared" si="1"/>
        <v>1.8172554347826164E-2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62.29</v>
      </c>
      <c r="Q53" s="2"/>
      <c r="T53" s="108" t="s">
        <v>107</v>
      </c>
      <c r="U53" s="107">
        <v>903703</v>
      </c>
      <c r="W53" s="123">
        <v>42515</v>
      </c>
      <c r="X53" s="41">
        <v>58.38</v>
      </c>
      <c r="Y53" s="41">
        <v>59.31</v>
      </c>
      <c r="Z53" s="41">
        <v>58.37</v>
      </c>
      <c r="AA53" s="41">
        <v>59.17</v>
      </c>
      <c r="AB53" s="104">
        <v>1006500</v>
      </c>
      <c r="AC53" s="9">
        <v>58.88</v>
      </c>
      <c r="AD53" s="2">
        <f t="shared" si="0"/>
        <v>0.94000000000000483</v>
      </c>
      <c r="AE53" s="138">
        <f t="shared" si="1"/>
        <v>1.5697774711057599E-2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61.667099999999998</v>
      </c>
      <c r="Q54" s="2"/>
      <c r="T54" s="108" t="s">
        <v>110</v>
      </c>
      <c r="U54" s="107">
        <v>972556</v>
      </c>
      <c r="W54" s="123">
        <v>42514</v>
      </c>
      <c r="X54" s="41">
        <v>58.55</v>
      </c>
      <c r="Y54" s="41">
        <v>59.11</v>
      </c>
      <c r="Z54" s="41">
        <v>58.11</v>
      </c>
      <c r="AA54" s="41">
        <v>58.25</v>
      </c>
      <c r="AB54" s="104">
        <v>1389500</v>
      </c>
      <c r="AC54" s="9">
        <v>57.97</v>
      </c>
      <c r="AD54" s="2">
        <f t="shared" si="0"/>
        <v>1</v>
      </c>
      <c r="AE54" s="138">
        <f t="shared" si="1"/>
        <v>3.1147257310952803E-3</v>
      </c>
    </row>
    <row r="55" spans="1:42" x14ac:dyDescent="0.25">
      <c r="O55" s="83">
        <v>0.98</v>
      </c>
      <c r="P55" s="83">
        <f t="shared" si="2"/>
        <v>61.044199999999996</v>
      </c>
      <c r="T55" s="108" t="s">
        <v>108</v>
      </c>
      <c r="U55" s="106" t="s">
        <v>407</v>
      </c>
      <c r="W55" s="123">
        <v>42513</v>
      </c>
      <c r="X55" s="41">
        <v>58.28</v>
      </c>
      <c r="Y55" s="41">
        <v>58.43</v>
      </c>
      <c r="Z55" s="41">
        <v>57.86</v>
      </c>
      <c r="AA55" s="41">
        <v>58.07</v>
      </c>
      <c r="AB55" s="104">
        <v>490800</v>
      </c>
      <c r="AC55" s="9">
        <v>57.79</v>
      </c>
      <c r="AD55" s="2">
        <f t="shared" si="0"/>
        <v>0.57000000000000028</v>
      </c>
      <c r="AE55" s="138">
        <f t="shared" si="1"/>
        <v>-3.6206896551724821E-3</v>
      </c>
    </row>
    <row r="56" spans="1:42" x14ac:dyDescent="0.25">
      <c r="O56" s="83">
        <v>0.97</v>
      </c>
      <c r="P56" s="83">
        <f t="shared" si="2"/>
        <v>60.421299999999995</v>
      </c>
      <c r="T56" s="108" t="s">
        <v>111</v>
      </c>
      <c r="U56" s="106">
        <v>17.93</v>
      </c>
      <c r="W56" s="123">
        <v>42510</v>
      </c>
      <c r="X56" s="41">
        <v>57.84</v>
      </c>
      <c r="Y56" s="41">
        <v>58.66</v>
      </c>
      <c r="Z56" s="41">
        <v>57.71</v>
      </c>
      <c r="AA56" s="41">
        <v>58.28</v>
      </c>
      <c r="AB56" s="104">
        <v>931800</v>
      </c>
      <c r="AC56" s="9">
        <v>58</v>
      </c>
      <c r="AD56" s="2">
        <f t="shared" si="0"/>
        <v>0.94999999999999574</v>
      </c>
      <c r="AE56" s="138">
        <f t="shared" si="1"/>
        <v>1.221640488656206E-2</v>
      </c>
    </row>
    <row r="57" spans="1:42" x14ac:dyDescent="0.25">
      <c r="O57" s="83">
        <v>0.96</v>
      </c>
      <c r="P57" s="83">
        <f t="shared" si="2"/>
        <v>59.798399999999994</v>
      </c>
      <c r="T57" s="108" t="s">
        <v>112</v>
      </c>
      <c r="U57" s="106">
        <v>3.46</v>
      </c>
      <c r="W57" s="123">
        <v>42509</v>
      </c>
      <c r="X57" s="41">
        <v>58.1</v>
      </c>
      <c r="Y57" s="41">
        <v>58.14</v>
      </c>
      <c r="Z57" s="41">
        <v>57.12</v>
      </c>
      <c r="AA57" s="41">
        <v>57.58</v>
      </c>
      <c r="AB57" s="104">
        <v>1331500</v>
      </c>
      <c r="AC57" s="9">
        <v>57.3</v>
      </c>
      <c r="AD57" s="2">
        <f t="shared" si="0"/>
        <v>1.0200000000000031</v>
      </c>
      <c r="AE57" s="138">
        <f t="shared" si="1"/>
        <v>-2.5344446334410686E-2</v>
      </c>
      <c r="AL57" s="236"/>
      <c r="AO57" s="236"/>
    </row>
    <row r="58" spans="1:42" x14ac:dyDescent="0.25">
      <c r="O58" s="83">
        <v>0.95</v>
      </c>
      <c r="P58" s="83">
        <f t="shared" si="2"/>
        <v>59.1755</v>
      </c>
      <c r="T58" s="108" t="s">
        <v>109</v>
      </c>
      <c r="U58" s="106" t="s">
        <v>565</v>
      </c>
      <c r="W58" s="123">
        <v>42508</v>
      </c>
      <c r="X58" s="41">
        <v>58.55</v>
      </c>
      <c r="Y58" s="41">
        <v>59.9</v>
      </c>
      <c r="Z58" s="41">
        <v>58.17</v>
      </c>
      <c r="AA58" s="41">
        <v>59.08</v>
      </c>
      <c r="AB58" s="104">
        <v>1355200</v>
      </c>
      <c r="AC58" s="9">
        <v>58.79</v>
      </c>
      <c r="AD58" s="2">
        <f t="shared" si="0"/>
        <v>1.7299999999999969</v>
      </c>
      <c r="AE58" s="138">
        <f t="shared" si="1"/>
        <v>3.2423208191125763E-3</v>
      </c>
    </row>
    <row r="59" spans="1:42" x14ac:dyDescent="0.25">
      <c r="O59" s="83">
        <v>0.94</v>
      </c>
      <c r="P59" s="83">
        <f t="shared" si="2"/>
        <v>58.552599999999998</v>
      </c>
      <c r="W59" s="123">
        <v>42507</v>
      </c>
      <c r="X59" s="41">
        <v>58.76</v>
      </c>
      <c r="Y59" s="41">
        <v>59.49</v>
      </c>
      <c r="Z59" s="41">
        <v>58.63</v>
      </c>
      <c r="AA59" s="41">
        <v>58.89</v>
      </c>
      <c r="AB59" s="104">
        <v>1164100</v>
      </c>
      <c r="AC59" s="9">
        <v>58.6</v>
      </c>
      <c r="AD59" s="2">
        <f t="shared" si="0"/>
        <v>0.85999999999999943</v>
      </c>
      <c r="AE59" s="138">
        <f t="shared" si="1"/>
        <v>-1.3633265167006803E-3</v>
      </c>
      <c r="AL59" s="236"/>
    </row>
    <row r="60" spans="1:42" x14ac:dyDescent="0.25">
      <c r="O60" s="83">
        <v>0.93</v>
      </c>
      <c r="P60" s="83">
        <f t="shared" si="2"/>
        <v>57.929700000000004</v>
      </c>
      <c r="W60" s="123">
        <v>42506</v>
      </c>
      <c r="X60" s="41">
        <v>58.9</v>
      </c>
      <c r="Y60" s="41">
        <v>59.84</v>
      </c>
      <c r="Z60" s="41">
        <v>58.9</v>
      </c>
      <c r="AA60" s="41">
        <v>58.97</v>
      </c>
      <c r="AB60" s="104">
        <v>1157800</v>
      </c>
      <c r="AC60" s="9">
        <v>58.68</v>
      </c>
      <c r="AD60" s="2">
        <f t="shared" si="0"/>
        <v>0.94000000000000483</v>
      </c>
      <c r="AE60" s="138">
        <f t="shared" si="1"/>
        <v>3.2484185330825532E-3</v>
      </c>
    </row>
    <row r="61" spans="1:42" x14ac:dyDescent="0.25">
      <c r="O61" s="83">
        <v>0.92</v>
      </c>
      <c r="P61" s="83">
        <f t="shared" si="2"/>
        <v>57.306800000000003</v>
      </c>
      <c r="W61" s="123">
        <v>42503</v>
      </c>
      <c r="X61" s="41">
        <v>59.47</v>
      </c>
      <c r="Y61" s="41">
        <v>59.65</v>
      </c>
      <c r="Z61" s="41">
        <v>58.55</v>
      </c>
      <c r="AA61" s="41">
        <v>58.78</v>
      </c>
      <c r="AB61" s="104">
        <v>1125400</v>
      </c>
      <c r="AC61" s="9">
        <v>58.49</v>
      </c>
      <c r="AD61" s="2">
        <f t="shared" si="0"/>
        <v>1.1000000000000014</v>
      </c>
      <c r="AE61" s="138">
        <f t="shared" si="1"/>
        <v>-1.5319865319865289E-2</v>
      </c>
      <c r="AL61" s="236"/>
      <c r="AO61" s="236"/>
    </row>
    <row r="62" spans="1:42" x14ac:dyDescent="0.25">
      <c r="O62" s="83">
        <v>0.91</v>
      </c>
      <c r="P62" s="83">
        <f t="shared" si="2"/>
        <v>56.683900000000001</v>
      </c>
      <c r="W62" s="123">
        <v>42502</v>
      </c>
      <c r="X62" s="41">
        <v>60.11</v>
      </c>
      <c r="Y62" s="41">
        <v>60.36</v>
      </c>
      <c r="Z62" s="41">
        <v>58.97</v>
      </c>
      <c r="AA62" s="41">
        <v>59.69</v>
      </c>
      <c r="AB62" s="104">
        <v>782400</v>
      </c>
      <c r="AC62" s="9">
        <v>59.4</v>
      </c>
      <c r="AD62" s="2">
        <f t="shared" si="0"/>
        <v>1.3900000000000006</v>
      </c>
      <c r="AE62" s="138">
        <f t="shared" si="1"/>
        <v>3.2089174125990994E-3</v>
      </c>
    </row>
    <row r="63" spans="1:42" x14ac:dyDescent="0.25">
      <c r="O63" s="83">
        <v>0.9</v>
      </c>
      <c r="P63" s="83">
        <f t="shared" si="2"/>
        <v>56.061</v>
      </c>
      <c r="W63" s="123">
        <v>42501</v>
      </c>
      <c r="X63" s="41">
        <v>59.86</v>
      </c>
      <c r="Y63" s="41">
        <v>59.87</v>
      </c>
      <c r="Z63" s="41">
        <v>59.12</v>
      </c>
      <c r="AA63" s="41">
        <v>59.5</v>
      </c>
      <c r="AB63" s="104">
        <v>576400</v>
      </c>
      <c r="AC63" s="9">
        <v>59.21</v>
      </c>
      <c r="AD63" s="2">
        <f t="shared" si="0"/>
        <v>0.75</v>
      </c>
      <c r="AE63" s="138">
        <f t="shared" si="1"/>
        <v>-7.209926224010732E-3</v>
      </c>
      <c r="AL63" s="236"/>
      <c r="AO63" s="236"/>
      <c r="AP63" s="236"/>
    </row>
    <row r="64" spans="1:42" x14ac:dyDescent="0.25">
      <c r="W64" s="123">
        <v>42500</v>
      </c>
      <c r="X64" s="41">
        <v>58.88</v>
      </c>
      <c r="Y64" s="41">
        <v>60.2</v>
      </c>
      <c r="Z64" s="41">
        <v>58.56</v>
      </c>
      <c r="AA64" s="41">
        <v>59.93</v>
      </c>
      <c r="AB64" s="104">
        <v>824100</v>
      </c>
      <c r="AC64" s="9">
        <v>59.64</v>
      </c>
      <c r="AD64" s="2">
        <f t="shared" si="0"/>
        <v>1.6400000000000006</v>
      </c>
      <c r="AE64" s="138">
        <f t="shared" si="1"/>
        <v>2.3511240775699216E-2</v>
      </c>
    </row>
    <row r="65" spans="23:41" x14ac:dyDescent="0.25">
      <c r="W65" s="123">
        <v>42499</v>
      </c>
      <c r="X65" s="41">
        <v>59.08</v>
      </c>
      <c r="Y65" s="41">
        <v>59.14</v>
      </c>
      <c r="Z65" s="41">
        <v>58.37</v>
      </c>
      <c r="AA65" s="41">
        <v>58.55</v>
      </c>
      <c r="AB65" s="104">
        <v>783200</v>
      </c>
      <c r="AC65" s="9">
        <v>58.27</v>
      </c>
      <c r="AD65" s="2">
        <f t="shared" si="0"/>
        <v>0.77000000000000313</v>
      </c>
      <c r="AE65" s="138">
        <f t="shared" si="1"/>
        <v>-1.4043993231810492E-2</v>
      </c>
      <c r="AL65" s="236"/>
      <c r="AO65" s="236"/>
    </row>
    <row r="66" spans="23:41" x14ac:dyDescent="0.25">
      <c r="W66" s="123">
        <v>42496</v>
      </c>
      <c r="X66" s="41">
        <v>58.84</v>
      </c>
      <c r="Y66" s="41">
        <v>59.63</v>
      </c>
      <c r="Z66" s="41">
        <v>58.66</v>
      </c>
      <c r="AA66" s="41">
        <v>59.39</v>
      </c>
      <c r="AB66" s="104">
        <v>813200</v>
      </c>
      <c r="AC66" s="9">
        <v>59.1</v>
      </c>
      <c r="AD66" s="2">
        <f t="shared" si="0"/>
        <v>0.97000000000000597</v>
      </c>
      <c r="AE66" s="138">
        <f t="shared" si="1"/>
        <v>5.4440285811501177E-3</v>
      </c>
    </row>
    <row r="67" spans="23:41" x14ac:dyDescent="0.25">
      <c r="W67" s="123">
        <v>42495</v>
      </c>
      <c r="X67" s="41">
        <v>59.53</v>
      </c>
      <c r="Y67" s="41">
        <v>59.83</v>
      </c>
      <c r="Z67" s="41">
        <v>58.91</v>
      </c>
      <c r="AA67" s="41">
        <v>59.07</v>
      </c>
      <c r="AB67" s="104">
        <v>829000</v>
      </c>
      <c r="AC67" s="9">
        <v>58.78</v>
      </c>
      <c r="AD67" s="2">
        <f>Y67-Z67</f>
        <v>0.92000000000000171</v>
      </c>
      <c r="AE67" s="138">
        <f>AC67/AC68-1</f>
        <v>1.1923011412025009E-3</v>
      </c>
      <c r="AL67" s="236"/>
    </row>
    <row r="68" spans="23:41" x14ac:dyDescent="0.25">
      <c r="W68" s="123">
        <v>42494</v>
      </c>
      <c r="X68" s="41">
        <v>60.55</v>
      </c>
      <c r="Y68" s="41">
        <v>60.7</v>
      </c>
      <c r="Z68" s="41">
        <v>58.95</v>
      </c>
      <c r="AA68" s="41">
        <v>59</v>
      </c>
      <c r="AB68" s="104">
        <v>1848500</v>
      </c>
      <c r="AC68" s="9">
        <v>58.71</v>
      </c>
      <c r="AD68" s="2">
        <f>Y68-Z68</f>
        <v>1.75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5" priority="39">
      <formula>Q12&gt;0</formula>
    </cfRule>
    <cfRule type="expression" dxfId="34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3" priority="33">
      <formula>F25&gt;0</formula>
    </cfRule>
    <cfRule type="expression" dxfId="342" priority="34">
      <formula>F25&lt;0</formula>
    </cfRule>
  </conditionalFormatting>
  <conditionalFormatting sqref="F30">
    <cfRule type="expression" dxfId="341" priority="31">
      <formula>F30&gt;0</formula>
    </cfRule>
    <cfRule type="expression" dxfId="340" priority="32">
      <formula>F30&lt;0</formula>
    </cfRule>
  </conditionalFormatting>
  <conditionalFormatting sqref="F31">
    <cfRule type="expression" dxfId="339" priority="29">
      <formula>F31&gt;0</formula>
    </cfRule>
    <cfRule type="expression" dxfId="338" priority="30">
      <formula>F31&lt;0</formula>
    </cfRule>
  </conditionalFormatting>
  <conditionalFormatting sqref="F32:F34">
    <cfRule type="expression" dxfId="337" priority="27">
      <formula>F32&gt;0</formula>
    </cfRule>
    <cfRule type="expression" dxfId="336" priority="28">
      <formula>F32&lt;0</formula>
    </cfRule>
  </conditionalFormatting>
  <conditionalFormatting sqref="H25:H29">
    <cfRule type="expression" dxfId="335" priority="25">
      <formula>H25&gt;0</formula>
    </cfRule>
    <cfRule type="expression" dxfId="334" priority="26">
      <formula>H25&lt;0</formula>
    </cfRule>
  </conditionalFormatting>
  <conditionalFormatting sqref="H30">
    <cfRule type="expression" dxfId="333" priority="23">
      <formula>H30&gt;0</formula>
    </cfRule>
    <cfRule type="expression" dxfId="332" priority="24">
      <formula>H30&lt;0</formula>
    </cfRule>
  </conditionalFormatting>
  <conditionalFormatting sqref="H31">
    <cfRule type="expression" dxfId="331" priority="21">
      <formula>H31&gt;0</formula>
    </cfRule>
    <cfRule type="expression" dxfId="330" priority="22">
      <formula>H31&lt;0</formula>
    </cfRule>
  </conditionalFormatting>
  <conditionalFormatting sqref="H32:H34">
    <cfRule type="expression" dxfId="329" priority="19">
      <formula>H32&gt;0</formula>
    </cfRule>
    <cfRule type="expression" dxfId="328" priority="20">
      <formula>H32&lt;0</formula>
    </cfRule>
  </conditionalFormatting>
  <conditionalFormatting sqref="F35">
    <cfRule type="expression" dxfId="327" priority="17">
      <formula>F35&gt;0</formula>
    </cfRule>
    <cfRule type="expression" dxfId="326" priority="18">
      <formula>F35&lt;0</formula>
    </cfRule>
  </conditionalFormatting>
  <conditionalFormatting sqref="H35">
    <cfRule type="expression" dxfId="325" priority="15">
      <formula>H35&gt;0</formula>
    </cfRule>
    <cfRule type="expression" dxfId="324" priority="16">
      <formula>H35&lt;0</formula>
    </cfRule>
  </conditionalFormatting>
  <conditionalFormatting sqref="F36">
    <cfRule type="expression" dxfId="323" priority="13">
      <formula>F36&gt;0</formula>
    </cfRule>
    <cfRule type="expression" dxfId="322" priority="14">
      <formula>F36&lt;0</formula>
    </cfRule>
  </conditionalFormatting>
  <conditionalFormatting sqref="H36">
    <cfRule type="expression" dxfId="321" priority="11">
      <formula>H36&gt;0</formula>
    </cfRule>
    <cfRule type="expression" dxfId="320" priority="12">
      <formula>H36&lt;0</formula>
    </cfRule>
  </conditionalFormatting>
  <conditionalFormatting sqref="H23:H24">
    <cfRule type="expression" dxfId="319" priority="5">
      <formula>H23&gt;0</formula>
    </cfRule>
    <cfRule type="expression" dxfId="318" priority="6">
      <formula>H23&lt;0</formula>
    </cfRule>
  </conditionalFormatting>
  <conditionalFormatting sqref="F23:F24">
    <cfRule type="expression" dxfId="317" priority="7">
      <formula>F23&gt;0</formula>
    </cfRule>
    <cfRule type="expression" dxfId="316" priority="8">
      <formula>F23&lt;0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conditionalFormatting sqref="Q8">
    <cfRule type="expression" dxfId="313" priority="1">
      <formula>Q8&gt;0</formula>
    </cfRule>
    <cfRule type="expression" dxfId="31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70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2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1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80</v>
      </c>
      <c r="T2" s="85">
        <v>42566</v>
      </c>
      <c r="U2" t="s">
        <v>303</v>
      </c>
      <c r="W2" s="94">
        <v>42587</v>
      </c>
      <c r="X2" s="10">
        <v>48.39</v>
      </c>
      <c r="Y2" s="10">
        <v>48.7</v>
      </c>
      <c r="Z2" s="10">
        <v>48.13</v>
      </c>
      <c r="AA2" s="10">
        <v>48.68</v>
      </c>
      <c r="AB2" s="95">
        <v>18832000</v>
      </c>
      <c r="AC2" s="10">
        <v>48.68</v>
      </c>
      <c r="AD2" s="2">
        <f>Y2-Z2</f>
        <v>0.57000000000000028</v>
      </c>
      <c r="AE2" s="138">
        <f>AC2/AC3-1</f>
        <v>1.7558528428093467E-2</v>
      </c>
    </row>
    <row r="3" spans="1:40" x14ac:dyDescent="0.25">
      <c r="A3" s="23" t="s">
        <v>71</v>
      </c>
      <c r="B3" s="482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2">
        <v>42473</v>
      </c>
      <c r="H3" s="82">
        <v>40</v>
      </c>
      <c r="I3" s="44">
        <v>48.91</v>
      </c>
      <c r="J3" s="44">
        <v>0.04</v>
      </c>
      <c r="K3" s="44">
        <f t="shared" ref="K3:K8" si="1"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46.026249999999955</v>
      </c>
      <c r="T3" s="121"/>
      <c r="W3" s="94">
        <v>42586</v>
      </c>
      <c r="X3" s="10">
        <v>47.6</v>
      </c>
      <c r="Y3" s="10">
        <v>48</v>
      </c>
      <c r="Z3" s="10">
        <v>47.57</v>
      </c>
      <c r="AA3" s="10">
        <v>47.84</v>
      </c>
      <c r="AB3" s="95">
        <v>14662600</v>
      </c>
      <c r="AC3" s="10">
        <v>47.84</v>
      </c>
      <c r="AD3" s="2">
        <f>Y3-Z3</f>
        <v>0.42999999999999972</v>
      </c>
      <c r="AE3" s="138">
        <f>AC3/AC4-1</f>
        <v>5.6758461215051792E-3</v>
      </c>
      <c r="AN3" s="236"/>
    </row>
    <row r="4" spans="1:40" x14ac:dyDescent="0.25">
      <c r="B4" s="482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2">
        <v>42487</v>
      </c>
      <c r="H4" s="82">
        <v>40</v>
      </c>
      <c r="I4" s="44">
        <v>50.97</v>
      </c>
      <c r="J4" s="44">
        <v>0.04</v>
      </c>
      <c r="K4" s="44">
        <f t="shared" si="1"/>
        <v>2038.76</v>
      </c>
      <c r="L4" s="1">
        <v>42614</v>
      </c>
      <c r="O4" s="11" t="s">
        <v>66</v>
      </c>
      <c r="Q4" s="55">
        <v>48.91</v>
      </c>
      <c r="T4" s="121"/>
      <c r="W4" s="94">
        <v>42585</v>
      </c>
      <c r="X4" s="10">
        <v>47.33</v>
      </c>
      <c r="Y4" s="10">
        <v>47.64</v>
      </c>
      <c r="Z4" s="10">
        <v>47.33</v>
      </c>
      <c r="AA4" s="10">
        <v>47.57</v>
      </c>
      <c r="AB4" s="95">
        <v>14913500</v>
      </c>
      <c r="AC4" s="10">
        <v>47.57</v>
      </c>
      <c r="AD4" s="2">
        <f t="shared" ref="AD4:AD67" si="2">Y4-Z4</f>
        <v>0.31000000000000227</v>
      </c>
      <c r="AE4" s="138" t="e">
        <f t="shared" ref="AE4:AE67" si="3">AC4/AC5-1</f>
        <v>#DIV/0!</v>
      </c>
      <c r="AK4" s="236"/>
      <c r="AN4" s="236"/>
    </row>
    <row r="5" spans="1:40" x14ac:dyDescent="0.25">
      <c r="B5" s="482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2">
        <v>42514</v>
      </c>
      <c r="H5" s="71">
        <v>40</v>
      </c>
      <c r="I5" s="46">
        <v>49.29</v>
      </c>
      <c r="J5" s="46">
        <v>0.04</v>
      </c>
      <c r="K5" s="46">
        <f t="shared" si="1"/>
        <v>1971.56</v>
      </c>
      <c r="O5" s="11" t="s">
        <v>67</v>
      </c>
      <c r="Q5" s="3">
        <f>Q4*Q2</f>
        <v>3912.7999999999997</v>
      </c>
      <c r="W5" s="94">
        <v>42585</v>
      </c>
      <c r="X5" s="10" t="s">
        <v>196</v>
      </c>
      <c r="Y5" s="10"/>
      <c r="Z5" s="10"/>
      <c r="AA5" s="10"/>
      <c r="AB5" s="95"/>
      <c r="AC5" s="10"/>
      <c r="AD5" s="2">
        <f t="shared" si="2"/>
        <v>0</v>
      </c>
      <c r="AE5" s="138">
        <f t="shared" si="3"/>
        <v>-1</v>
      </c>
      <c r="AK5" s="236"/>
      <c r="AN5" s="236"/>
    </row>
    <row r="6" spans="1:40" x14ac:dyDescent="0.25">
      <c r="B6" s="482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2">
        <v>42517</v>
      </c>
      <c r="H6" s="82">
        <v>20</v>
      </c>
      <c r="I6" s="44">
        <v>50.72</v>
      </c>
      <c r="J6" s="44">
        <v>0.02</v>
      </c>
      <c r="K6" s="46">
        <f t="shared" si="1"/>
        <v>1014.38</v>
      </c>
      <c r="O6" s="11" t="s">
        <v>64</v>
      </c>
      <c r="Q6" s="2">
        <f>Q3*Q2</f>
        <v>3682.0999999999963</v>
      </c>
      <c r="W6" s="94">
        <v>42584</v>
      </c>
      <c r="X6" s="10">
        <v>47.66</v>
      </c>
      <c r="Y6" s="10">
        <v>47.83</v>
      </c>
      <c r="Z6" s="10">
        <v>47.39</v>
      </c>
      <c r="AA6" s="10">
        <v>47.7</v>
      </c>
      <c r="AB6" s="95">
        <v>17033100</v>
      </c>
      <c r="AC6" s="10">
        <v>47.32</v>
      </c>
      <c r="AD6" s="2">
        <f t="shared" si="2"/>
        <v>0.43999999999999773</v>
      </c>
      <c r="AE6" s="138">
        <f t="shared" si="3"/>
        <v>-2.3192072527935537E-3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2">
        <v>42527</v>
      </c>
      <c r="H7" s="82">
        <v>30</v>
      </c>
      <c r="I7" s="44">
        <v>50.59</v>
      </c>
      <c r="J7" s="44">
        <v>0.03</v>
      </c>
      <c r="K7" s="46">
        <f t="shared" si="1"/>
        <v>1517.67</v>
      </c>
      <c r="O7" s="11" t="s">
        <v>188</v>
      </c>
      <c r="P7"/>
      <c r="Q7" s="2">
        <f>Q10+Q8</f>
        <v>230.700000000003</v>
      </c>
      <c r="R7">
        <v>50</v>
      </c>
      <c r="T7" s="85"/>
      <c r="W7" s="94">
        <v>42583</v>
      </c>
      <c r="X7" s="10">
        <v>47.98</v>
      </c>
      <c r="Y7" s="10">
        <v>48.05</v>
      </c>
      <c r="Z7" s="10">
        <v>47.63</v>
      </c>
      <c r="AA7" s="10">
        <v>47.81</v>
      </c>
      <c r="AB7" s="95">
        <v>16026600</v>
      </c>
      <c r="AC7" s="10">
        <v>47.43</v>
      </c>
      <c r="AD7" s="2">
        <f t="shared" si="2"/>
        <v>0.4199999999999946</v>
      </c>
      <c r="AE7" s="138">
        <f t="shared" si="3"/>
        <v>-3.3620508510191494E-3</v>
      </c>
      <c r="AK7" s="236"/>
      <c r="AN7" s="236"/>
    </row>
    <row r="8" spans="1:40" x14ac:dyDescent="0.25">
      <c r="B8" s="482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G8" s="482">
        <v>42587</v>
      </c>
      <c r="H8" s="82">
        <v>30</v>
      </c>
      <c r="I8" s="44">
        <v>48.68</v>
      </c>
      <c r="J8" s="44">
        <v>0.03</v>
      </c>
      <c r="K8" s="44">
        <f t="shared" si="1"/>
        <v>1460.3700000000001</v>
      </c>
      <c r="O8" s="11" t="s">
        <v>192</v>
      </c>
      <c r="Q8" s="2">
        <f>K18+M18-F18+Q2*Q4</f>
        <v>230.700000000003</v>
      </c>
      <c r="W8" s="94">
        <v>42580</v>
      </c>
      <c r="X8" s="10">
        <v>47.95</v>
      </c>
      <c r="Y8" s="10">
        <v>48.17</v>
      </c>
      <c r="Z8" s="10">
        <v>47.95</v>
      </c>
      <c r="AA8" s="10">
        <v>47.97</v>
      </c>
      <c r="AB8" s="95">
        <v>13111700</v>
      </c>
      <c r="AC8" s="10">
        <v>47.59</v>
      </c>
      <c r="AD8" s="2">
        <f t="shared" si="2"/>
        <v>0.21999999999999886</v>
      </c>
      <c r="AE8" s="138">
        <f t="shared" si="3"/>
        <v>-3.3507853403140775E-3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231</v>
      </c>
      <c r="P9"/>
      <c r="Q9" s="138">
        <f>IF(Q2=0, 0, Q8/Q6)</f>
        <v>6.265446348551186E-2</v>
      </c>
      <c r="W9" s="94">
        <v>42579</v>
      </c>
      <c r="X9" s="10">
        <v>47.94</v>
      </c>
      <c r="Y9" s="10">
        <v>48.22</v>
      </c>
      <c r="Z9" s="10">
        <v>47.68</v>
      </c>
      <c r="AA9" s="10">
        <v>48.13</v>
      </c>
      <c r="AB9" s="95">
        <v>12562600</v>
      </c>
      <c r="AC9" s="10">
        <v>47.75</v>
      </c>
      <c r="AD9" s="2">
        <f t="shared" si="2"/>
        <v>0.53999999999999915</v>
      </c>
      <c r="AE9" s="138">
        <f t="shared" si="3"/>
        <v>2.7299454010920599E-3</v>
      </c>
      <c r="AK9" s="236"/>
      <c r="AN9" s="236"/>
    </row>
    <row r="10" spans="1:40" x14ac:dyDescent="0.25">
      <c r="B10" s="1">
        <v>42566</v>
      </c>
      <c r="C10" s="7">
        <v>30</v>
      </c>
      <c r="D10" s="44">
        <v>47.58</v>
      </c>
      <c r="E10" s="44">
        <v>0</v>
      </c>
      <c r="F10" s="44">
        <f>C10*D10+E10</f>
        <v>1427.3999999999999</v>
      </c>
      <c r="O10" s="11" t="s">
        <v>230</v>
      </c>
      <c r="Q10" s="2">
        <v>0</v>
      </c>
      <c r="W10" s="94">
        <v>42578</v>
      </c>
      <c r="X10" s="10">
        <v>47.95</v>
      </c>
      <c r="Y10" s="10">
        <v>48.22</v>
      </c>
      <c r="Z10" s="10">
        <v>47.78</v>
      </c>
      <c r="AA10" s="10">
        <v>48</v>
      </c>
      <c r="AB10" s="95">
        <v>17886800</v>
      </c>
      <c r="AC10" s="10">
        <v>47.62</v>
      </c>
      <c r="AD10" s="2">
        <f t="shared" si="2"/>
        <v>0.43999999999999773</v>
      </c>
      <c r="AE10" s="138">
        <f t="shared" si="3"/>
        <v>6.303845345658754E-4</v>
      </c>
    </row>
    <row r="11" spans="1:40" x14ac:dyDescent="0.25">
      <c r="O11" s="11" t="s">
        <v>184</v>
      </c>
      <c r="Q11" s="138">
        <f>IF(U58="N/A (N/A)", 0, VALUE(TRIM(CLEAN(MID(U58, FIND("(", U58)+1, 5)))))</f>
        <v>3.1800000000000002E-2</v>
      </c>
      <c r="W11" s="94">
        <v>42577</v>
      </c>
      <c r="X11" s="10">
        <v>48.03</v>
      </c>
      <c r="Y11" s="10">
        <v>48.17</v>
      </c>
      <c r="Z11" s="10">
        <v>47.8</v>
      </c>
      <c r="AA11" s="10">
        <v>47.97</v>
      </c>
      <c r="AB11" s="95">
        <v>16130100</v>
      </c>
      <c r="AC11" s="10">
        <v>47.59</v>
      </c>
      <c r="AD11" s="2">
        <f t="shared" si="2"/>
        <v>0.37000000000000455</v>
      </c>
      <c r="AE11" s="138">
        <f t="shared" si="3"/>
        <v>-3.1420192710515105E-3</v>
      </c>
      <c r="AK11" s="236"/>
      <c r="AN11" s="236"/>
    </row>
    <row r="12" spans="1:40" x14ac:dyDescent="0.25">
      <c r="W12" s="94">
        <v>42576</v>
      </c>
      <c r="X12" s="10">
        <v>48.24</v>
      </c>
      <c r="Y12" s="10">
        <v>48.26</v>
      </c>
      <c r="Z12" s="10">
        <v>47.85</v>
      </c>
      <c r="AA12" s="10">
        <v>48.12</v>
      </c>
      <c r="AB12" s="95">
        <v>12122200</v>
      </c>
      <c r="AC12" s="10">
        <v>47.74</v>
      </c>
      <c r="AD12" s="2">
        <f t="shared" si="2"/>
        <v>0.40999999999999659</v>
      </c>
      <c r="AE12" s="138">
        <f t="shared" si="3"/>
        <v>-4.1718815185647351E-3</v>
      </c>
    </row>
    <row r="13" spans="1:40" x14ac:dyDescent="0.25">
      <c r="W13" s="94">
        <v>42573</v>
      </c>
      <c r="X13" s="10">
        <v>48.32</v>
      </c>
      <c r="Y13" s="10">
        <v>48.36</v>
      </c>
      <c r="Z13" s="10">
        <v>48.1</v>
      </c>
      <c r="AA13" s="10">
        <v>48.32</v>
      </c>
      <c r="AB13" s="95">
        <v>13588500</v>
      </c>
      <c r="AC13" s="10">
        <v>47.94</v>
      </c>
      <c r="AD13" s="2">
        <f t="shared" si="2"/>
        <v>0.25999999999999801</v>
      </c>
      <c r="AE13" s="138">
        <f t="shared" si="3"/>
        <v>4.1736227045063856E-4</v>
      </c>
      <c r="AK13" s="236"/>
      <c r="AN13" s="236"/>
    </row>
    <row r="14" spans="1:40" x14ac:dyDescent="0.25">
      <c r="T14" s="84"/>
      <c r="U14" s="11"/>
      <c r="W14" s="94">
        <v>42572</v>
      </c>
      <c r="X14" s="10">
        <v>48.65</v>
      </c>
      <c r="Y14" s="10">
        <v>48.81</v>
      </c>
      <c r="Z14" s="10">
        <v>48.29</v>
      </c>
      <c r="AA14" s="10">
        <v>48.3</v>
      </c>
      <c r="AB14" s="95">
        <v>15532000</v>
      </c>
      <c r="AC14" s="10">
        <v>47.92</v>
      </c>
      <c r="AD14" s="2">
        <f t="shared" si="2"/>
        <v>0.52000000000000313</v>
      </c>
      <c r="AE14" s="138">
        <f t="shared" si="3"/>
        <v>-6.2214848610534501E-3</v>
      </c>
    </row>
    <row r="15" spans="1:40" x14ac:dyDescent="0.25">
      <c r="W15" s="94">
        <v>42571</v>
      </c>
      <c r="X15" s="10">
        <v>48.59</v>
      </c>
      <c r="Y15" s="10">
        <v>48.69</v>
      </c>
      <c r="Z15" s="10">
        <v>48.4</v>
      </c>
      <c r="AA15" s="10">
        <v>48.61</v>
      </c>
      <c r="AB15" s="95">
        <v>16569900</v>
      </c>
      <c r="AC15" s="10">
        <v>48.22</v>
      </c>
      <c r="AD15" s="2">
        <f t="shared" si="2"/>
        <v>0.28999999999999915</v>
      </c>
      <c r="AE15" s="138">
        <f t="shared" si="3"/>
        <v>5.002084201750856E-3</v>
      </c>
      <c r="AK15" s="236"/>
      <c r="AN15" s="236"/>
    </row>
    <row r="16" spans="1:40" x14ac:dyDescent="0.25">
      <c r="W16" s="94">
        <v>42570</v>
      </c>
      <c r="X16" s="10">
        <v>48.08</v>
      </c>
      <c r="Y16" s="10">
        <v>48.55</v>
      </c>
      <c r="Z16" s="10">
        <v>48.05</v>
      </c>
      <c r="AA16" s="10">
        <v>48.37</v>
      </c>
      <c r="AB16" s="95">
        <v>15982900</v>
      </c>
      <c r="AC16" s="10">
        <v>47.98</v>
      </c>
      <c r="AD16" s="2">
        <f t="shared" si="2"/>
        <v>0.5</v>
      </c>
      <c r="AE16" s="138">
        <f t="shared" si="3"/>
        <v>1.670146137787043E-3</v>
      </c>
    </row>
    <row r="17" spans="1:40" x14ac:dyDescent="0.25">
      <c r="H17" s="72"/>
      <c r="W17" s="94">
        <v>42569</v>
      </c>
      <c r="X17" s="10">
        <v>47.81</v>
      </c>
      <c r="Y17" s="10">
        <v>48.33</v>
      </c>
      <c r="Z17" s="10">
        <v>47.78</v>
      </c>
      <c r="AA17" s="10">
        <v>48.28</v>
      </c>
      <c r="AB17" s="95">
        <v>24139200</v>
      </c>
      <c r="AC17" s="10">
        <v>47.9</v>
      </c>
      <c r="AD17" s="2">
        <f t="shared" si="2"/>
        <v>0.54999999999999716</v>
      </c>
      <c r="AE17" s="138">
        <f t="shared" si="3"/>
        <v>1.2043101626875163E-2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200</v>
      </c>
      <c r="I18" s="18"/>
      <c r="J18" s="18"/>
      <c r="K18" s="18">
        <f>SUM(K3:K17)</f>
        <v>9959.1</v>
      </c>
      <c r="L18" s="18"/>
      <c r="M18" s="18">
        <f>SUM(M2:M17)</f>
        <v>45.4</v>
      </c>
      <c r="W18" s="94">
        <v>42566</v>
      </c>
      <c r="X18" s="10">
        <v>48.85</v>
      </c>
      <c r="Y18" s="10">
        <v>48.88</v>
      </c>
      <c r="Z18" s="10">
        <v>47.41</v>
      </c>
      <c r="AA18" s="10">
        <v>47.71</v>
      </c>
      <c r="AB18" s="95">
        <v>35121000</v>
      </c>
      <c r="AC18" s="10">
        <v>47.33</v>
      </c>
      <c r="AD18" s="2">
        <f t="shared" si="2"/>
        <v>1.470000000000006</v>
      </c>
      <c r="AE18" s="138">
        <f t="shared" si="3"/>
        <v>-2.5128733264675573E-2</v>
      </c>
    </row>
    <row r="19" spans="1:40" ht="15.75" thickBot="1" x14ac:dyDescent="0.3">
      <c r="A19" s="363" t="s">
        <v>206</v>
      </c>
      <c r="B19" s="364"/>
      <c r="C19" s="365">
        <f>SumByColor($A$19,C2:C17)</f>
        <v>200</v>
      </c>
      <c r="D19" s="365"/>
      <c r="E19" s="365"/>
      <c r="F19" s="366">
        <f>SumByColor($A$19,F2:F17)</f>
        <v>9848</v>
      </c>
      <c r="G19" s="365"/>
      <c r="H19" s="365">
        <f>SumByColor($A$19,H2:H17)</f>
        <v>200</v>
      </c>
      <c r="I19" s="365"/>
      <c r="J19" s="365"/>
      <c r="K19" s="366">
        <f>SumByColor($A$19,K2:K17)</f>
        <v>9959</v>
      </c>
      <c r="L19" s="365"/>
      <c r="M19" s="366">
        <f t="shared" ref="M19" si="4">SumByColor($A$19,M2:M17)</f>
        <v>0</v>
      </c>
      <c r="W19" s="94">
        <v>42565</v>
      </c>
      <c r="X19" s="10">
        <v>49.05</v>
      </c>
      <c r="Y19" s="10">
        <v>49.15</v>
      </c>
      <c r="Z19" s="10">
        <v>48.67</v>
      </c>
      <c r="AA19" s="10">
        <v>48.94</v>
      </c>
      <c r="AB19" s="95">
        <v>17578400</v>
      </c>
      <c r="AC19" s="10">
        <v>48.55</v>
      </c>
      <c r="AD19" s="2">
        <f t="shared" si="2"/>
        <v>0.47999999999999687</v>
      </c>
      <c r="AE19" s="138">
        <f t="shared" si="3"/>
        <v>1.3781582793902514E-2</v>
      </c>
      <c r="AK19" s="236"/>
      <c r="AN19" s="236"/>
    </row>
    <row r="20" spans="1:40" x14ac:dyDescent="0.25">
      <c r="W20" s="94">
        <v>42564</v>
      </c>
      <c r="X20" s="10">
        <v>48.31</v>
      </c>
      <c r="Y20" s="10">
        <v>48.47</v>
      </c>
      <c r="Z20" s="10">
        <v>47.98</v>
      </c>
      <c r="AA20" s="10">
        <v>48.27</v>
      </c>
      <c r="AB20" s="95">
        <v>14389600</v>
      </c>
      <c r="AC20" s="10">
        <v>47.89</v>
      </c>
      <c r="AD20" s="2">
        <f t="shared" si="2"/>
        <v>0.49000000000000199</v>
      </c>
      <c r="AE20" s="138">
        <f t="shared" si="3"/>
        <v>-1.4595496246871953E-3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42563</v>
      </c>
      <c r="X21" s="10">
        <v>48.42</v>
      </c>
      <c r="Y21" s="10">
        <v>48.63</v>
      </c>
      <c r="Z21" s="10">
        <v>48.22</v>
      </c>
      <c r="AA21" s="10">
        <v>48.35</v>
      </c>
      <c r="AB21" s="95">
        <v>15067900</v>
      </c>
      <c r="AC21" s="10">
        <v>47.96</v>
      </c>
      <c r="AD21" s="2">
        <f t="shared" si="2"/>
        <v>0.41000000000000369</v>
      </c>
      <c r="AE21" s="138">
        <f t="shared" si="3"/>
        <v>5.4507337526203958E-3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5">C22*(E22-D22)</f>
        <v>-4.0000000000000568</v>
      </c>
      <c r="G22" s="40">
        <f t="shared" ref="G22:G44" si="6">D22*C22</f>
        <v>2020</v>
      </c>
      <c r="H22" s="233">
        <f t="shared" ref="H22:H44" si="7">(E22-D22)/D22</f>
        <v>-1.9801980198020084E-3</v>
      </c>
      <c r="I22" s="40"/>
      <c r="W22" s="94">
        <v>42562</v>
      </c>
      <c r="X22" s="10">
        <v>48.1</v>
      </c>
      <c r="Y22" s="10">
        <v>48.45</v>
      </c>
      <c r="Z22" s="10">
        <v>47.94</v>
      </c>
      <c r="AA22" s="10">
        <v>48.08</v>
      </c>
      <c r="AB22" s="95">
        <v>16008700</v>
      </c>
      <c r="AC22" s="10">
        <v>47.7</v>
      </c>
      <c r="AD22" s="2">
        <f t="shared" si="2"/>
        <v>0.51000000000000512</v>
      </c>
      <c r="AE22" s="138">
        <f t="shared" si="3"/>
        <v>6.1168529846025166E-3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5"/>
        <v>-115.99999999999994</v>
      </c>
      <c r="G23" s="40">
        <f t="shared" si="6"/>
        <v>2020</v>
      </c>
      <c r="H23" s="233">
        <f t="shared" si="7"/>
        <v>-5.74257425742574E-2</v>
      </c>
      <c r="I23" s="40"/>
      <c r="W23" s="94">
        <v>42559</v>
      </c>
      <c r="X23" s="10">
        <v>47.45</v>
      </c>
      <c r="Y23" s="10">
        <v>47.92</v>
      </c>
      <c r="Z23" s="10">
        <v>47.45</v>
      </c>
      <c r="AA23" s="10">
        <v>47.79</v>
      </c>
      <c r="AB23" s="95">
        <v>19775700</v>
      </c>
      <c r="AC23" s="10">
        <v>47.41</v>
      </c>
      <c r="AD23" s="2">
        <f t="shared" si="2"/>
        <v>0.46999999999999886</v>
      </c>
      <c r="AE23" s="138">
        <f t="shared" si="3"/>
        <v>2.1107042860219583E-2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5"/>
        <v>-56.200000000000045</v>
      </c>
      <c r="G24" s="40">
        <f t="shared" si="6"/>
        <v>2005</v>
      </c>
      <c r="H24" s="233">
        <f t="shared" si="7"/>
        <v>-2.8029925187032442E-2</v>
      </c>
      <c r="I24" s="40" t="s">
        <v>194</v>
      </c>
      <c r="W24" s="94">
        <v>42558</v>
      </c>
      <c r="X24" s="10">
        <v>46.58</v>
      </c>
      <c r="Y24" s="10">
        <v>47.22</v>
      </c>
      <c r="Z24" s="10">
        <v>46.44</v>
      </c>
      <c r="AA24" s="10">
        <v>46.8</v>
      </c>
      <c r="AB24" s="95">
        <v>17946200</v>
      </c>
      <c r="AC24" s="10">
        <v>46.43</v>
      </c>
      <c r="AD24" s="2">
        <f t="shared" si="2"/>
        <v>0.78000000000000114</v>
      </c>
      <c r="AE24" s="138">
        <f t="shared" si="3"/>
        <v>3.241140881590221E-3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5"/>
        <v>-22.199999999999989</v>
      </c>
      <c r="G25" s="40">
        <f t="shared" si="6"/>
        <v>2005</v>
      </c>
      <c r="H25" s="233">
        <f t="shared" si="7"/>
        <v>-1.1072319201995006E-2</v>
      </c>
      <c r="I25" s="40"/>
      <c r="W25" s="94">
        <v>42557</v>
      </c>
      <c r="X25" s="10">
        <v>45.89</v>
      </c>
      <c r="Y25" s="10">
        <v>46.66</v>
      </c>
      <c r="Z25" s="10">
        <v>45.7</v>
      </c>
      <c r="AA25" s="10">
        <v>46.65</v>
      </c>
      <c r="AB25" s="95">
        <v>19024100</v>
      </c>
      <c r="AC25" s="10">
        <v>46.28</v>
      </c>
      <c r="AD25" s="2">
        <f t="shared" si="2"/>
        <v>0.95999999999999375</v>
      </c>
      <c r="AE25" s="138">
        <f t="shared" si="3"/>
        <v>9.5986038394415552E-3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5"/>
        <v>-53.400000000000034</v>
      </c>
      <c r="G26" s="40">
        <f t="shared" si="6"/>
        <v>2005</v>
      </c>
      <c r="H26" s="233">
        <f t="shared" si="7"/>
        <v>-2.6633416458852886E-2</v>
      </c>
      <c r="I26" s="40"/>
      <c r="W26" s="94">
        <v>42556</v>
      </c>
      <c r="X26" s="10">
        <v>46.7</v>
      </c>
      <c r="Y26" s="10">
        <v>46.76</v>
      </c>
      <c r="Z26" s="10">
        <v>45.81</v>
      </c>
      <c r="AA26" s="10">
        <v>46.21</v>
      </c>
      <c r="AB26" s="95">
        <v>22213000</v>
      </c>
      <c r="AC26" s="10">
        <v>45.84</v>
      </c>
      <c r="AD26" s="2">
        <f t="shared" si="2"/>
        <v>0.94999999999999574</v>
      </c>
      <c r="AE26" s="138">
        <f t="shared" si="3"/>
        <v>-1.7573939134161831E-2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5"/>
        <v>-5.8000000000001251</v>
      </c>
      <c r="G27" s="40">
        <f t="shared" si="6"/>
        <v>2005</v>
      </c>
      <c r="H27" s="233">
        <f t="shared" si="7"/>
        <v>-2.8927680798005611E-3</v>
      </c>
      <c r="I27" s="40"/>
      <c r="W27" s="94">
        <v>42552</v>
      </c>
      <c r="X27" s="10">
        <v>47.08</v>
      </c>
      <c r="Y27" s="10">
        <v>47.28</v>
      </c>
      <c r="Z27" s="10">
        <v>46.86</v>
      </c>
      <c r="AA27" s="10">
        <v>47.03</v>
      </c>
      <c r="AB27" s="95">
        <v>19013600</v>
      </c>
      <c r="AC27" s="10">
        <v>46.66</v>
      </c>
      <c r="AD27" s="2">
        <f t="shared" si="2"/>
        <v>0.42000000000000171</v>
      </c>
      <c r="AE27" s="138">
        <f t="shared" si="3"/>
        <v>-6.1767838125666996E-3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5"/>
        <v>-53.799999999999955</v>
      </c>
      <c r="G28" s="40">
        <f t="shared" si="6"/>
        <v>3900.2</v>
      </c>
      <c r="H28" s="233">
        <f t="shared" si="7"/>
        <v>-1.3794164401825536E-2</v>
      </c>
      <c r="I28" s="40"/>
      <c r="W28" s="94">
        <v>42551</v>
      </c>
      <c r="X28" s="10">
        <v>47.24</v>
      </c>
      <c r="Y28" s="10">
        <v>47.36</v>
      </c>
      <c r="Z28" s="10">
        <v>46.53</v>
      </c>
      <c r="AA28" s="10">
        <v>47.33</v>
      </c>
      <c r="AB28" s="95">
        <v>22538800</v>
      </c>
      <c r="AC28" s="10">
        <v>46.95</v>
      </c>
      <c r="AD28" s="2">
        <f t="shared" si="2"/>
        <v>0.82999999999999829</v>
      </c>
      <c r="AE28" s="138">
        <f t="shared" si="3"/>
        <v>7.5107296137340018E-3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5"/>
        <v>-134.5999999999998</v>
      </c>
      <c r="G29" s="40">
        <f t="shared" si="6"/>
        <v>3900.2</v>
      </c>
      <c r="H29" s="233">
        <f t="shared" si="7"/>
        <v>-3.451105071534788E-2</v>
      </c>
      <c r="I29" s="40"/>
      <c r="W29" s="94">
        <v>42550</v>
      </c>
      <c r="X29" s="10">
        <v>46.63</v>
      </c>
      <c r="Y29" s="10">
        <v>46.99</v>
      </c>
      <c r="Z29" s="10">
        <v>46.15</v>
      </c>
      <c r="AA29" s="10">
        <v>46.97</v>
      </c>
      <c r="AB29" s="95">
        <v>20856400</v>
      </c>
      <c r="AC29" s="10">
        <v>46.6</v>
      </c>
      <c r="AD29" s="2">
        <f t="shared" si="2"/>
        <v>0.84000000000000341</v>
      </c>
      <c r="AE29" s="138">
        <f t="shared" si="3"/>
        <v>1.902471025584962E-2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5"/>
        <v>17.360000000000184</v>
      </c>
      <c r="G30" s="40">
        <f t="shared" si="6"/>
        <v>1943.84</v>
      </c>
      <c r="H30" s="233">
        <f t="shared" si="7"/>
        <v>8.9307761955717477E-3</v>
      </c>
      <c r="I30" s="40"/>
      <c r="W30" s="94">
        <v>42549</v>
      </c>
      <c r="X30" s="10">
        <v>45.89</v>
      </c>
      <c r="Y30" s="10">
        <v>46.11</v>
      </c>
      <c r="Z30" s="10">
        <v>45.34</v>
      </c>
      <c r="AA30" s="10">
        <v>46.1</v>
      </c>
      <c r="AB30" s="95">
        <v>27525700</v>
      </c>
      <c r="AC30" s="10">
        <v>45.73</v>
      </c>
      <c r="AD30" s="2">
        <f t="shared" si="2"/>
        <v>0.76999999999999602</v>
      </c>
      <c r="AE30" s="138">
        <f t="shared" si="3"/>
        <v>2.4188129899216149E-2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5"/>
        <v>17.3599999999999</v>
      </c>
      <c r="G31" s="40">
        <f t="shared" si="6"/>
        <v>3885.84</v>
      </c>
      <c r="H31" s="233">
        <f t="shared" si="7"/>
        <v>4.4675025219772044E-3</v>
      </c>
      <c r="I31" s="40"/>
      <c r="W31" s="94">
        <v>42548</v>
      </c>
      <c r="X31" s="10">
        <v>45.2</v>
      </c>
      <c r="Y31" s="10">
        <v>45.33</v>
      </c>
      <c r="Z31" s="10">
        <v>44.5</v>
      </c>
      <c r="AA31" s="10">
        <v>45.01</v>
      </c>
      <c r="AB31" s="95">
        <v>35030100</v>
      </c>
      <c r="AC31" s="10">
        <v>44.65</v>
      </c>
      <c r="AD31" s="2">
        <f t="shared" si="2"/>
        <v>0.82999999999999829</v>
      </c>
      <c r="AE31" s="138">
        <f t="shared" si="3"/>
        <v>-1.5435501653803807E-2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5"/>
        <v>163.75999999999976</v>
      </c>
      <c r="G32" s="40">
        <f t="shared" si="6"/>
        <v>3885.84</v>
      </c>
      <c r="H32" s="233">
        <f t="shared" si="7"/>
        <v>4.214275420501095E-2</v>
      </c>
      <c r="I32" s="40"/>
      <c r="W32" s="94">
        <v>42545</v>
      </c>
      <c r="X32" s="10">
        <v>45.76</v>
      </c>
      <c r="Y32" s="10">
        <v>46.97</v>
      </c>
      <c r="Z32" s="10">
        <v>45.28</v>
      </c>
      <c r="AA32" s="10">
        <v>45.71</v>
      </c>
      <c r="AB32" s="95">
        <v>46744100</v>
      </c>
      <c r="AC32" s="10">
        <v>45.35</v>
      </c>
      <c r="AD32" s="2">
        <f t="shared" si="2"/>
        <v>1.6899999999999977</v>
      </c>
      <c r="AE32" s="138">
        <f t="shared" si="3"/>
        <v>-4.5865768988007538E-2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5"/>
        <v>189.72000000000008</v>
      </c>
      <c r="G33" s="40">
        <f t="shared" si="6"/>
        <v>1847.08</v>
      </c>
      <c r="H33" s="233">
        <f t="shared" si="7"/>
        <v>0.10271347207484251</v>
      </c>
      <c r="I33" s="40"/>
      <c r="W33" s="94">
        <v>42544</v>
      </c>
      <c r="X33" s="10">
        <v>47.64</v>
      </c>
      <c r="Y33" s="10">
        <v>47.91</v>
      </c>
      <c r="Z33" s="10">
        <v>47.39</v>
      </c>
      <c r="AA33" s="10">
        <v>47.91</v>
      </c>
      <c r="AB33" s="95">
        <v>16270000</v>
      </c>
      <c r="AC33" s="10">
        <v>47.53</v>
      </c>
      <c r="AD33" s="2">
        <f t="shared" si="2"/>
        <v>0.51999999999999602</v>
      </c>
      <c r="AE33" s="138">
        <f t="shared" si="3"/>
        <v>1.9957081545064481E-2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5"/>
        <v>150.91999999999985</v>
      </c>
      <c r="G34" s="40">
        <f t="shared" si="6"/>
        <v>3847.48</v>
      </c>
      <c r="H34" s="233">
        <f t="shared" si="7"/>
        <v>3.9225674987264349E-2</v>
      </c>
      <c r="I34" s="40"/>
      <c r="W34" s="94">
        <v>42543</v>
      </c>
      <c r="X34" s="10">
        <v>47.15</v>
      </c>
      <c r="Y34" s="10">
        <v>47.58</v>
      </c>
      <c r="Z34" s="10">
        <v>46.93</v>
      </c>
      <c r="AA34" s="10">
        <v>46.97</v>
      </c>
      <c r="AB34" s="95">
        <v>17072100</v>
      </c>
      <c r="AC34" s="10">
        <v>46.6</v>
      </c>
      <c r="AD34" s="2">
        <f t="shared" si="2"/>
        <v>0.64999999999999858</v>
      </c>
      <c r="AE34" s="138">
        <f t="shared" si="3"/>
        <v>-5.3361792956243548E-3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5"/>
        <v>88.520000000000323</v>
      </c>
      <c r="G35" s="40">
        <f t="shared" si="6"/>
        <v>3847.48</v>
      </c>
      <c r="H35" s="233">
        <f t="shared" si="7"/>
        <v>2.3007267094305967E-2</v>
      </c>
      <c r="I35" s="40"/>
      <c r="W35" s="94">
        <v>42542</v>
      </c>
      <c r="X35" s="10">
        <v>47.29</v>
      </c>
      <c r="Y35" s="10">
        <v>47.34</v>
      </c>
      <c r="Z35" s="10">
        <v>46.77</v>
      </c>
      <c r="AA35" s="10">
        <v>47.23</v>
      </c>
      <c r="AB35" s="95">
        <v>11731600</v>
      </c>
      <c r="AC35" s="10">
        <v>46.85</v>
      </c>
      <c r="AD35" s="2">
        <f t="shared" si="2"/>
        <v>0.57000000000000028</v>
      </c>
      <c r="AE35" s="138">
        <f t="shared" si="3"/>
        <v>6.2285223367697373E-3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5"/>
        <v>88.824999999999719</v>
      </c>
      <c r="G36" s="40">
        <f t="shared" si="6"/>
        <v>5293.4750000000004</v>
      </c>
      <c r="H36" s="233">
        <f t="shared" si="7"/>
        <v>1.678009247233617E-2</v>
      </c>
      <c r="I36" s="40"/>
      <c r="W36" s="94">
        <v>42541</v>
      </c>
      <c r="X36" s="10">
        <v>47.49</v>
      </c>
      <c r="Y36" s="10">
        <v>47.9</v>
      </c>
      <c r="Z36" s="10">
        <v>46.92</v>
      </c>
      <c r="AA36" s="10">
        <v>46.93</v>
      </c>
      <c r="AB36" s="95">
        <v>19490100</v>
      </c>
      <c r="AC36" s="10">
        <v>46.56</v>
      </c>
      <c r="AD36" s="2">
        <f t="shared" si="2"/>
        <v>0.97999999999999687</v>
      </c>
      <c r="AE36" s="138">
        <f t="shared" si="3"/>
        <v>7.1382219338094188E-3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5"/>
        <v>16.170000000000613</v>
      </c>
      <c r="G37" s="40">
        <f t="shared" si="6"/>
        <v>5293.53</v>
      </c>
      <c r="H37" s="233">
        <f t="shared" si="7"/>
        <v>3.0546724019700679E-3</v>
      </c>
      <c r="I37" s="40"/>
      <c r="W37" s="94">
        <v>42538</v>
      </c>
      <c r="X37" s="10">
        <v>46.85</v>
      </c>
      <c r="Y37" s="10">
        <v>47</v>
      </c>
      <c r="Z37" s="10">
        <v>46.52</v>
      </c>
      <c r="AA37" s="10">
        <v>46.6</v>
      </c>
      <c r="AB37" s="95">
        <v>25661300</v>
      </c>
      <c r="AC37" s="10">
        <v>46.23</v>
      </c>
      <c r="AD37" s="2">
        <f t="shared" si="2"/>
        <v>0.47999999999999687</v>
      </c>
      <c r="AE37" s="138">
        <f t="shared" si="3"/>
        <v>-5.3786574870912096E-3</v>
      </c>
    </row>
    <row r="38" spans="2:31" x14ac:dyDescent="0.25">
      <c r="B38" s="195">
        <v>42507</v>
      </c>
      <c r="C38" s="485">
        <v>110</v>
      </c>
      <c r="D38" s="486">
        <v>48.122500000000002</v>
      </c>
      <c r="E38" s="40">
        <v>47.62</v>
      </c>
      <c r="F38" s="40">
        <f t="shared" si="5"/>
        <v>-55.275000000000531</v>
      </c>
      <c r="G38" s="40">
        <f t="shared" si="6"/>
        <v>5293.4750000000004</v>
      </c>
      <c r="H38" s="233">
        <f t="shared" si="7"/>
        <v>-1.0442100888357937E-2</v>
      </c>
      <c r="I38" s="40"/>
      <c r="W38" s="94">
        <v>42537</v>
      </c>
      <c r="X38" s="10">
        <v>46.47</v>
      </c>
      <c r="Y38" s="10">
        <v>46.86</v>
      </c>
      <c r="Z38" s="10">
        <v>45.96</v>
      </c>
      <c r="AA38" s="10">
        <v>46.85</v>
      </c>
      <c r="AB38" s="95">
        <v>15619300</v>
      </c>
      <c r="AC38" s="10">
        <v>46.48</v>
      </c>
      <c r="AD38" s="2">
        <f t="shared" si="2"/>
        <v>0.89999999999999858</v>
      </c>
      <c r="AE38" s="138">
        <f t="shared" si="3"/>
        <v>1.5082956259426794E-3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5"/>
        <v>122.07999999999998</v>
      </c>
      <c r="G39" s="40">
        <f t="shared" si="6"/>
        <v>3321.92</v>
      </c>
      <c r="H39" s="233">
        <f t="shared" si="7"/>
        <v>3.6749831422791632E-2</v>
      </c>
      <c r="I39" s="40"/>
      <c r="O39" s="11"/>
      <c r="P39" s="525" t="s">
        <v>78</v>
      </c>
      <c r="Q39" s="525"/>
      <c r="R39" s="34"/>
      <c r="W39" s="94">
        <v>42536</v>
      </c>
      <c r="X39" s="10">
        <v>47.27</v>
      </c>
      <c r="Y39" s="10">
        <v>47.56</v>
      </c>
      <c r="Z39" s="10">
        <v>46.74</v>
      </c>
      <c r="AA39" s="10">
        <v>46.78</v>
      </c>
      <c r="AB39" s="95">
        <v>20142000</v>
      </c>
      <c r="AC39" s="10">
        <v>46.41</v>
      </c>
      <c r="AD39" s="2">
        <f t="shared" si="2"/>
        <v>0.82000000000000028</v>
      </c>
      <c r="AE39" s="138">
        <f t="shared" si="3"/>
        <v>-2.1500752526338873E-3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5"/>
        <v>242.46000000000015</v>
      </c>
      <c r="G40" s="40">
        <f t="shared" si="6"/>
        <v>2307.54</v>
      </c>
      <c r="H40" s="233">
        <f t="shared" si="7"/>
        <v>0.10507293481369778</v>
      </c>
      <c r="I40" s="40"/>
      <c r="O40" s="2"/>
      <c r="P40" s="83">
        <v>1.1000000000000001</v>
      </c>
      <c r="Q40" s="83">
        <f>P40*$Q$4</f>
        <v>53.801000000000002</v>
      </c>
      <c r="R40" s="34"/>
      <c r="W40" s="94">
        <v>42535</v>
      </c>
      <c r="X40" s="10">
        <v>47.86</v>
      </c>
      <c r="Y40" s="10">
        <v>48.12</v>
      </c>
      <c r="Z40" s="10">
        <v>46.51</v>
      </c>
      <c r="AA40" s="10">
        <v>46.88</v>
      </c>
      <c r="AB40" s="95">
        <v>25311700</v>
      </c>
      <c r="AC40" s="10">
        <v>46.51</v>
      </c>
      <c r="AD40" s="2">
        <f t="shared" si="2"/>
        <v>1.6099999999999994</v>
      </c>
      <c r="AE40" s="138">
        <f t="shared" si="3"/>
        <v>-2.2693843244379175E-2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5"/>
        <v>237.75999999999954</v>
      </c>
      <c r="G41" s="40">
        <f t="shared" si="6"/>
        <v>3777.4400000000005</v>
      </c>
      <c r="H41" s="233">
        <f t="shared" si="7"/>
        <v>6.2942098352323145E-2</v>
      </c>
      <c r="I41" s="40"/>
      <c r="O41" s="2"/>
      <c r="P41" s="83">
        <v>1.0900000000000001</v>
      </c>
      <c r="Q41" s="83">
        <f t="shared" ref="Q41:Q60" si="8">P41*$Q$4</f>
        <v>53.311900000000001</v>
      </c>
      <c r="R41" s="34"/>
      <c r="W41" s="94">
        <v>42534</v>
      </c>
      <c r="X41" s="10">
        <v>48.13</v>
      </c>
      <c r="Y41" s="10">
        <v>48.51</v>
      </c>
      <c r="Z41" s="10">
        <v>47.96</v>
      </c>
      <c r="AA41" s="10">
        <v>47.97</v>
      </c>
      <c r="AB41" s="95">
        <v>16150100</v>
      </c>
      <c r="AC41" s="10">
        <v>47.59</v>
      </c>
      <c r="AD41" s="2">
        <f t="shared" si="2"/>
        <v>0.54999999999999716</v>
      </c>
      <c r="AE41" s="138">
        <f t="shared" si="3"/>
        <v>-7.5078206465067909E-3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5"/>
        <v>264.73000000000013</v>
      </c>
      <c r="G42" s="40">
        <f t="shared" si="6"/>
        <v>2259.77</v>
      </c>
      <c r="H42" s="233">
        <f t="shared" si="7"/>
        <v>0.11714909039415522</v>
      </c>
      <c r="I42" s="40"/>
      <c r="O42" s="2"/>
      <c r="P42" s="83">
        <v>1.08</v>
      </c>
      <c r="Q42" s="83">
        <f t="shared" si="8"/>
        <v>52.822800000000001</v>
      </c>
      <c r="R42" s="34"/>
      <c r="T42" s="91" t="s">
        <v>113</v>
      </c>
      <c r="W42" s="94">
        <v>42531</v>
      </c>
      <c r="X42" s="10">
        <v>48.49</v>
      </c>
      <c r="Y42" s="10">
        <v>48.71</v>
      </c>
      <c r="Z42" s="10">
        <v>48.17</v>
      </c>
      <c r="AA42" s="10">
        <v>48.34</v>
      </c>
      <c r="AB42" s="95">
        <v>16815300</v>
      </c>
      <c r="AC42" s="10">
        <v>47.95</v>
      </c>
      <c r="AD42" s="2">
        <f t="shared" si="2"/>
        <v>0.53999999999999915</v>
      </c>
      <c r="AE42" s="138">
        <f t="shared" si="3"/>
        <v>-1.6410256410256396E-2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5"/>
        <v>152.12800000000016</v>
      </c>
      <c r="G43" s="40">
        <f t="shared" si="6"/>
        <v>3715.0720000000001</v>
      </c>
      <c r="H43" s="233">
        <f t="shared" si="7"/>
        <v>4.0948869900771817E-2</v>
      </c>
      <c r="I43" s="40"/>
      <c r="O43" s="2"/>
      <c r="P43" s="83">
        <v>1.07</v>
      </c>
      <c r="Q43" s="83">
        <f t="shared" si="8"/>
        <v>52.3337</v>
      </c>
      <c r="R43" s="83"/>
      <c r="T43" s="97" t="s">
        <v>98</v>
      </c>
      <c r="U43" s="98">
        <v>47.84</v>
      </c>
      <c r="W43" s="94">
        <v>42530</v>
      </c>
      <c r="X43" s="10">
        <v>49.65</v>
      </c>
      <c r="Y43" s="10">
        <v>49.68</v>
      </c>
      <c r="Z43" s="10">
        <v>48.85</v>
      </c>
      <c r="AA43" s="10">
        <v>49.14</v>
      </c>
      <c r="AB43" s="95">
        <v>19464400</v>
      </c>
      <c r="AC43" s="10">
        <v>48.75</v>
      </c>
      <c r="AD43" s="2">
        <f t="shared" si="2"/>
        <v>0.82999999999999829</v>
      </c>
      <c r="AE43" s="138">
        <f t="shared" si="3"/>
        <v>-1.7137096774193616E-2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5"/>
        <v>35.360000000000014</v>
      </c>
      <c r="G44" s="40">
        <f t="shared" si="6"/>
        <v>3715.04</v>
      </c>
      <c r="H44" s="233">
        <f t="shared" si="7"/>
        <v>9.5180671002196501E-3</v>
      </c>
      <c r="I44" s="40"/>
      <c r="O44" s="2"/>
      <c r="P44" s="83">
        <v>1.06</v>
      </c>
      <c r="Q44" s="83">
        <f t="shared" si="8"/>
        <v>51.8446</v>
      </c>
      <c r="R44" s="83"/>
      <c r="T44" s="87" t="s">
        <v>99</v>
      </c>
      <c r="U44" s="88">
        <v>48.39</v>
      </c>
      <c r="W44" s="94">
        <v>42529</v>
      </c>
      <c r="X44" s="10">
        <v>50.25</v>
      </c>
      <c r="Y44" s="10">
        <v>50.44</v>
      </c>
      <c r="Z44" s="10">
        <v>49.74</v>
      </c>
      <c r="AA44" s="10">
        <v>50</v>
      </c>
      <c r="AB44" s="95">
        <v>18168500</v>
      </c>
      <c r="AC44" s="10">
        <v>49.6</v>
      </c>
      <c r="AD44" s="2">
        <f t="shared" si="2"/>
        <v>0.69999999999999574</v>
      </c>
      <c r="AE44" s="138">
        <f t="shared" si="3"/>
        <v>-5.4140765991577133E-3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9">C45*(E45-D45)</f>
        <v>-27.040000000000077</v>
      </c>
      <c r="G45" s="40">
        <f t="shared" ref="G45" si="10">D45*C45</f>
        <v>3715.04</v>
      </c>
      <c r="H45" s="233">
        <f t="shared" ref="H45" si="11">(E45-D45)/D45</f>
        <v>-7.2785219001679866E-3</v>
      </c>
      <c r="I45" s="238">
        <v>45</v>
      </c>
      <c r="O45" s="2"/>
      <c r="P45" s="83">
        <v>1.05</v>
      </c>
      <c r="Q45" s="83">
        <f t="shared" si="8"/>
        <v>51.355499999999999</v>
      </c>
      <c r="R45" s="83"/>
      <c r="T45" s="87" t="s">
        <v>100</v>
      </c>
      <c r="U45" s="88" t="s">
        <v>530</v>
      </c>
      <c r="W45" s="94">
        <v>42528</v>
      </c>
      <c r="X45" s="10">
        <v>50.73</v>
      </c>
      <c r="Y45" s="10">
        <v>50.73</v>
      </c>
      <c r="Z45" s="10">
        <v>50.27</v>
      </c>
      <c r="AA45" s="10">
        <v>50.27</v>
      </c>
      <c r="AB45" s="95">
        <v>15310100</v>
      </c>
      <c r="AC45" s="10">
        <v>49.87</v>
      </c>
      <c r="AD45" s="2">
        <f t="shared" si="2"/>
        <v>0.45999999999999375</v>
      </c>
      <c r="AE45" s="138">
        <f t="shared" si="3"/>
        <v>-4.392094230385446E-3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2">C46*(E46-D46)</f>
        <v>47.327999999999975</v>
      </c>
      <c r="G46" s="40">
        <f t="shared" ref="G46" si="13">D46*C46</f>
        <v>3715.0720000000001</v>
      </c>
      <c r="H46" s="233">
        <f t="shared" ref="H46" si="14">(E46-D46)/D46</f>
        <v>1.2739457001102529E-2</v>
      </c>
      <c r="I46" s="40"/>
      <c r="O46" s="2"/>
      <c r="P46" s="83">
        <v>1.04</v>
      </c>
      <c r="Q46" s="83">
        <f t="shared" si="8"/>
        <v>50.866399999999999</v>
      </c>
      <c r="R46" s="83"/>
      <c r="T46" s="87" t="s">
        <v>101</v>
      </c>
      <c r="U46" s="88" t="s">
        <v>531</v>
      </c>
      <c r="W46" s="94">
        <v>42527</v>
      </c>
      <c r="X46" s="10">
        <v>50.24</v>
      </c>
      <c r="Y46" s="10">
        <v>50.87</v>
      </c>
      <c r="Z46" s="10">
        <v>50.19</v>
      </c>
      <c r="AA46" s="10">
        <v>50.49</v>
      </c>
      <c r="AB46" s="95">
        <v>14528500</v>
      </c>
      <c r="AC46" s="10">
        <v>50.09</v>
      </c>
      <c r="AD46" s="2">
        <f t="shared" si="2"/>
        <v>0.67999999999999972</v>
      </c>
      <c r="AE46" s="138">
        <f t="shared" si="3"/>
        <v>6.025306286403076E-3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5">C47*(E47-D47)</f>
        <v>-18.272000000000048</v>
      </c>
      <c r="G47" s="40">
        <f t="shared" ref="G47" si="16">D47*C47</f>
        <v>3715.0720000000001</v>
      </c>
      <c r="H47" s="233">
        <f t="shared" ref="H47" si="17">(E47-D47)/D47</f>
        <v>-4.9183434399118096E-3</v>
      </c>
      <c r="I47" s="40"/>
      <c r="O47" s="2"/>
      <c r="P47" s="83">
        <v>1.03</v>
      </c>
      <c r="Q47" s="83">
        <f t="shared" si="8"/>
        <v>50.377299999999998</v>
      </c>
      <c r="R47" s="83"/>
      <c r="T47" s="87" t="s">
        <v>102</v>
      </c>
      <c r="U47" s="88">
        <v>53.11</v>
      </c>
      <c r="W47" s="94">
        <v>42524</v>
      </c>
      <c r="X47" s="10">
        <v>50.17</v>
      </c>
      <c r="Y47" s="10">
        <v>50.31</v>
      </c>
      <c r="Z47" s="10">
        <v>49.61</v>
      </c>
      <c r="AA47" s="10">
        <v>50.19</v>
      </c>
      <c r="AB47" s="95">
        <v>25452600</v>
      </c>
      <c r="AC47" s="10">
        <v>49.79</v>
      </c>
      <c r="AD47" s="2">
        <f t="shared" si="2"/>
        <v>0.70000000000000284</v>
      </c>
      <c r="AE47" s="138">
        <f t="shared" si="3"/>
        <v>-1.7948717948717996E-2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8">C48*(E48-D48)</f>
        <v>131.32799999999975</v>
      </c>
      <c r="G48" s="40">
        <f t="shared" ref="G48" si="19">D48*C48</f>
        <v>3715.0720000000001</v>
      </c>
      <c r="H48" s="233">
        <f t="shared" ref="H48" si="20">(E48-D48)/D48</f>
        <v>3.5350055126791555E-2</v>
      </c>
      <c r="I48" s="40"/>
      <c r="O48" s="2"/>
      <c r="P48" s="83">
        <v>1.02</v>
      </c>
      <c r="Q48" s="83">
        <f t="shared" si="8"/>
        <v>49.888199999999998</v>
      </c>
      <c r="R48" s="83"/>
      <c r="T48" s="87" t="s">
        <v>103</v>
      </c>
      <c r="U48" s="88">
        <v>0.89766800000000002</v>
      </c>
      <c r="W48" s="94">
        <v>42523</v>
      </c>
      <c r="X48" s="10">
        <v>50.96</v>
      </c>
      <c r="Y48" s="10">
        <v>51.11</v>
      </c>
      <c r="Z48" s="10">
        <v>50.71</v>
      </c>
      <c r="AA48" s="10">
        <v>51.11</v>
      </c>
      <c r="AB48" s="95">
        <v>14206700</v>
      </c>
      <c r="AC48" s="10">
        <v>50.7</v>
      </c>
      <c r="AD48" s="2">
        <f t="shared" si="2"/>
        <v>0.39999999999999858</v>
      </c>
      <c r="AE48" s="138">
        <f t="shared" si="3"/>
        <v>2.1743427554852257E-3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:F50" si="21">C49*(E49-D49)</f>
        <v>152.928</v>
      </c>
      <c r="G49" s="40">
        <f t="shared" ref="G49:G50" si="22">D49*C49</f>
        <v>3715.0720000000001</v>
      </c>
      <c r="H49" s="233">
        <f t="shared" ref="H49:H50" si="23">(E49-D49)/D49</f>
        <v>4.1164208930540243E-2</v>
      </c>
      <c r="I49" s="40"/>
      <c r="O49" s="2"/>
      <c r="P49" s="83">
        <v>1.01</v>
      </c>
      <c r="Q49" s="83">
        <f t="shared" si="8"/>
        <v>49.399099999999997</v>
      </c>
      <c r="R49" s="83"/>
      <c r="T49" s="87" t="s">
        <v>104</v>
      </c>
      <c r="U49" s="89" t="s">
        <v>312</v>
      </c>
      <c r="W49" s="94">
        <v>42522</v>
      </c>
      <c r="X49" s="10">
        <v>50.26</v>
      </c>
      <c r="Y49" s="10">
        <v>51.04</v>
      </c>
      <c r="Z49" s="10">
        <v>50.17</v>
      </c>
      <c r="AA49" s="10">
        <v>51</v>
      </c>
      <c r="AB49" s="95">
        <v>16774300</v>
      </c>
      <c r="AC49" s="10">
        <v>50.59</v>
      </c>
      <c r="AD49" s="2">
        <f t="shared" si="2"/>
        <v>0.86999999999999744</v>
      </c>
      <c r="AE49" s="138">
        <f t="shared" si="3"/>
        <v>5.3656597774245363E-3</v>
      </c>
    </row>
    <row r="50" spans="2:31" x14ac:dyDescent="0.25">
      <c r="B50" s="195">
        <v>42566</v>
      </c>
      <c r="C50" s="485">
        <v>110</v>
      </c>
      <c r="D50" s="486">
        <v>46.749699999999997</v>
      </c>
      <c r="E50" s="40">
        <v>47.71</v>
      </c>
      <c r="F50" s="40">
        <f t="shared" si="21"/>
        <v>105.63300000000041</v>
      </c>
      <c r="G50" s="40">
        <f t="shared" si="22"/>
        <v>5142.4669999999996</v>
      </c>
      <c r="H50" s="233">
        <f t="shared" si="23"/>
        <v>2.0541308286470369E-2</v>
      </c>
      <c r="I50" s="40" t="s">
        <v>304</v>
      </c>
      <c r="O50" s="2"/>
      <c r="P50" s="83">
        <v>1</v>
      </c>
      <c r="Q50" s="83">
        <f t="shared" si="8"/>
        <v>48.91</v>
      </c>
      <c r="R50" s="83"/>
      <c r="T50" s="87"/>
      <c r="U50" s="88"/>
      <c r="W50" s="94">
        <v>42521</v>
      </c>
      <c r="X50" s="10">
        <v>51.02</v>
      </c>
      <c r="Y50" s="10">
        <v>51.19</v>
      </c>
      <c r="Z50" s="10">
        <v>50.49</v>
      </c>
      <c r="AA50" s="10">
        <v>50.72</v>
      </c>
      <c r="AB50" s="95">
        <v>19725000</v>
      </c>
      <c r="AC50" s="10">
        <v>50.32</v>
      </c>
      <c r="AD50" s="2">
        <f t="shared" si="2"/>
        <v>0.69999999999999574</v>
      </c>
      <c r="AE50" s="138">
        <f t="shared" si="3"/>
        <v>-2.3790642347343294E-3</v>
      </c>
    </row>
    <row r="51" spans="2:31" x14ac:dyDescent="0.25">
      <c r="B51" s="195">
        <v>42569</v>
      </c>
      <c r="C51" s="10">
        <v>110</v>
      </c>
      <c r="D51" s="202">
        <v>46.749699999999997</v>
      </c>
      <c r="E51" s="40">
        <v>48.28</v>
      </c>
      <c r="F51" s="40">
        <f t="shared" ref="F51" si="24">C51*(E51-D51)</f>
        <v>168.33300000000042</v>
      </c>
      <c r="G51" s="40">
        <f t="shared" ref="G51" si="25">D51*C51</f>
        <v>5142.4669999999996</v>
      </c>
      <c r="H51" s="233">
        <f t="shared" ref="H51" si="26">(E51-D51)/D51</f>
        <v>3.2733899896683918E-2</v>
      </c>
      <c r="I51" s="40"/>
      <c r="O51" s="2"/>
      <c r="P51" s="83">
        <v>0.99</v>
      </c>
      <c r="Q51" s="83">
        <f t="shared" si="8"/>
        <v>48.420899999999996</v>
      </c>
      <c r="R51" s="83"/>
      <c r="T51" s="87" t="s">
        <v>105</v>
      </c>
      <c r="U51" s="88" t="s">
        <v>532</v>
      </c>
      <c r="W51" s="94">
        <v>42517</v>
      </c>
      <c r="X51" s="10">
        <v>50.6</v>
      </c>
      <c r="Y51" s="10">
        <v>50.86</v>
      </c>
      <c r="Z51" s="10">
        <v>50.49</v>
      </c>
      <c r="AA51" s="10">
        <v>50.85</v>
      </c>
      <c r="AB51" s="95">
        <v>13430500</v>
      </c>
      <c r="AC51" s="10">
        <v>50.44</v>
      </c>
      <c r="AD51" s="2">
        <f t="shared" si="2"/>
        <v>0.36999999999999744</v>
      </c>
      <c r="AE51" s="138">
        <f t="shared" si="3"/>
        <v>5.7826520438684081E-3</v>
      </c>
    </row>
    <row r="52" spans="2:31" x14ac:dyDescent="0.25">
      <c r="B52" s="195">
        <v>42570</v>
      </c>
      <c r="C52" s="10">
        <v>110</v>
      </c>
      <c r="D52" s="202">
        <v>46.749699999999997</v>
      </c>
      <c r="E52" s="40">
        <v>48.37</v>
      </c>
      <c r="F52" s="40">
        <f t="shared" ref="F52" si="27">C52*(E52-D52)</f>
        <v>178.23300000000003</v>
      </c>
      <c r="G52" s="40">
        <f t="shared" ref="G52" si="28">D52*C52</f>
        <v>5142.4669999999996</v>
      </c>
      <c r="H52" s="233">
        <f t="shared" ref="H52" si="29">(E52-D52)/D52</f>
        <v>3.4659045940401763E-2</v>
      </c>
      <c r="I52" s="40"/>
      <c r="O52" s="2"/>
      <c r="P52" s="83">
        <v>0.98</v>
      </c>
      <c r="Q52" s="83">
        <f t="shared" si="8"/>
        <v>47.931799999999996</v>
      </c>
      <c r="R52" s="83"/>
      <c r="T52" s="87" t="s">
        <v>106</v>
      </c>
      <c r="U52" s="88" t="s">
        <v>533</v>
      </c>
      <c r="W52" s="94">
        <v>42516</v>
      </c>
      <c r="X52" s="10">
        <v>50.52</v>
      </c>
      <c r="Y52" s="10">
        <v>50.66</v>
      </c>
      <c r="Z52" s="10">
        <v>50.4</v>
      </c>
      <c r="AA52" s="10">
        <v>50.55</v>
      </c>
      <c r="AB52" s="95">
        <v>14983300</v>
      </c>
      <c r="AC52" s="10">
        <v>50.15</v>
      </c>
      <c r="AD52" s="2">
        <f t="shared" si="2"/>
        <v>0.25999999999999801</v>
      </c>
      <c r="AE52" s="138">
        <f t="shared" si="3"/>
        <v>9.9800399201588341E-4</v>
      </c>
    </row>
    <row r="53" spans="2:31" x14ac:dyDescent="0.25">
      <c r="B53" s="195">
        <v>42571</v>
      </c>
      <c r="C53" s="10">
        <v>110</v>
      </c>
      <c r="D53" s="202">
        <v>46.749699999999997</v>
      </c>
      <c r="E53" s="40">
        <v>48.61</v>
      </c>
      <c r="F53" s="40">
        <f t="shared" ref="F53" si="30">C53*(E53-D53)</f>
        <v>204.63300000000027</v>
      </c>
      <c r="G53" s="40">
        <f t="shared" ref="G53" si="31">D53*C53</f>
        <v>5142.4669999999996</v>
      </c>
      <c r="H53" s="233">
        <f t="shared" ref="H53" si="32">(E53-D53)/D53</f>
        <v>3.9792768723649612E-2</v>
      </c>
      <c r="I53" s="40"/>
      <c r="O53" s="2"/>
      <c r="P53" s="83">
        <v>0.97</v>
      </c>
      <c r="Q53" s="83">
        <f t="shared" si="8"/>
        <v>47.442699999999995</v>
      </c>
      <c r="R53" s="83"/>
      <c r="T53" s="87" t="s">
        <v>107</v>
      </c>
      <c r="U53" s="90">
        <v>19064723</v>
      </c>
      <c r="W53" s="94">
        <v>42515</v>
      </c>
      <c r="X53" s="10">
        <v>49.58</v>
      </c>
      <c r="Y53" s="10">
        <v>50.83</v>
      </c>
      <c r="Z53" s="10">
        <v>49.51</v>
      </c>
      <c r="AA53" s="10">
        <v>50.5</v>
      </c>
      <c r="AB53" s="95">
        <v>22478600</v>
      </c>
      <c r="AC53" s="10">
        <v>50.1</v>
      </c>
      <c r="AD53" s="2">
        <f t="shared" si="2"/>
        <v>1.3200000000000003</v>
      </c>
      <c r="AE53" s="138">
        <f t="shared" si="3"/>
        <v>2.6429010448678625E-2</v>
      </c>
    </row>
    <row r="54" spans="2:31" x14ac:dyDescent="0.25">
      <c r="B54" s="195">
        <v>42572</v>
      </c>
      <c r="C54" s="10">
        <v>110</v>
      </c>
      <c r="D54" s="202">
        <v>46.749699999999997</v>
      </c>
      <c r="E54" s="40">
        <v>48.3</v>
      </c>
      <c r="F54" s="40">
        <f t="shared" ref="F54" si="33">C54*(E54-D54)</f>
        <v>170.53300000000002</v>
      </c>
      <c r="G54" s="40">
        <f t="shared" ref="G54" si="34">D54*C54</f>
        <v>5142.4669999999996</v>
      </c>
      <c r="H54" s="233">
        <f t="shared" ref="H54" si="35">(E54-D54)/D54</f>
        <v>3.3161710128621145E-2</v>
      </c>
      <c r="I54" s="40"/>
      <c r="O54" s="2"/>
      <c r="P54" s="83">
        <v>0.96</v>
      </c>
      <c r="Q54" s="83">
        <f t="shared" si="8"/>
        <v>46.953599999999994</v>
      </c>
      <c r="R54" s="83"/>
      <c r="T54" s="87" t="s">
        <v>110</v>
      </c>
      <c r="U54" s="90">
        <v>18600700</v>
      </c>
      <c r="W54" s="94">
        <v>42514</v>
      </c>
      <c r="X54" s="10">
        <v>49.05</v>
      </c>
      <c r="Y54" s="10">
        <v>49.37</v>
      </c>
      <c r="Z54" s="10">
        <v>48.69</v>
      </c>
      <c r="AA54" s="10">
        <v>49.2</v>
      </c>
      <c r="AB54" s="95">
        <v>16597700</v>
      </c>
      <c r="AC54" s="10">
        <v>48.81</v>
      </c>
      <c r="AD54" s="2">
        <f t="shared" si="2"/>
        <v>0.67999999999999972</v>
      </c>
      <c r="AE54" s="138">
        <f t="shared" si="3"/>
        <v>1.0349824052991119E-2</v>
      </c>
    </row>
    <row r="55" spans="2:31" x14ac:dyDescent="0.25">
      <c r="B55" s="195">
        <v>42576</v>
      </c>
      <c r="C55" s="10">
        <v>110</v>
      </c>
      <c r="D55" s="202">
        <v>46.749699999999997</v>
      </c>
      <c r="E55" s="40">
        <v>48.12</v>
      </c>
      <c r="F55" s="40">
        <f t="shared" ref="F55" si="36">C55*(E55-D55)</f>
        <v>150.73300000000003</v>
      </c>
      <c r="G55" s="40">
        <f t="shared" ref="G55" si="37">D55*C55</f>
        <v>5142.4669999999996</v>
      </c>
      <c r="H55" s="233">
        <f t="shared" ref="H55" si="38">(E55-D55)/D55</f>
        <v>2.9311418041185301E-2</v>
      </c>
      <c r="I55" s="40"/>
      <c r="O55" s="2"/>
      <c r="P55" s="83">
        <v>0.95</v>
      </c>
      <c r="Q55" s="83">
        <f t="shared" si="8"/>
        <v>46.464499999999994</v>
      </c>
      <c r="R55" s="83"/>
      <c r="T55" s="87" t="s">
        <v>108</v>
      </c>
      <c r="U55" s="88" t="s">
        <v>534</v>
      </c>
      <c r="W55" s="94">
        <v>42513</v>
      </c>
      <c r="X55" s="10">
        <v>48.76</v>
      </c>
      <c r="Y55" s="10">
        <v>48.88</v>
      </c>
      <c r="Z55" s="10">
        <v>48.35</v>
      </c>
      <c r="AA55" s="10">
        <v>48.7</v>
      </c>
      <c r="AB55" s="95">
        <v>10644000</v>
      </c>
      <c r="AC55" s="10">
        <v>48.31</v>
      </c>
      <c r="AD55" s="2">
        <f t="shared" si="2"/>
        <v>0.53000000000000114</v>
      </c>
      <c r="AE55" s="138">
        <f>AC55/AC56-1</f>
        <v>-1.0339123242348869E-3</v>
      </c>
    </row>
    <row r="56" spans="2:31" x14ac:dyDescent="0.25">
      <c r="B56" s="195">
        <v>42585</v>
      </c>
      <c r="C56" s="10">
        <v>110</v>
      </c>
      <c r="D56" s="202">
        <v>46.749699999999997</v>
      </c>
      <c r="E56" s="40">
        <v>47.7</v>
      </c>
      <c r="F56" s="40">
        <f t="shared" ref="F56:F57" si="39">C56*(E56-D56)</f>
        <v>104.53300000000063</v>
      </c>
      <c r="G56" s="40">
        <f t="shared" ref="G56:G57" si="40">D56*C56</f>
        <v>5142.4669999999996</v>
      </c>
      <c r="H56" s="233">
        <f t="shared" ref="H56:H57" si="41">(E56-D56)/D56</f>
        <v>2.0327403170501752E-2</v>
      </c>
      <c r="I56" s="40"/>
      <c r="O56" s="2"/>
      <c r="P56" s="83">
        <v>0.94</v>
      </c>
      <c r="Q56" s="83">
        <f t="shared" si="8"/>
        <v>45.975399999999993</v>
      </c>
      <c r="R56" s="83"/>
      <c r="T56" s="87" t="s">
        <v>111</v>
      </c>
      <c r="U56" s="88">
        <v>12.02</v>
      </c>
      <c r="W56" s="94">
        <v>42510</v>
      </c>
      <c r="X56" s="10">
        <v>48.62</v>
      </c>
      <c r="Y56" s="10">
        <v>49.21</v>
      </c>
      <c r="Z56" s="10">
        <v>48.56</v>
      </c>
      <c r="AA56" s="10">
        <v>48.75</v>
      </c>
      <c r="AB56" s="95">
        <v>13222800</v>
      </c>
      <c r="AC56" s="10">
        <v>48.36</v>
      </c>
      <c r="AD56" s="2">
        <f t="shared" si="2"/>
        <v>0.64999999999999858</v>
      </c>
      <c r="AE56" s="138">
        <f t="shared" si="3"/>
        <v>7.7099395707438401E-3</v>
      </c>
    </row>
    <row r="57" spans="2:31" x14ac:dyDescent="0.25">
      <c r="B57" s="195">
        <v>42587</v>
      </c>
      <c r="C57" s="7">
        <v>80</v>
      </c>
      <c r="D57" s="79">
        <v>46.025700000000001</v>
      </c>
      <c r="E57" s="40">
        <v>48.43</v>
      </c>
      <c r="F57" s="40">
        <f t="shared" si="39"/>
        <v>192.34399999999994</v>
      </c>
      <c r="G57" s="40">
        <f t="shared" si="40"/>
        <v>3682.056</v>
      </c>
      <c r="H57" s="233">
        <f t="shared" si="41"/>
        <v>5.2238206045752682E-2</v>
      </c>
      <c r="I57" s="40"/>
      <c r="O57" s="2"/>
      <c r="P57" s="83">
        <v>0.93</v>
      </c>
      <c r="Q57" s="83">
        <f t="shared" si="8"/>
        <v>45.4863</v>
      </c>
      <c r="R57" s="83"/>
      <c r="T57" s="87" t="s">
        <v>112</v>
      </c>
      <c r="U57" s="88">
        <v>4.05</v>
      </c>
      <c r="W57" s="94">
        <v>42509</v>
      </c>
      <c r="X57" s="10">
        <v>48.44</v>
      </c>
      <c r="Y57" s="10">
        <v>48.96</v>
      </c>
      <c r="Z57" s="10">
        <v>48.16</v>
      </c>
      <c r="AA57" s="10">
        <v>48.38</v>
      </c>
      <c r="AB57" s="95">
        <v>13604100</v>
      </c>
      <c r="AC57" s="10">
        <v>47.99</v>
      </c>
      <c r="AD57" s="2">
        <f t="shared" si="2"/>
        <v>0.80000000000000426</v>
      </c>
      <c r="AE57" s="138">
        <f t="shared" si="3"/>
        <v>-5.5946953999170823E-3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8"/>
        <v>44.997199999999999</v>
      </c>
      <c r="R58" s="83"/>
      <c r="T58" s="87" t="s">
        <v>109</v>
      </c>
      <c r="U58" s="88" t="s">
        <v>585</v>
      </c>
      <c r="W58" s="94">
        <v>42508</v>
      </c>
      <c r="X58" s="10">
        <v>47.68</v>
      </c>
      <c r="Y58" s="10">
        <v>48.72</v>
      </c>
      <c r="Z58" s="10">
        <v>47.62</v>
      </c>
      <c r="AA58" s="10">
        <v>48.65</v>
      </c>
      <c r="AB58" s="95">
        <v>30028200</v>
      </c>
      <c r="AC58" s="10">
        <v>48.26</v>
      </c>
      <c r="AD58" s="2">
        <f t="shared" si="2"/>
        <v>1.1000000000000014</v>
      </c>
      <c r="AE58" s="138">
        <f t="shared" si="3"/>
        <v>2.1591871295512099E-2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8"/>
        <v>44.508099999999999</v>
      </c>
      <c r="R59" s="83"/>
      <c r="W59" s="94">
        <v>42507</v>
      </c>
      <c r="X59" s="10">
        <v>48.14</v>
      </c>
      <c r="Y59" s="10">
        <v>48.17</v>
      </c>
      <c r="Z59" s="10">
        <v>47.55</v>
      </c>
      <c r="AA59" s="10">
        <v>47.62</v>
      </c>
      <c r="AB59" s="95">
        <v>21495600</v>
      </c>
      <c r="AC59" s="10">
        <v>47.24</v>
      </c>
      <c r="AD59" s="2">
        <f t="shared" si="2"/>
        <v>0.62000000000000455</v>
      </c>
      <c r="AE59" s="138">
        <f t="shared" si="3"/>
        <v>-1.3572770933388933E-2</v>
      </c>
    </row>
    <row r="60" spans="2:31" x14ac:dyDescent="0.25">
      <c r="B60" s="195"/>
      <c r="C60" s="10"/>
      <c r="D60" s="202"/>
      <c r="E60" s="40"/>
      <c r="F60" s="40"/>
      <c r="G60" s="40"/>
      <c r="H60" s="233"/>
      <c r="I60" s="40"/>
      <c r="O60" s="2"/>
      <c r="P60" s="83">
        <v>0.9</v>
      </c>
      <c r="Q60" s="83">
        <f t="shared" si="8"/>
        <v>44.018999999999998</v>
      </c>
      <c r="R60" s="83"/>
      <c r="W60" s="94">
        <v>42506</v>
      </c>
      <c r="X60" s="10">
        <v>48.12</v>
      </c>
      <c r="Y60" s="10">
        <v>48.63</v>
      </c>
      <c r="Z60" s="10">
        <v>47.94</v>
      </c>
      <c r="AA60" s="10">
        <v>48.27</v>
      </c>
      <c r="AB60" s="95">
        <v>19655300</v>
      </c>
      <c r="AC60" s="10">
        <v>47.89</v>
      </c>
      <c r="AD60" s="2">
        <f t="shared" si="2"/>
        <v>0.69000000000000483</v>
      </c>
      <c r="AE60" s="138">
        <f t="shared" si="3"/>
        <v>6.2682824905979651E-4</v>
      </c>
    </row>
    <row r="61" spans="2:31" x14ac:dyDescent="0.25">
      <c r="B61" s="195"/>
      <c r="C61" s="10"/>
      <c r="D61" s="202"/>
      <c r="E61" s="40"/>
      <c r="F61" s="40"/>
      <c r="G61" s="40"/>
      <c r="H61" s="233"/>
      <c r="I61" s="40"/>
      <c r="W61" s="94">
        <v>42503</v>
      </c>
      <c r="X61" s="10">
        <v>49.1</v>
      </c>
      <c r="Y61" s="10">
        <v>49.43</v>
      </c>
      <c r="Z61" s="10">
        <v>48.21</v>
      </c>
      <c r="AA61" s="10">
        <v>48.24</v>
      </c>
      <c r="AB61" s="95">
        <v>25251700</v>
      </c>
      <c r="AC61" s="10">
        <v>47.86</v>
      </c>
      <c r="AD61" s="2">
        <f t="shared" si="2"/>
        <v>1.2199999999999989</v>
      </c>
      <c r="AE61" s="138">
        <f t="shared" si="3"/>
        <v>-1.9463224749026842E-2</v>
      </c>
    </row>
    <row r="62" spans="2:31" x14ac:dyDescent="0.25">
      <c r="B62" s="195"/>
      <c r="C62" s="10"/>
      <c r="D62" s="202"/>
      <c r="E62" s="40"/>
      <c r="F62" s="40"/>
      <c r="G62" s="40"/>
      <c r="H62" s="233"/>
      <c r="I62" s="40"/>
      <c r="W62" s="94">
        <v>42502</v>
      </c>
      <c r="X62" s="10">
        <v>49.34</v>
      </c>
      <c r="Y62" s="10">
        <v>49.58</v>
      </c>
      <c r="Z62" s="10">
        <v>49.05</v>
      </c>
      <c r="AA62" s="10">
        <v>49.2</v>
      </c>
      <c r="AB62" s="95">
        <v>13589600</v>
      </c>
      <c r="AC62" s="10">
        <v>48.81</v>
      </c>
      <c r="AD62" s="2">
        <f t="shared" si="2"/>
        <v>0.53000000000000114</v>
      </c>
      <c r="AE62" s="138">
        <f t="shared" si="3"/>
        <v>2.4645717806532907E-3</v>
      </c>
    </row>
    <row r="63" spans="2:31" x14ac:dyDescent="0.25">
      <c r="B63" s="195"/>
      <c r="C63" s="10"/>
      <c r="D63" s="202"/>
      <c r="E63" s="40"/>
      <c r="F63" s="40"/>
      <c r="G63" s="40"/>
      <c r="H63" s="233"/>
      <c r="I63" s="40"/>
      <c r="W63" s="94">
        <v>42501</v>
      </c>
      <c r="X63" s="10">
        <v>49.36</v>
      </c>
      <c r="Y63" s="10">
        <v>49.72</v>
      </c>
      <c r="Z63" s="10">
        <v>49.08</v>
      </c>
      <c r="AA63" s="10">
        <v>49.08</v>
      </c>
      <c r="AB63" s="95">
        <v>17344300</v>
      </c>
      <c r="AC63" s="10">
        <v>48.69</v>
      </c>
      <c r="AD63" s="2">
        <f t="shared" si="2"/>
        <v>0.64000000000000057</v>
      </c>
      <c r="AE63" s="138">
        <f t="shared" si="3"/>
        <v>-6.5292797388287749E-3</v>
      </c>
    </row>
    <row r="64" spans="2:31" x14ac:dyDescent="0.25">
      <c r="B64" s="195"/>
      <c r="C64" s="10"/>
      <c r="D64" s="202"/>
      <c r="E64" s="40"/>
      <c r="F64" s="40"/>
      <c r="G64" s="40"/>
      <c r="H64" s="233"/>
      <c r="I64" s="40"/>
      <c r="W64" s="94">
        <v>42500</v>
      </c>
      <c r="X64" s="10">
        <v>49</v>
      </c>
      <c r="Y64" s="10">
        <v>49.51</v>
      </c>
      <c r="Z64" s="10">
        <v>49</v>
      </c>
      <c r="AA64" s="10">
        <v>49.4</v>
      </c>
      <c r="AB64" s="95">
        <v>14234400</v>
      </c>
      <c r="AC64" s="10">
        <v>49.01</v>
      </c>
      <c r="AD64" s="2">
        <f t="shared" si="2"/>
        <v>0.50999999999999801</v>
      </c>
      <c r="AE64" s="138">
        <f t="shared" si="3"/>
        <v>1.072386058981234E-2</v>
      </c>
    </row>
    <row r="65" spans="2:31" x14ac:dyDescent="0.25">
      <c r="B65" s="195"/>
      <c r="C65" s="10"/>
      <c r="D65" s="202"/>
      <c r="E65" s="40"/>
      <c r="F65" s="40"/>
      <c r="G65" s="40"/>
      <c r="H65" s="233"/>
      <c r="I65" s="40"/>
      <c r="W65" s="94">
        <v>42499</v>
      </c>
      <c r="X65" s="10">
        <v>49.02</v>
      </c>
      <c r="Y65" s="10">
        <v>49.22</v>
      </c>
      <c r="Z65" s="10">
        <v>48.81</v>
      </c>
      <c r="AA65" s="10">
        <v>48.88</v>
      </c>
      <c r="AB65" s="95">
        <v>13877000</v>
      </c>
      <c r="AC65" s="10">
        <v>48.49</v>
      </c>
      <c r="AD65" s="2">
        <f t="shared" si="2"/>
        <v>0.40999999999999659</v>
      </c>
      <c r="AE65" s="138">
        <f t="shared" si="3"/>
        <v>-2.8788813489615261E-3</v>
      </c>
    </row>
    <row r="66" spans="2:31" x14ac:dyDescent="0.25">
      <c r="B66" s="195"/>
      <c r="C66" s="10"/>
      <c r="D66" s="202"/>
      <c r="E66" s="40"/>
      <c r="F66" s="40"/>
      <c r="G66" s="40"/>
      <c r="H66" s="233"/>
      <c r="I66" s="40"/>
      <c r="W66" s="94">
        <v>42496</v>
      </c>
      <c r="X66" s="10">
        <v>48.71</v>
      </c>
      <c r="Y66" s="10">
        <v>49.12</v>
      </c>
      <c r="Z66" s="10">
        <v>48.65</v>
      </c>
      <c r="AA66" s="10">
        <v>49.02</v>
      </c>
      <c r="AB66" s="95">
        <v>14189600</v>
      </c>
      <c r="AC66" s="10">
        <v>48.63</v>
      </c>
      <c r="AD66" s="2">
        <f t="shared" si="2"/>
        <v>0.46999999999999886</v>
      </c>
      <c r="AE66" s="138">
        <f t="shared" si="3"/>
        <v>1.2353304508956331E-3</v>
      </c>
    </row>
    <row r="67" spans="2:31" x14ac:dyDescent="0.25">
      <c r="B67" s="195"/>
      <c r="C67" s="10"/>
      <c r="D67" s="202"/>
      <c r="E67" s="40"/>
      <c r="F67" s="40"/>
      <c r="G67" s="40"/>
      <c r="H67" s="233"/>
      <c r="I67" s="40"/>
      <c r="W67" s="94">
        <v>42495</v>
      </c>
      <c r="X67" s="10">
        <v>48.97</v>
      </c>
      <c r="Y67" s="10">
        <v>49.19</v>
      </c>
      <c r="Z67" s="10">
        <v>48.77</v>
      </c>
      <c r="AA67" s="10">
        <v>48.96</v>
      </c>
      <c r="AB67" s="95">
        <v>15953600</v>
      </c>
      <c r="AC67" s="10">
        <v>48.57</v>
      </c>
      <c r="AD67" s="2">
        <f t="shared" si="2"/>
        <v>0.4199999999999946</v>
      </c>
      <c r="AE67" s="138">
        <f t="shared" si="3"/>
        <v>4.1194644696185279E-4</v>
      </c>
    </row>
    <row r="68" spans="2:31" x14ac:dyDescent="0.25">
      <c r="W68" s="94">
        <v>42494</v>
      </c>
      <c r="X68" s="10">
        <v>49.06</v>
      </c>
      <c r="Y68" s="10">
        <v>49.27</v>
      </c>
      <c r="Z68" s="10">
        <v>48.68</v>
      </c>
      <c r="AA68" s="10">
        <v>48.94</v>
      </c>
      <c r="AB68" s="95">
        <v>22402500</v>
      </c>
      <c r="AC68" s="10">
        <v>48.55</v>
      </c>
      <c r="AD68" s="2">
        <f>Y68-Z68</f>
        <v>0.59000000000000341</v>
      </c>
      <c r="AE68" s="138" t="e">
        <f>AC68/AC70-1</f>
        <v>#DIV/0!</v>
      </c>
    </row>
    <row r="69" spans="2:31" x14ac:dyDescent="0.25">
      <c r="W69" s="217">
        <v>42494</v>
      </c>
      <c r="X69" s="96" t="s">
        <v>196</v>
      </c>
      <c r="Y69" s="96"/>
      <c r="Z69" s="96"/>
      <c r="AA69" s="96"/>
      <c r="AB69" s="218"/>
      <c r="AC69" s="96"/>
      <c r="AD69" s="2">
        <f>Y70-Z70</f>
        <v>0</v>
      </c>
      <c r="AE69" s="138" t="e">
        <f>AC70/AC71-1</f>
        <v>#DIV/0!</v>
      </c>
    </row>
    <row r="70" spans="2:31" x14ac:dyDescent="0.25">
      <c r="W70" s="94" t="s">
        <v>122</v>
      </c>
      <c r="X70" s="10"/>
      <c r="Y70" s="10"/>
      <c r="Z70" s="10"/>
      <c r="AA70" s="10"/>
      <c r="AB70" s="95"/>
      <c r="AC70" s="10"/>
    </row>
  </sheetData>
  <mergeCells count="1">
    <mergeCell ref="P39:Q39"/>
  </mergeCells>
  <conditionalFormatting sqref="F26:F28">
    <cfRule type="expression" dxfId="311" priority="31">
      <formula>F26&gt;0</formula>
    </cfRule>
    <cfRule type="expression" dxfId="310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67">
    <cfRule type="expression" dxfId="309" priority="23">
      <formula>F29&gt;0</formula>
    </cfRule>
    <cfRule type="expression" dxfId="308" priority="24">
      <formula>F29&lt;0</formula>
    </cfRule>
  </conditionalFormatting>
  <conditionalFormatting sqref="F29:F67">
    <cfRule type="expression" dxfId="307" priority="25">
      <formula>F29&gt;0</formula>
    </cfRule>
    <cfRule type="expression" dxfId="306" priority="26">
      <formula>F29&lt;0</formula>
    </cfRule>
  </conditionalFormatting>
  <conditionalFormatting sqref="H26:H67">
    <cfRule type="expression" dxfId="305" priority="21">
      <formula>H26&gt;0</formula>
    </cfRule>
    <cfRule type="expression" dxfId="304" priority="22">
      <formula>H26&lt;0</formula>
    </cfRule>
  </conditionalFormatting>
  <conditionalFormatting sqref="F22:F25">
    <cfRule type="expression" dxfId="303" priority="7">
      <formula>F22&gt;0</formula>
    </cfRule>
    <cfRule type="expression" dxfId="302" priority="8">
      <formula>F22&lt;0</formula>
    </cfRule>
  </conditionalFormatting>
  <conditionalFormatting sqref="H22:H25">
    <cfRule type="expression" dxfId="301" priority="5">
      <formula>H22&gt;0</formula>
    </cfRule>
    <cfRule type="expression" dxfId="300" priority="6">
      <formula>H22&lt;0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295</v>
      </c>
      <c r="W2" s="94">
        <v>42587</v>
      </c>
      <c r="X2" s="10">
        <v>10.45</v>
      </c>
      <c r="Y2" s="10">
        <v>10.5</v>
      </c>
      <c r="Z2" s="10">
        <v>10.39</v>
      </c>
      <c r="AA2" s="10">
        <v>10.5</v>
      </c>
      <c r="AB2" s="95">
        <v>12265800</v>
      </c>
      <c r="AC2" s="10">
        <v>10.5</v>
      </c>
      <c r="AD2" s="2">
        <f>Y2-Z2</f>
        <v>0.10999999999999943</v>
      </c>
      <c r="AE2" s="138">
        <f>AC2/AC3-1</f>
        <v>9.6153846153845812E-3</v>
      </c>
    </row>
    <row r="3" spans="1:40" x14ac:dyDescent="0.25">
      <c r="A3" s="23" t="s">
        <v>71</v>
      </c>
      <c r="B3" s="262"/>
      <c r="C3" s="281"/>
      <c r="D3" s="282"/>
      <c r="E3" s="282"/>
      <c r="F3" s="75"/>
      <c r="G3" s="1"/>
      <c r="H3" s="185"/>
      <c r="I3" s="3"/>
      <c r="J3" s="3"/>
      <c r="K3" s="3"/>
      <c r="L3" s="262"/>
      <c r="M3" s="3"/>
      <c r="O3" s="11" t="s">
        <v>58</v>
      </c>
      <c r="Q3" s="232">
        <f>IF(Q2=0, Q4, (F18-K18-M18)/Q2)</f>
        <v>10.45</v>
      </c>
      <c r="T3" s="121">
        <v>42568</v>
      </c>
      <c r="U3" t="s">
        <v>317</v>
      </c>
      <c r="W3" s="94">
        <v>42586</v>
      </c>
      <c r="X3" s="10">
        <v>10.36</v>
      </c>
      <c r="Y3" s="10">
        <v>10.46</v>
      </c>
      <c r="Z3" s="10">
        <v>10.25</v>
      </c>
      <c r="AA3" s="10">
        <v>10.4</v>
      </c>
      <c r="AB3" s="95">
        <v>11819900</v>
      </c>
      <c r="AC3" s="10">
        <v>10.4</v>
      </c>
      <c r="AD3" s="2">
        <f>Y3-Z3</f>
        <v>0.21000000000000085</v>
      </c>
      <c r="AE3" s="138">
        <f>AC3/AC4-1</f>
        <v>-9.6061479346776224E-4</v>
      </c>
      <c r="AN3" s="236"/>
    </row>
    <row r="4" spans="1:40" x14ac:dyDescent="0.25">
      <c r="B4" s="262"/>
      <c r="C4" s="281"/>
      <c r="D4" s="282"/>
      <c r="E4" s="282"/>
      <c r="F4" s="75"/>
      <c r="G4" s="262"/>
      <c r="H4" s="283"/>
      <c r="I4" s="282"/>
      <c r="J4" s="282"/>
      <c r="K4" s="282"/>
      <c r="L4" s="281"/>
      <c r="O4" s="11" t="s">
        <v>66</v>
      </c>
      <c r="Q4" s="203">
        <v>10.45</v>
      </c>
      <c r="T4" s="121"/>
      <c r="W4" s="94">
        <v>42585</v>
      </c>
      <c r="X4" s="10">
        <v>10.3</v>
      </c>
      <c r="Y4" s="10">
        <v>10.45</v>
      </c>
      <c r="Z4" s="10">
        <v>10.199999999999999</v>
      </c>
      <c r="AA4" s="10">
        <v>10.41</v>
      </c>
      <c r="AB4" s="95">
        <v>13904100</v>
      </c>
      <c r="AC4" s="10">
        <v>10.41</v>
      </c>
      <c r="AD4" s="2">
        <f t="shared" ref="AD4:AD67" si="0">Y4-Z4</f>
        <v>0.25</v>
      </c>
      <c r="AE4" s="138" t="e">
        <f t="shared" ref="AE4:AE67" si="1">AC4/AC5-1</f>
        <v>#DIV/0!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0</v>
      </c>
      <c r="W5" s="94">
        <v>42585</v>
      </c>
      <c r="X5" s="10" t="s">
        <v>121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0</v>
      </c>
      <c r="W6" s="94">
        <v>42584</v>
      </c>
      <c r="X6" s="10">
        <v>10.55</v>
      </c>
      <c r="Y6" s="10">
        <v>10.57</v>
      </c>
      <c r="Z6" s="10">
        <v>10.25</v>
      </c>
      <c r="AA6" s="10">
        <v>10.32</v>
      </c>
      <c r="AB6" s="95">
        <v>13672400</v>
      </c>
      <c r="AC6" s="10">
        <v>10.29</v>
      </c>
      <c r="AD6" s="2">
        <f t="shared" si="0"/>
        <v>0.32000000000000028</v>
      </c>
      <c r="AE6" s="138">
        <f t="shared" si="1"/>
        <v>-1.4367816091954033E-2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188</v>
      </c>
      <c r="P7"/>
      <c r="Q7" s="2">
        <f>Q10+Q8</f>
        <v>1128.3800000000047</v>
      </c>
      <c r="R7">
        <v>0</v>
      </c>
      <c r="T7" s="85"/>
      <c r="W7" s="94">
        <v>42583</v>
      </c>
      <c r="X7" s="10">
        <v>10.55</v>
      </c>
      <c r="Y7" s="10">
        <v>10.6</v>
      </c>
      <c r="Z7" s="10">
        <v>10.46</v>
      </c>
      <c r="AA7" s="10">
        <v>10.47</v>
      </c>
      <c r="AB7" s="95">
        <v>11610200</v>
      </c>
      <c r="AC7" s="10">
        <v>10.44</v>
      </c>
      <c r="AD7" s="2">
        <f t="shared" si="0"/>
        <v>0.13999999999999879</v>
      </c>
      <c r="AE7" s="138">
        <f t="shared" si="1"/>
        <v>-1.4164305949008527E-2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192</v>
      </c>
      <c r="Q8" s="2">
        <f>K18+M18-F18+Q2*Q4</f>
        <v>0</v>
      </c>
      <c r="W8" s="94">
        <v>42580</v>
      </c>
      <c r="X8" s="10">
        <v>10.61</v>
      </c>
      <c r="Y8" s="10">
        <v>10.65</v>
      </c>
      <c r="Z8" s="10">
        <v>10.42</v>
      </c>
      <c r="AA8" s="10">
        <v>10.62</v>
      </c>
      <c r="AB8" s="95">
        <v>16419800</v>
      </c>
      <c r="AC8" s="10">
        <v>10.59</v>
      </c>
      <c r="AD8" s="2">
        <f t="shared" si="0"/>
        <v>0.23000000000000043</v>
      </c>
      <c r="AE8" s="138">
        <f t="shared" si="1"/>
        <v>-5.6338028169014009E-3</v>
      </c>
    </row>
    <row r="9" spans="1:40" x14ac:dyDescent="0.25">
      <c r="O9" s="11" t="s">
        <v>231</v>
      </c>
      <c r="P9"/>
      <c r="Q9" s="138">
        <f>IF(Q2=0, 0, Q8/Q6)</f>
        <v>0</v>
      </c>
      <c r="W9" s="94">
        <v>42579</v>
      </c>
      <c r="X9" s="10">
        <v>10.67</v>
      </c>
      <c r="Y9" s="10">
        <v>10.73</v>
      </c>
      <c r="Z9" s="10">
        <v>10.49</v>
      </c>
      <c r="AA9" s="10">
        <v>10.68</v>
      </c>
      <c r="AB9" s="95">
        <v>13795300</v>
      </c>
      <c r="AC9" s="10">
        <v>10.65</v>
      </c>
      <c r="AD9" s="2">
        <f t="shared" si="0"/>
        <v>0.24000000000000021</v>
      </c>
      <c r="AE9" s="138">
        <f t="shared" si="1"/>
        <v>-5.6022408963586345E-3</v>
      </c>
      <c r="AK9" s="236"/>
      <c r="AN9" s="236"/>
    </row>
    <row r="10" spans="1:40" x14ac:dyDescent="0.25">
      <c r="O10" s="11" t="s">
        <v>230</v>
      </c>
      <c r="Q10" s="2">
        <f>M42</f>
        <v>1128.3800000000047</v>
      </c>
      <c r="W10" s="94">
        <v>42578</v>
      </c>
      <c r="X10" s="10">
        <v>10.76</v>
      </c>
      <c r="Y10" s="10">
        <v>10.97</v>
      </c>
      <c r="Z10" s="10">
        <v>10.52</v>
      </c>
      <c r="AA10" s="10">
        <v>10.74</v>
      </c>
      <c r="AB10" s="95">
        <v>20992100</v>
      </c>
      <c r="AC10" s="10">
        <v>10.71</v>
      </c>
      <c r="AD10" s="2">
        <f t="shared" si="0"/>
        <v>0.45000000000000107</v>
      </c>
      <c r="AE10" s="138">
        <f t="shared" si="1"/>
        <v>6.5789473684210176E-3</v>
      </c>
    </row>
    <row r="11" spans="1:40" x14ac:dyDescent="0.25">
      <c r="O11" s="11" t="s">
        <v>184</v>
      </c>
      <c r="Q11" s="138">
        <f>VALUE(TRIM(CLEAN(MID(U55, FIND("(", U55)+1, 5))))</f>
        <v>1.14E-2</v>
      </c>
      <c r="W11" s="94">
        <v>42577</v>
      </c>
      <c r="X11" s="10">
        <v>10.45</v>
      </c>
      <c r="Y11" s="10">
        <v>10.67</v>
      </c>
      <c r="Z11" s="10">
        <v>10.42</v>
      </c>
      <c r="AA11" s="10">
        <v>10.67</v>
      </c>
      <c r="AB11" s="95">
        <v>12575200</v>
      </c>
      <c r="AC11" s="10">
        <v>10.64</v>
      </c>
      <c r="AD11" s="2">
        <f t="shared" si="0"/>
        <v>0.25</v>
      </c>
      <c r="AE11" s="138">
        <f t="shared" si="1"/>
        <v>1.7208413001912115E-2</v>
      </c>
      <c r="AK11" s="236"/>
      <c r="AN11" s="236"/>
    </row>
    <row r="12" spans="1:40" x14ac:dyDescent="0.25">
      <c r="W12" s="94">
        <v>42576</v>
      </c>
      <c r="X12" s="10">
        <v>10.54</v>
      </c>
      <c r="Y12" s="10">
        <v>10.55</v>
      </c>
      <c r="Z12" s="10">
        <v>10.4</v>
      </c>
      <c r="AA12" s="10">
        <v>10.49</v>
      </c>
      <c r="AB12" s="95">
        <v>13849300</v>
      </c>
      <c r="AC12" s="10">
        <v>10.46</v>
      </c>
      <c r="AD12" s="2">
        <f t="shared" si="0"/>
        <v>0.15000000000000036</v>
      </c>
      <c r="AE12" s="138">
        <f t="shared" si="1"/>
        <v>-7.5901328273243474E-3</v>
      </c>
    </row>
    <row r="13" spans="1:40" x14ac:dyDescent="0.25">
      <c r="W13" s="94">
        <v>42573</v>
      </c>
      <c r="X13" s="10">
        <v>10.58</v>
      </c>
      <c r="Y13" s="10">
        <v>10.66</v>
      </c>
      <c r="Z13" s="10">
        <v>10.49</v>
      </c>
      <c r="AA13" s="10">
        <v>10.57</v>
      </c>
      <c r="AB13" s="95">
        <v>10183500</v>
      </c>
      <c r="AC13" s="10">
        <v>10.54</v>
      </c>
      <c r="AD13" s="2">
        <f t="shared" si="0"/>
        <v>0.16999999999999993</v>
      </c>
      <c r="AE13" s="138">
        <f t="shared" si="1"/>
        <v>-2.8382213812678803E-3</v>
      </c>
      <c r="AK13" s="236"/>
      <c r="AN13" s="236"/>
    </row>
    <row r="14" spans="1:40" x14ac:dyDescent="0.25">
      <c r="T14" s="84"/>
      <c r="U14" s="11"/>
      <c r="W14" s="94">
        <v>42572</v>
      </c>
      <c r="X14" s="10">
        <v>10.67</v>
      </c>
      <c r="Y14" s="10">
        <v>10.86</v>
      </c>
      <c r="Z14" s="10">
        <v>10.53</v>
      </c>
      <c r="AA14" s="10">
        <v>10.6</v>
      </c>
      <c r="AB14" s="95">
        <v>15042600</v>
      </c>
      <c r="AC14" s="10">
        <v>10.57</v>
      </c>
      <c r="AD14" s="2">
        <f t="shared" si="0"/>
        <v>0.33000000000000007</v>
      </c>
      <c r="AE14" s="138">
        <f t="shared" si="1"/>
        <v>-9.4517958412099201E-4</v>
      </c>
    </row>
    <row r="15" spans="1:40" x14ac:dyDescent="0.25">
      <c r="W15" s="94">
        <v>42571</v>
      </c>
      <c r="X15" s="10">
        <v>10.51</v>
      </c>
      <c r="Y15" s="10">
        <v>10.63</v>
      </c>
      <c r="Z15" s="10">
        <v>10.35</v>
      </c>
      <c r="AA15" s="10">
        <v>10.61</v>
      </c>
      <c r="AB15" s="95">
        <v>16305400</v>
      </c>
      <c r="AC15" s="10">
        <v>10.58</v>
      </c>
      <c r="AD15" s="2">
        <f t="shared" si="0"/>
        <v>0.28000000000000114</v>
      </c>
      <c r="AE15" s="138">
        <f t="shared" si="1"/>
        <v>-1.8867924528301883E-3</v>
      </c>
      <c r="AK15" s="236"/>
      <c r="AN15" s="236"/>
    </row>
    <row r="16" spans="1:40" x14ac:dyDescent="0.25">
      <c r="W16" s="94">
        <v>42570</v>
      </c>
      <c r="X16" s="10">
        <v>10.73</v>
      </c>
      <c r="Y16" s="10">
        <v>10.78</v>
      </c>
      <c r="Z16" s="10">
        <v>10.62</v>
      </c>
      <c r="AA16" s="10">
        <v>10.63</v>
      </c>
      <c r="AB16" s="95">
        <v>14786700</v>
      </c>
      <c r="AC16" s="10">
        <v>10.6</v>
      </c>
      <c r="AD16" s="2">
        <f t="shared" si="0"/>
        <v>0.16000000000000014</v>
      </c>
      <c r="AE16" s="138">
        <f t="shared" si="1"/>
        <v>-2.6629935720844933E-2</v>
      </c>
    </row>
    <row r="17" spans="1:40" x14ac:dyDescent="0.25">
      <c r="W17" s="94">
        <v>42569</v>
      </c>
      <c r="X17" s="10">
        <v>10.82</v>
      </c>
      <c r="Y17" s="10">
        <v>10.94</v>
      </c>
      <c r="Z17" s="10">
        <v>10.72</v>
      </c>
      <c r="AA17" s="10">
        <v>10.92</v>
      </c>
      <c r="AB17" s="95">
        <v>16352300</v>
      </c>
      <c r="AC17" s="10">
        <v>10.89</v>
      </c>
      <c r="AD17" s="2">
        <f t="shared" si="0"/>
        <v>0.21999999999999886</v>
      </c>
      <c r="AE17" s="138">
        <f t="shared" si="1"/>
        <v>0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42566</v>
      </c>
      <c r="X18" s="10">
        <v>10.72</v>
      </c>
      <c r="Y18" s="10">
        <v>10.96</v>
      </c>
      <c r="Z18" s="10">
        <v>10.71</v>
      </c>
      <c r="AA18" s="10">
        <v>10.92</v>
      </c>
      <c r="AB18" s="95">
        <v>23056500</v>
      </c>
      <c r="AC18" s="10">
        <v>10.89</v>
      </c>
      <c r="AD18" s="2">
        <f t="shared" si="0"/>
        <v>0.25</v>
      </c>
      <c r="AE18" s="138">
        <f t="shared" si="1"/>
        <v>1.9662921348314599E-2</v>
      </c>
    </row>
    <row r="19" spans="1:40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42565</v>
      </c>
      <c r="X19" s="10">
        <v>10.82</v>
      </c>
      <c r="Y19" s="10">
        <v>10.9</v>
      </c>
      <c r="Z19" s="10">
        <v>10.67</v>
      </c>
      <c r="AA19" s="10">
        <v>10.71</v>
      </c>
      <c r="AB19" s="95">
        <v>22346800</v>
      </c>
      <c r="AC19" s="10">
        <v>10.68</v>
      </c>
      <c r="AD19" s="2">
        <f t="shared" si="0"/>
        <v>0.23000000000000043</v>
      </c>
      <c r="AE19" s="138">
        <f t="shared" si="1"/>
        <v>0</v>
      </c>
      <c r="AK19" s="236"/>
      <c r="AN19" s="236"/>
    </row>
    <row r="20" spans="1:40" x14ac:dyDescent="0.25">
      <c r="W20" s="94">
        <v>42564</v>
      </c>
      <c r="X20" s="10">
        <v>10.74</v>
      </c>
      <c r="Y20" s="10">
        <v>10.78</v>
      </c>
      <c r="Z20" s="10">
        <v>10.54</v>
      </c>
      <c r="AA20" s="10">
        <v>10.71</v>
      </c>
      <c r="AB20" s="95">
        <v>24221900</v>
      </c>
      <c r="AC20" s="10">
        <v>10.68</v>
      </c>
      <c r="AD20" s="2">
        <f t="shared" si="0"/>
        <v>0.24000000000000021</v>
      </c>
      <c r="AE20" s="138">
        <f t="shared" si="1"/>
        <v>1.8761726078799779E-3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42563</v>
      </c>
      <c r="X21" s="10">
        <v>10.7</v>
      </c>
      <c r="Y21" s="10">
        <v>10.8</v>
      </c>
      <c r="Z21" s="10">
        <v>10.43</v>
      </c>
      <c r="AA21" s="10">
        <v>10.69</v>
      </c>
      <c r="AB21" s="95">
        <v>53436600</v>
      </c>
      <c r="AC21" s="10">
        <v>10.66</v>
      </c>
      <c r="AD21" s="2">
        <f t="shared" si="0"/>
        <v>0.37000000000000099</v>
      </c>
      <c r="AE21" s="138">
        <f t="shared" si="1"/>
        <v>5.4401582591493636E-2</v>
      </c>
      <c r="AK21" s="236"/>
      <c r="AN21" s="236"/>
    </row>
    <row r="22" spans="1:40" x14ac:dyDescent="0.25">
      <c r="B22" s="195"/>
      <c r="C22" s="10"/>
      <c r="D22" s="40"/>
      <c r="E22" s="40"/>
      <c r="F22" s="40"/>
      <c r="G22" s="40"/>
      <c r="H22" s="233"/>
      <c r="I22" s="40"/>
      <c r="W22" s="94">
        <v>42562</v>
      </c>
      <c r="X22" s="10">
        <v>9.9600000000000009</v>
      </c>
      <c r="Y22" s="10">
        <v>10.18</v>
      </c>
      <c r="Z22" s="10">
        <v>9.8699999999999992</v>
      </c>
      <c r="AA22" s="10">
        <v>10.14</v>
      </c>
      <c r="AB22" s="95">
        <v>37231900</v>
      </c>
      <c r="AC22" s="10">
        <v>10.11</v>
      </c>
      <c r="AD22" s="2">
        <f t="shared" si="0"/>
        <v>0.3100000000000005</v>
      </c>
      <c r="AE22" s="138">
        <f t="shared" si="1"/>
        <v>3.2686414708886558E-2</v>
      </c>
    </row>
    <row r="23" spans="1:40" x14ac:dyDescent="0.25">
      <c r="B23" s="195"/>
      <c r="C23" s="10"/>
      <c r="D23" s="40"/>
      <c r="E23" s="40"/>
      <c r="F23" s="40"/>
      <c r="G23" s="40"/>
      <c r="H23" s="233"/>
      <c r="I23" s="40"/>
      <c r="W23" s="94">
        <v>42559</v>
      </c>
      <c r="X23" s="10">
        <v>9.4499999999999993</v>
      </c>
      <c r="Y23" s="10">
        <v>9.8800000000000008</v>
      </c>
      <c r="Z23" s="10">
        <v>9.44</v>
      </c>
      <c r="AA23" s="10">
        <v>9.82</v>
      </c>
      <c r="AB23" s="95">
        <v>25929500</v>
      </c>
      <c r="AC23" s="10">
        <v>9.7899999999999991</v>
      </c>
      <c r="AD23" s="2">
        <f t="shared" si="0"/>
        <v>0.44000000000000128</v>
      </c>
      <c r="AE23" s="138">
        <f t="shared" si="1"/>
        <v>5.1557465091299548E-2</v>
      </c>
      <c r="AK23" s="236"/>
    </row>
    <row r="24" spans="1:40" x14ac:dyDescent="0.25">
      <c r="B24" s="195"/>
      <c r="C24" s="10"/>
      <c r="D24" s="40"/>
      <c r="E24" s="40"/>
      <c r="F24" s="40"/>
      <c r="G24" s="40"/>
      <c r="H24" s="233"/>
      <c r="I24" s="40"/>
      <c r="W24" s="94">
        <v>42558</v>
      </c>
      <c r="X24" s="10">
        <v>9.26</v>
      </c>
      <c r="Y24" s="10">
        <v>9.4499999999999993</v>
      </c>
      <c r="Z24" s="10">
        <v>9.25</v>
      </c>
      <c r="AA24" s="10">
        <v>9.34</v>
      </c>
      <c r="AB24" s="95">
        <v>22172200</v>
      </c>
      <c r="AC24" s="10">
        <v>9.31</v>
      </c>
      <c r="AD24" s="2">
        <f t="shared" si="0"/>
        <v>0.19999999999999929</v>
      </c>
      <c r="AE24" s="138">
        <f t="shared" si="1"/>
        <v>1.637554585152845E-2</v>
      </c>
    </row>
    <row r="25" spans="1:40" x14ac:dyDescent="0.25">
      <c r="B25" s="195"/>
      <c r="C25" s="10"/>
      <c r="D25" s="40"/>
      <c r="E25" s="40"/>
      <c r="F25" s="40"/>
      <c r="G25" s="40"/>
      <c r="H25" s="233"/>
      <c r="I25" s="40"/>
      <c r="W25" s="94">
        <v>42557</v>
      </c>
      <c r="X25" s="10">
        <v>9.16</v>
      </c>
      <c r="Y25" s="10">
        <v>9.25</v>
      </c>
      <c r="Z25" s="10">
        <v>9.0299999999999994</v>
      </c>
      <c r="AA25" s="10">
        <v>9.19</v>
      </c>
      <c r="AB25" s="95">
        <v>24564200</v>
      </c>
      <c r="AC25" s="10">
        <v>9.16</v>
      </c>
      <c r="AD25" s="2">
        <f t="shared" si="0"/>
        <v>0.22000000000000064</v>
      </c>
      <c r="AE25" s="138">
        <f t="shared" si="1"/>
        <v>-7.5839653304442534E-3</v>
      </c>
    </row>
    <row r="26" spans="1:40" x14ac:dyDescent="0.25">
      <c r="B26" s="195"/>
      <c r="C26" s="10"/>
      <c r="D26" s="40"/>
      <c r="E26" s="40"/>
      <c r="F26" s="40"/>
      <c r="G26" s="40"/>
      <c r="H26" s="233"/>
      <c r="I26" s="40"/>
      <c r="W26" s="94">
        <v>42556</v>
      </c>
      <c r="X26" s="10">
        <v>9.4600000000000009</v>
      </c>
      <c r="Y26" s="10">
        <v>9.49</v>
      </c>
      <c r="Z26" s="10">
        <v>9.17</v>
      </c>
      <c r="AA26" s="10">
        <v>9.26</v>
      </c>
      <c r="AB26" s="95">
        <v>16362100</v>
      </c>
      <c r="AC26" s="10">
        <v>9.23</v>
      </c>
      <c r="AD26" s="2">
        <f t="shared" si="0"/>
        <v>0.32000000000000028</v>
      </c>
      <c r="AE26" s="138">
        <f t="shared" si="1"/>
        <v>-3.0462184873949472E-2</v>
      </c>
    </row>
    <row r="27" spans="1:40" x14ac:dyDescent="0.25">
      <c r="B27" s="195"/>
      <c r="C27" s="10"/>
      <c r="D27" s="40"/>
      <c r="E27" s="40"/>
      <c r="F27" s="40"/>
      <c r="G27" s="40"/>
      <c r="H27" s="233"/>
      <c r="I27" s="40"/>
      <c r="W27" s="94">
        <v>42552</v>
      </c>
      <c r="X27" s="10">
        <v>9.2799999999999994</v>
      </c>
      <c r="Y27" s="10">
        <v>9.59</v>
      </c>
      <c r="Z27" s="10">
        <v>9.27</v>
      </c>
      <c r="AA27" s="10">
        <v>9.5500000000000007</v>
      </c>
      <c r="AB27" s="95">
        <v>18307200</v>
      </c>
      <c r="AC27" s="10">
        <v>9.52</v>
      </c>
      <c r="AD27" s="2">
        <f t="shared" si="0"/>
        <v>0.32000000000000028</v>
      </c>
      <c r="AE27" s="138">
        <f t="shared" si="1"/>
        <v>3.0303030303030276E-2</v>
      </c>
    </row>
    <row r="28" spans="1:40" x14ac:dyDescent="0.25">
      <c r="B28" s="195"/>
      <c r="C28" s="10"/>
      <c r="D28" s="40"/>
      <c r="E28" s="40"/>
      <c r="F28" s="40"/>
      <c r="G28" s="40"/>
      <c r="H28" s="233"/>
      <c r="I28" s="40"/>
      <c r="W28" s="94">
        <v>42551</v>
      </c>
      <c r="X28" s="10">
        <v>9.19</v>
      </c>
      <c r="Y28" s="10">
        <v>9.2799999999999994</v>
      </c>
      <c r="Z28" s="10">
        <v>9.02</v>
      </c>
      <c r="AA28" s="10">
        <v>9.27</v>
      </c>
      <c r="AB28" s="95">
        <v>24791900</v>
      </c>
      <c r="AC28" s="10">
        <v>9.24</v>
      </c>
      <c r="AD28" s="2">
        <f t="shared" si="0"/>
        <v>0.25999999999999979</v>
      </c>
      <c r="AE28" s="138">
        <f t="shared" si="1"/>
        <v>1.8743109151047488E-2</v>
      </c>
    </row>
    <row r="29" spans="1:40" x14ac:dyDescent="0.25">
      <c r="B29" s="195"/>
      <c r="C29" s="10"/>
      <c r="D29" s="40"/>
      <c r="E29" s="40"/>
      <c r="F29" s="40"/>
      <c r="G29" s="40"/>
      <c r="H29" s="233"/>
      <c r="I29" s="40"/>
      <c r="W29" s="94">
        <v>42550</v>
      </c>
      <c r="X29" s="10">
        <v>9.51</v>
      </c>
      <c r="Y29" s="10">
        <v>9.52</v>
      </c>
      <c r="Z29" s="10">
        <v>9.01</v>
      </c>
      <c r="AA29" s="10">
        <v>9.1</v>
      </c>
      <c r="AB29" s="95">
        <v>37163300</v>
      </c>
      <c r="AC29" s="10">
        <v>9.07</v>
      </c>
      <c r="AD29" s="2">
        <f t="shared" si="0"/>
        <v>0.50999999999999979</v>
      </c>
      <c r="AE29" s="138">
        <f t="shared" si="1"/>
        <v>-2.4731182795698969E-2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42549</v>
      </c>
      <c r="X30" s="10">
        <v>9.35</v>
      </c>
      <c r="Y30" s="10">
        <v>9.3800000000000008</v>
      </c>
      <c r="Z30" s="10">
        <v>9.19</v>
      </c>
      <c r="AA30" s="10">
        <v>9.33</v>
      </c>
      <c r="AB30" s="95">
        <v>18175800</v>
      </c>
      <c r="AC30" s="10">
        <v>9.3000000000000007</v>
      </c>
      <c r="AD30" s="2">
        <f t="shared" si="0"/>
        <v>0.19000000000000128</v>
      </c>
      <c r="AE30" s="138">
        <f t="shared" si="1"/>
        <v>2.535832414553485E-2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238"/>
      <c r="W31" s="94">
        <v>42548</v>
      </c>
      <c r="X31" s="10">
        <v>9.2799999999999994</v>
      </c>
      <c r="Y31" s="10">
        <v>9.3000000000000007</v>
      </c>
      <c r="Z31" s="10">
        <v>8.9499999999999993</v>
      </c>
      <c r="AA31" s="10">
        <v>9.1</v>
      </c>
      <c r="AB31" s="95">
        <v>21866300</v>
      </c>
      <c r="AC31" s="10">
        <v>9.07</v>
      </c>
      <c r="AD31" s="2">
        <f t="shared" si="0"/>
        <v>0.35000000000000142</v>
      </c>
      <c r="AE31" s="138">
        <f t="shared" si="1"/>
        <v>-2.9946524064171087E-2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42545</v>
      </c>
      <c r="X32" s="10">
        <v>9.56</v>
      </c>
      <c r="Y32" s="10">
        <v>9.74</v>
      </c>
      <c r="Z32" s="10">
        <v>9.35</v>
      </c>
      <c r="AA32" s="10">
        <v>9.3800000000000008</v>
      </c>
      <c r="AB32" s="95">
        <v>34013600</v>
      </c>
      <c r="AC32" s="10">
        <v>9.35</v>
      </c>
      <c r="AD32" s="2">
        <f t="shared" si="0"/>
        <v>0.39000000000000057</v>
      </c>
      <c r="AE32" s="138">
        <f t="shared" si="1"/>
        <v>-7.6086956521739135E-2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42544</v>
      </c>
      <c r="X33" s="10">
        <v>10.08</v>
      </c>
      <c r="Y33" s="10">
        <v>10.17</v>
      </c>
      <c r="Z33" s="10">
        <v>9.98</v>
      </c>
      <c r="AA33" s="10">
        <v>10.15</v>
      </c>
      <c r="AB33" s="95">
        <v>20543000</v>
      </c>
      <c r="AC33" s="10">
        <v>10.119999999999999</v>
      </c>
      <c r="AD33" s="2">
        <f t="shared" si="0"/>
        <v>0.1899999999999995</v>
      </c>
      <c r="AE33" s="138">
        <f t="shared" si="1"/>
        <v>2.6369168356997985E-2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42543</v>
      </c>
      <c r="X34" s="10">
        <v>9.92</v>
      </c>
      <c r="Y34" s="10">
        <v>10.15</v>
      </c>
      <c r="Z34" s="10">
        <v>9.85</v>
      </c>
      <c r="AA34" s="10">
        <v>9.89</v>
      </c>
      <c r="AB34" s="95">
        <v>19506000</v>
      </c>
      <c r="AC34" s="10">
        <v>9.86</v>
      </c>
      <c r="AD34" s="2">
        <f t="shared" si="0"/>
        <v>0.30000000000000071</v>
      </c>
      <c r="AE34" s="138">
        <f t="shared" si="1"/>
        <v>3.0518819938962771E-3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42542</v>
      </c>
      <c r="X35" s="10">
        <v>9.73</v>
      </c>
      <c r="Y35" s="10">
        <v>9.9</v>
      </c>
      <c r="Z35" s="10">
        <v>9.67</v>
      </c>
      <c r="AA35" s="10">
        <v>9.86</v>
      </c>
      <c r="AB35" s="95">
        <v>13633900</v>
      </c>
      <c r="AC35" s="10">
        <v>9.83</v>
      </c>
      <c r="AD35" s="2">
        <f t="shared" si="0"/>
        <v>0.23000000000000043</v>
      </c>
      <c r="AE35" s="138">
        <f t="shared" si="1"/>
        <v>1.0277492291880685E-2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94">
        <v>42541</v>
      </c>
      <c r="X36" s="10">
        <v>9.74</v>
      </c>
      <c r="Y36" s="10">
        <v>9.9499999999999993</v>
      </c>
      <c r="Z36" s="10">
        <v>9.7200000000000006</v>
      </c>
      <c r="AA36" s="10">
        <v>9.76</v>
      </c>
      <c r="AB36" s="95">
        <v>16913500</v>
      </c>
      <c r="AC36" s="10">
        <v>9.73</v>
      </c>
      <c r="AD36" s="2">
        <f t="shared" si="0"/>
        <v>0.22999999999999865</v>
      </c>
      <c r="AE36" s="138">
        <f t="shared" si="1"/>
        <v>1.884816753926688E-2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94">
        <v>42538</v>
      </c>
      <c r="X37" s="10">
        <v>9.4499999999999993</v>
      </c>
      <c r="Y37" s="10">
        <v>9.65</v>
      </c>
      <c r="Z37" s="10">
        <v>9.41</v>
      </c>
      <c r="AA37" s="10">
        <v>9.58</v>
      </c>
      <c r="AB37" s="95">
        <v>29220800</v>
      </c>
      <c r="AC37" s="10">
        <v>9.5500000000000007</v>
      </c>
      <c r="AD37" s="2">
        <f t="shared" si="0"/>
        <v>0.24000000000000021</v>
      </c>
      <c r="AE37" s="138">
        <f t="shared" si="1"/>
        <v>2.0299145299145449E-2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94">
        <v>42537</v>
      </c>
      <c r="X38" s="10">
        <v>9.2799999999999994</v>
      </c>
      <c r="Y38" s="10">
        <v>9.41</v>
      </c>
      <c r="Z38" s="10">
        <v>9.15</v>
      </c>
      <c r="AA38" s="10">
        <v>9.39</v>
      </c>
      <c r="AB38" s="95">
        <v>13639800</v>
      </c>
      <c r="AC38" s="10">
        <v>9.36</v>
      </c>
      <c r="AD38" s="2">
        <f t="shared" si="0"/>
        <v>0.25999999999999979</v>
      </c>
      <c r="AE38" s="138">
        <f t="shared" si="1"/>
        <v>-6.3694267515923553E-3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11"/>
      <c r="P39" s="525" t="s">
        <v>78</v>
      </c>
      <c r="Q39" s="525"/>
      <c r="R39" s="34"/>
      <c r="T39" s="91" t="s">
        <v>113</v>
      </c>
      <c r="W39" s="94">
        <v>42536</v>
      </c>
      <c r="X39" s="10">
        <v>9.26</v>
      </c>
      <c r="Y39" s="10">
        <v>9.59</v>
      </c>
      <c r="Z39" s="10">
        <v>9.2100000000000009</v>
      </c>
      <c r="AA39" s="10">
        <v>9.4499999999999993</v>
      </c>
      <c r="AB39" s="95">
        <v>17775200</v>
      </c>
      <c r="AC39" s="10">
        <v>9.42</v>
      </c>
      <c r="AD39" s="2">
        <f t="shared" si="0"/>
        <v>0.37999999999999901</v>
      </c>
      <c r="AE39" s="138">
        <f t="shared" si="1"/>
        <v>3.8588754134509351E-2</v>
      </c>
    </row>
    <row r="40" spans="1:31" ht="15.75" thickTop="1" x14ac:dyDescent="0.25">
      <c r="B40" s="262"/>
      <c r="C40" s="283"/>
      <c r="D40" s="282"/>
      <c r="E40" s="282"/>
      <c r="F40" s="282"/>
      <c r="G40" s="262"/>
      <c r="H40" s="283"/>
      <c r="I40" s="282"/>
      <c r="J40" s="282"/>
      <c r="K40" s="282"/>
      <c r="L40" s="281"/>
      <c r="O40" s="2"/>
      <c r="P40" s="83">
        <v>1.1000000000000001</v>
      </c>
      <c r="Q40" s="83">
        <f>P40*$Q$4</f>
        <v>11.495000000000001</v>
      </c>
      <c r="R40" s="34"/>
      <c r="T40" s="87" t="s">
        <v>98</v>
      </c>
      <c r="U40" s="88">
        <v>10.4</v>
      </c>
      <c r="W40" s="94">
        <v>42535</v>
      </c>
      <c r="X40" s="10">
        <v>9.2899999999999991</v>
      </c>
      <c r="Y40" s="10">
        <v>9.3699999999999992</v>
      </c>
      <c r="Z40" s="10">
        <v>9.01</v>
      </c>
      <c r="AA40" s="10">
        <v>9.1</v>
      </c>
      <c r="AB40" s="95">
        <v>23124000</v>
      </c>
      <c r="AC40" s="10">
        <v>9.07</v>
      </c>
      <c r="AD40" s="2">
        <f t="shared" si="0"/>
        <v>0.35999999999999943</v>
      </c>
      <c r="AE40" s="138">
        <f t="shared" si="1"/>
        <v>-2.3681377825618855E-2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4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11.390499999999999</v>
      </c>
      <c r="R41" s="34"/>
      <c r="T41" s="87" t="s">
        <v>99</v>
      </c>
      <c r="U41" s="88">
        <v>10.45</v>
      </c>
      <c r="W41" s="94">
        <v>42534</v>
      </c>
      <c r="X41" s="10">
        <v>9.4700000000000006</v>
      </c>
      <c r="Y41" s="10">
        <v>9.61</v>
      </c>
      <c r="Z41" s="10">
        <v>9.32</v>
      </c>
      <c r="AA41" s="10">
        <v>9.32</v>
      </c>
      <c r="AB41" s="95">
        <v>13053800</v>
      </c>
      <c r="AC41" s="10">
        <v>9.2899999999999991</v>
      </c>
      <c r="AD41" s="2">
        <f t="shared" si="0"/>
        <v>0.28999999999999915</v>
      </c>
      <c r="AE41" s="138">
        <f t="shared" si="1"/>
        <v>-1.7970401691332127E-2</v>
      </c>
    </row>
    <row r="42" spans="1:31" x14ac:dyDescent="0.25">
      <c r="A42" s="265"/>
      <c r="B42" s="265"/>
      <c r="C42" s="265"/>
      <c r="D42" s="266"/>
      <c r="E42" s="266"/>
      <c r="F42" s="266"/>
      <c r="G42" s="265"/>
      <c r="H42" s="265"/>
      <c r="I42" s="266"/>
      <c r="J42" s="266"/>
      <c r="K42" s="267" t="s">
        <v>133</v>
      </c>
      <c r="L42" s="265"/>
      <c r="M42" s="266">
        <f>K85+M85-F85</f>
        <v>1128.3800000000047</v>
      </c>
      <c r="N42" s="265"/>
      <c r="O42" s="2"/>
      <c r="P42" s="83">
        <v>1.08</v>
      </c>
      <c r="Q42" s="83">
        <f t="shared" si="3"/>
        <v>11.286</v>
      </c>
      <c r="R42" s="34"/>
      <c r="T42" s="87" t="s">
        <v>100</v>
      </c>
      <c r="U42" s="88" t="s">
        <v>408</v>
      </c>
      <c r="W42" s="94">
        <v>42531</v>
      </c>
      <c r="X42" s="10">
        <v>9.65</v>
      </c>
      <c r="Y42" s="10">
        <v>9.75</v>
      </c>
      <c r="Z42" s="10">
        <v>9.4499999999999993</v>
      </c>
      <c r="AA42" s="10">
        <v>9.49</v>
      </c>
      <c r="AB42" s="95">
        <v>18869300</v>
      </c>
      <c r="AC42" s="10">
        <v>9.4600000000000009</v>
      </c>
      <c r="AD42" s="2">
        <f t="shared" si="0"/>
        <v>0.30000000000000071</v>
      </c>
      <c r="AE42" s="138">
        <f t="shared" si="1"/>
        <v>-3.5677879714576921E-2</v>
      </c>
    </row>
    <row r="43" spans="1:31" x14ac:dyDescent="0.25">
      <c r="A43" s="267" t="s">
        <v>1</v>
      </c>
      <c r="B43" s="267" t="s">
        <v>2</v>
      </c>
      <c r="C43" s="267" t="s">
        <v>4</v>
      </c>
      <c r="D43" s="268" t="s">
        <v>5</v>
      </c>
      <c r="E43" s="268" t="s">
        <v>90</v>
      </c>
      <c r="F43" s="268" t="s">
        <v>60</v>
      </c>
      <c r="G43" s="267" t="s">
        <v>3</v>
      </c>
      <c r="H43" s="267" t="s">
        <v>6</v>
      </c>
      <c r="I43" s="268" t="s">
        <v>7</v>
      </c>
      <c r="J43" s="268" t="s">
        <v>89</v>
      </c>
      <c r="K43" s="268" t="s">
        <v>61</v>
      </c>
      <c r="L43" s="267" t="s">
        <v>77</v>
      </c>
      <c r="M43" s="267" t="s">
        <v>38</v>
      </c>
      <c r="N43" s="267"/>
      <c r="O43" s="2"/>
      <c r="P43" s="83">
        <v>1.07</v>
      </c>
      <c r="Q43" s="83">
        <f t="shared" si="3"/>
        <v>11.1815</v>
      </c>
      <c r="R43" s="83"/>
      <c r="T43" s="87" t="s">
        <v>101</v>
      </c>
      <c r="U43" s="88" t="s">
        <v>409</v>
      </c>
      <c r="W43" s="94">
        <v>42530</v>
      </c>
      <c r="X43" s="10">
        <v>9.6999999999999993</v>
      </c>
      <c r="Y43" s="10">
        <v>9.85</v>
      </c>
      <c r="Z43" s="10">
        <v>9.52</v>
      </c>
      <c r="AA43" s="10">
        <v>9.84</v>
      </c>
      <c r="AB43" s="95">
        <v>19691000</v>
      </c>
      <c r="AC43" s="10">
        <v>9.81</v>
      </c>
      <c r="AD43" s="2">
        <f t="shared" si="0"/>
        <v>0.33000000000000007</v>
      </c>
      <c r="AE43" s="138">
        <f t="shared" si="1"/>
        <v>-5.0709939148071426E-3</v>
      </c>
    </row>
    <row r="44" spans="1:31" x14ac:dyDescent="0.25">
      <c r="A44" s="269" t="s">
        <v>10</v>
      </c>
      <c r="B44" s="270">
        <v>42146</v>
      </c>
      <c r="C44" s="265">
        <v>100</v>
      </c>
      <c r="D44" s="266">
        <v>13.1</v>
      </c>
      <c r="E44" s="266">
        <v>0</v>
      </c>
      <c r="F44" s="266">
        <f>C44*D44+E44</f>
        <v>1310</v>
      </c>
      <c r="G44" s="270">
        <v>42199</v>
      </c>
      <c r="H44" s="265">
        <v>52</v>
      </c>
      <c r="I44" s="266">
        <v>10.7</v>
      </c>
      <c r="J44" s="266">
        <v>0.01</v>
      </c>
      <c r="K44" s="266">
        <f t="shared" ref="K44:K67" si="4">H44*I44-J44</f>
        <v>556.39</v>
      </c>
      <c r="L44" s="270">
        <v>42241</v>
      </c>
      <c r="M44" s="266">
        <v>12</v>
      </c>
      <c r="N44" s="265"/>
      <c r="O44" s="2"/>
      <c r="P44" s="83">
        <v>1.06</v>
      </c>
      <c r="Q44" s="83">
        <f t="shared" si="3"/>
        <v>11.077</v>
      </c>
      <c r="R44" s="83"/>
      <c r="T44" s="87" t="s">
        <v>102</v>
      </c>
      <c r="U44" s="88">
        <v>11.33</v>
      </c>
      <c r="W44" s="94">
        <v>42529</v>
      </c>
      <c r="X44" s="10">
        <v>9.98</v>
      </c>
      <c r="Y44" s="10">
        <v>10.07</v>
      </c>
      <c r="Z44" s="10">
        <v>9.8800000000000008</v>
      </c>
      <c r="AA44" s="10">
        <v>9.89</v>
      </c>
      <c r="AB44" s="95">
        <v>16051700</v>
      </c>
      <c r="AC44" s="10">
        <v>9.86</v>
      </c>
      <c r="AD44" s="2">
        <f t="shared" si="0"/>
        <v>0.1899999999999995</v>
      </c>
      <c r="AE44" s="138">
        <f t="shared" si="1"/>
        <v>1.0245901639344135E-2</v>
      </c>
    </row>
    <row r="45" spans="1:31" x14ac:dyDescent="0.25">
      <c r="A45" s="272" t="s">
        <v>71</v>
      </c>
      <c r="B45" s="270">
        <v>42151</v>
      </c>
      <c r="C45" s="265">
        <v>102</v>
      </c>
      <c r="D45" s="266">
        <v>12.99</v>
      </c>
      <c r="E45" s="266">
        <v>0</v>
      </c>
      <c r="F45" s="266">
        <f t="shared" ref="F45:F79" si="5">C45*D45+E45</f>
        <v>1324.98</v>
      </c>
      <c r="G45" s="270">
        <v>42235</v>
      </c>
      <c r="H45" s="265">
        <v>150</v>
      </c>
      <c r="I45" s="266">
        <v>9.41</v>
      </c>
      <c r="J45" s="266">
        <v>0.03</v>
      </c>
      <c r="K45" s="266">
        <f t="shared" si="4"/>
        <v>1411.47</v>
      </c>
      <c r="L45" s="270">
        <v>42333</v>
      </c>
      <c r="M45" s="266">
        <v>111</v>
      </c>
      <c r="N45" s="265"/>
      <c r="O45" s="2"/>
      <c r="P45" s="83">
        <v>1.05</v>
      </c>
      <c r="Q45" s="83">
        <f t="shared" si="3"/>
        <v>10.9725</v>
      </c>
      <c r="R45" s="83"/>
      <c r="T45" s="87" t="s">
        <v>103</v>
      </c>
      <c r="U45" s="88">
        <v>0.71133299999999999</v>
      </c>
      <c r="W45" s="94">
        <v>42528</v>
      </c>
      <c r="X45" s="10">
        <v>9.7899999999999991</v>
      </c>
      <c r="Y45" s="10">
        <v>9.85</v>
      </c>
      <c r="Z45" s="10">
        <v>9.74</v>
      </c>
      <c r="AA45" s="10">
        <v>9.7899999999999991</v>
      </c>
      <c r="AB45" s="95">
        <v>10596200</v>
      </c>
      <c r="AC45" s="10">
        <v>9.76</v>
      </c>
      <c r="AD45" s="2">
        <f t="shared" si="0"/>
        <v>0.10999999999999943</v>
      </c>
      <c r="AE45" s="138">
        <f t="shared" si="1"/>
        <v>-5.0968399592253855E-3</v>
      </c>
    </row>
    <row r="46" spans="1:31" x14ac:dyDescent="0.25">
      <c r="A46" s="265"/>
      <c r="B46" s="270">
        <v>42152</v>
      </c>
      <c r="C46" s="265">
        <v>50</v>
      </c>
      <c r="D46" s="266">
        <v>12.94</v>
      </c>
      <c r="E46" s="266">
        <v>0</v>
      </c>
      <c r="F46" s="266">
        <f t="shared" si="5"/>
        <v>647</v>
      </c>
      <c r="G46" s="270">
        <v>42256</v>
      </c>
      <c r="H46" s="271">
        <v>300</v>
      </c>
      <c r="I46" s="266">
        <v>9.6999999999999993</v>
      </c>
      <c r="J46" s="266">
        <v>0.05</v>
      </c>
      <c r="K46" s="266">
        <f t="shared" si="4"/>
        <v>2909.95</v>
      </c>
      <c r="L46" s="270">
        <v>42425</v>
      </c>
      <c r="M46" s="266">
        <v>15</v>
      </c>
      <c r="N46" s="265"/>
      <c r="O46" s="2"/>
      <c r="P46" s="83">
        <v>1.04</v>
      </c>
      <c r="Q46" s="83">
        <f t="shared" si="3"/>
        <v>10.868</v>
      </c>
      <c r="R46" s="83"/>
      <c r="T46" s="87" t="s">
        <v>123</v>
      </c>
      <c r="U46" s="89" t="s">
        <v>298</v>
      </c>
      <c r="W46" s="94">
        <v>42527</v>
      </c>
      <c r="X46" s="10">
        <v>9.6300000000000008</v>
      </c>
      <c r="Y46" s="10">
        <v>9.86</v>
      </c>
      <c r="Z46" s="10">
        <v>9.6300000000000008</v>
      </c>
      <c r="AA46" s="10">
        <v>9.84</v>
      </c>
      <c r="AB46" s="95">
        <v>15311800</v>
      </c>
      <c r="AC46" s="10">
        <v>9.81</v>
      </c>
      <c r="AD46" s="2">
        <f t="shared" si="0"/>
        <v>0.22999999999999865</v>
      </c>
      <c r="AE46" s="138">
        <f t="shared" si="1"/>
        <v>3.3719704952581697E-2</v>
      </c>
    </row>
    <row r="47" spans="1:31" x14ac:dyDescent="0.25">
      <c r="A47" s="265"/>
      <c r="B47" s="270">
        <v>42166</v>
      </c>
      <c r="C47" s="265">
        <v>48</v>
      </c>
      <c r="D47" s="266">
        <v>12.3</v>
      </c>
      <c r="E47" s="266">
        <v>0</v>
      </c>
      <c r="F47" s="266">
        <f t="shared" si="5"/>
        <v>590.40000000000009</v>
      </c>
      <c r="G47" s="270">
        <v>42285</v>
      </c>
      <c r="H47" s="271">
        <v>300</v>
      </c>
      <c r="I47" s="266">
        <v>9.85</v>
      </c>
      <c r="J47" s="266">
        <v>0.05</v>
      </c>
      <c r="K47" s="266">
        <f t="shared" si="4"/>
        <v>2954.95</v>
      </c>
      <c r="L47" s="265"/>
      <c r="M47" s="266"/>
      <c r="N47" s="265"/>
      <c r="O47" s="2"/>
      <c r="P47" s="83">
        <v>1.03</v>
      </c>
      <c r="Q47" s="83">
        <f t="shared" si="3"/>
        <v>10.763499999999999</v>
      </c>
      <c r="R47" s="83"/>
      <c r="T47" s="87"/>
      <c r="U47" s="88"/>
      <c r="W47" s="94">
        <v>42524</v>
      </c>
      <c r="X47" s="10">
        <v>9.44</v>
      </c>
      <c r="Y47" s="10">
        <v>9.57</v>
      </c>
      <c r="Z47" s="10">
        <v>9.2799999999999994</v>
      </c>
      <c r="AA47" s="10">
        <v>9.52</v>
      </c>
      <c r="AB47" s="95">
        <v>20764800</v>
      </c>
      <c r="AC47" s="10">
        <v>9.49</v>
      </c>
      <c r="AD47" s="2">
        <f t="shared" si="0"/>
        <v>0.29000000000000092</v>
      </c>
      <c r="AE47" s="138">
        <f t="shared" si="1"/>
        <v>2.0430107526881569E-2</v>
      </c>
    </row>
    <row r="48" spans="1:31" x14ac:dyDescent="0.25">
      <c r="A48" s="265"/>
      <c r="B48" s="270">
        <v>42180</v>
      </c>
      <c r="C48" s="265">
        <v>50</v>
      </c>
      <c r="D48" s="266">
        <v>11.7</v>
      </c>
      <c r="E48" s="266">
        <v>0</v>
      </c>
      <c r="F48" s="266">
        <f t="shared" si="5"/>
        <v>585</v>
      </c>
      <c r="G48" s="270">
        <v>42285</v>
      </c>
      <c r="H48" s="271">
        <v>100</v>
      </c>
      <c r="I48" s="266">
        <v>9.98</v>
      </c>
      <c r="J48" s="266">
        <v>0.02</v>
      </c>
      <c r="K48" s="266">
        <f t="shared" si="4"/>
        <v>997.98</v>
      </c>
      <c r="L48" s="265"/>
      <c r="M48" s="266"/>
      <c r="N48" s="265"/>
      <c r="O48" s="2"/>
      <c r="P48" s="83">
        <v>1.02</v>
      </c>
      <c r="Q48" s="83">
        <f t="shared" si="3"/>
        <v>10.658999999999999</v>
      </c>
      <c r="R48" s="83"/>
      <c r="T48" s="87" t="s">
        <v>105</v>
      </c>
      <c r="U48" s="88" t="s">
        <v>410</v>
      </c>
      <c r="W48" s="94">
        <v>42523</v>
      </c>
      <c r="X48" s="10">
        <v>9.25</v>
      </c>
      <c r="Y48" s="10">
        <v>9.4</v>
      </c>
      <c r="Z48" s="10">
        <v>9.18</v>
      </c>
      <c r="AA48" s="10">
        <v>9.33</v>
      </c>
      <c r="AB48" s="95">
        <v>13766300</v>
      </c>
      <c r="AC48" s="10">
        <v>9.3000000000000007</v>
      </c>
      <c r="AD48" s="2">
        <f t="shared" si="0"/>
        <v>0.22000000000000064</v>
      </c>
      <c r="AE48" s="138">
        <f t="shared" si="1"/>
        <v>3.2362459546926292E-3</v>
      </c>
    </row>
    <row r="49" spans="1:31" x14ac:dyDescent="0.25">
      <c r="A49" s="265"/>
      <c r="B49" s="270">
        <v>42198</v>
      </c>
      <c r="C49" s="265">
        <v>50</v>
      </c>
      <c r="D49" s="266">
        <v>10.5</v>
      </c>
      <c r="E49" s="266">
        <v>0</v>
      </c>
      <c r="F49" s="266">
        <f t="shared" si="5"/>
        <v>525</v>
      </c>
      <c r="G49" s="270">
        <v>42304</v>
      </c>
      <c r="H49" s="271">
        <v>1400</v>
      </c>
      <c r="I49" s="266">
        <v>9.4600000000000009</v>
      </c>
      <c r="J49" s="266">
        <v>0.24</v>
      </c>
      <c r="K49" s="266">
        <f t="shared" si="4"/>
        <v>13243.760000000002</v>
      </c>
      <c r="L49" s="265"/>
      <c r="M49" s="266"/>
      <c r="N49" s="265"/>
      <c r="O49" s="2"/>
      <c r="P49" s="83">
        <v>1.01</v>
      </c>
      <c r="Q49" s="83">
        <f t="shared" si="3"/>
        <v>10.554499999999999</v>
      </c>
      <c r="R49" s="83"/>
      <c r="T49" s="87" t="s">
        <v>106</v>
      </c>
      <c r="U49" s="88" t="s">
        <v>276</v>
      </c>
      <c r="W49" s="94">
        <v>42522</v>
      </c>
      <c r="X49" s="10">
        <v>9.1999999999999993</v>
      </c>
      <c r="Y49" s="10">
        <v>9.3000000000000007</v>
      </c>
      <c r="Z49" s="10">
        <v>9.1</v>
      </c>
      <c r="AA49" s="10">
        <v>9.3000000000000007</v>
      </c>
      <c r="AB49" s="95">
        <v>17002000</v>
      </c>
      <c r="AC49" s="10">
        <v>9.27</v>
      </c>
      <c r="AD49" s="2">
        <f t="shared" si="0"/>
        <v>0.20000000000000107</v>
      </c>
      <c r="AE49" s="138">
        <f t="shared" si="1"/>
        <v>3.2467532467532756E-3</v>
      </c>
    </row>
    <row r="50" spans="1:31" x14ac:dyDescent="0.25">
      <c r="A50" s="265"/>
      <c r="B50" s="270">
        <v>42205</v>
      </c>
      <c r="C50" s="265">
        <v>20</v>
      </c>
      <c r="D50" s="266">
        <v>10.56</v>
      </c>
      <c r="E50" s="266">
        <v>0</v>
      </c>
      <c r="F50" s="266">
        <f t="shared" si="5"/>
        <v>211.20000000000002</v>
      </c>
      <c r="G50" s="270">
        <v>42310</v>
      </c>
      <c r="H50" s="271">
        <v>3400</v>
      </c>
      <c r="I50" s="266">
        <v>9.1199999999999992</v>
      </c>
      <c r="J50" s="266">
        <v>7.52</v>
      </c>
      <c r="K50" s="266">
        <f t="shared" si="4"/>
        <v>31000.479999999996</v>
      </c>
      <c r="L50" s="265"/>
      <c r="M50" s="266"/>
      <c r="N50" s="265"/>
      <c r="O50" s="2"/>
      <c r="P50" s="83">
        <v>1</v>
      </c>
      <c r="Q50" s="83">
        <f t="shared" si="3"/>
        <v>10.45</v>
      </c>
      <c r="R50" s="83"/>
      <c r="T50" s="87" t="s">
        <v>107</v>
      </c>
      <c r="U50" s="90">
        <v>12292590</v>
      </c>
      <c r="W50" s="94">
        <v>42521</v>
      </c>
      <c r="X50" s="10">
        <v>9.3699999999999992</v>
      </c>
      <c r="Y50" s="10">
        <v>9.48</v>
      </c>
      <c r="Z50" s="10">
        <v>9.24</v>
      </c>
      <c r="AA50" s="10">
        <v>9.27</v>
      </c>
      <c r="AB50" s="95">
        <v>21094200</v>
      </c>
      <c r="AC50" s="10">
        <v>9.24</v>
      </c>
      <c r="AD50" s="2">
        <f t="shared" si="0"/>
        <v>0.24000000000000021</v>
      </c>
      <c r="AE50" s="138">
        <f t="shared" si="1"/>
        <v>-8.5836909871245259E-3</v>
      </c>
    </row>
    <row r="51" spans="1:31" x14ac:dyDescent="0.25">
      <c r="A51" s="265"/>
      <c r="B51" s="270">
        <v>42208</v>
      </c>
      <c r="C51" s="265">
        <v>32</v>
      </c>
      <c r="D51" s="266">
        <v>10.220000000000001</v>
      </c>
      <c r="E51" s="266">
        <v>0</v>
      </c>
      <c r="F51" s="266">
        <f t="shared" si="5"/>
        <v>327.04000000000002</v>
      </c>
      <c r="G51" s="270">
        <v>42314</v>
      </c>
      <c r="H51" s="271">
        <v>1400</v>
      </c>
      <c r="I51" s="266">
        <v>9.42</v>
      </c>
      <c r="J51" s="266">
        <v>0.24</v>
      </c>
      <c r="K51" s="266">
        <f t="shared" si="4"/>
        <v>13187.76</v>
      </c>
      <c r="L51" s="265"/>
      <c r="M51" s="266"/>
      <c r="N51" s="265"/>
      <c r="O51" s="2"/>
      <c r="P51" s="83">
        <v>0.99</v>
      </c>
      <c r="Q51" s="83">
        <f t="shared" si="3"/>
        <v>10.345499999999999</v>
      </c>
      <c r="R51" s="83"/>
      <c r="T51" s="87" t="s">
        <v>110</v>
      </c>
      <c r="U51" s="90">
        <v>19811100</v>
      </c>
      <c r="W51" s="94">
        <v>42517</v>
      </c>
      <c r="X51" s="10">
        <v>9.51</v>
      </c>
      <c r="Y51" s="10">
        <v>9.5500000000000007</v>
      </c>
      <c r="Z51" s="10">
        <v>9.31</v>
      </c>
      <c r="AA51" s="10">
        <v>9.35</v>
      </c>
      <c r="AB51" s="95">
        <v>24153600</v>
      </c>
      <c r="AC51" s="10">
        <v>9.32</v>
      </c>
      <c r="AD51" s="2">
        <f t="shared" si="0"/>
        <v>0.24000000000000021</v>
      </c>
      <c r="AE51" s="138">
        <f t="shared" si="1"/>
        <v>-1.6877637130801704E-2</v>
      </c>
    </row>
    <row r="52" spans="1:31" x14ac:dyDescent="0.25">
      <c r="A52" s="265"/>
      <c r="B52" s="270">
        <v>42230</v>
      </c>
      <c r="C52" s="265">
        <v>100</v>
      </c>
      <c r="D52" s="266">
        <v>9.58</v>
      </c>
      <c r="E52" s="266">
        <v>0</v>
      </c>
      <c r="F52" s="266">
        <f t="shared" si="5"/>
        <v>958</v>
      </c>
      <c r="G52" s="270">
        <v>42331</v>
      </c>
      <c r="H52" s="271">
        <v>1400</v>
      </c>
      <c r="I52" s="266">
        <v>8.41</v>
      </c>
      <c r="J52" s="266">
        <v>0.22</v>
      </c>
      <c r="K52" s="266">
        <f t="shared" si="4"/>
        <v>11773.78</v>
      </c>
      <c r="L52" s="266"/>
      <c r="M52" s="266"/>
      <c r="N52" s="265"/>
      <c r="O52" s="2"/>
      <c r="P52" s="83">
        <v>0.98</v>
      </c>
      <c r="Q52" s="83">
        <f t="shared" si="3"/>
        <v>10.241</v>
      </c>
      <c r="R52" s="83"/>
      <c r="T52" s="87" t="s">
        <v>108</v>
      </c>
      <c r="U52" s="88" t="s">
        <v>411</v>
      </c>
      <c r="W52" s="94">
        <v>42516</v>
      </c>
      <c r="X52" s="10">
        <v>9.77</v>
      </c>
      <c r="Y52" s="10">
        <v>9.81</v>
      </c>
      <c r="Z52" s="10">
        <v>9.44</v>
      </c>
      <c r="AA52" s="10">
        <v>9.51</v>
      </c>
      <c r="AB52" s="95">
        <v>15620400</v>
      </c>
      <c r="AC52" s="10">
        <v>9.48</v>
      </c>
      <c r="AD52" s="2">
        <f t="shared" si="0"/>
        <v>0.37000000000000099</v>
      </c>
      <c r="AE52" s="138">
        <f t="shared" si="1"/>
        <v>-9.4043887147334804E-3</v>
      </c>
    </row>
    <row r="53" spans="1:31" x14ac:dyDescent="0.25">
      <c r="A53" s="265"/>
      <c r="B53" s="270">
        <v>42233</v>
      </c>
      <c r="C53" s="265">
        <v>150</v>
      </c>
      <c r="D53" s="266">
        <v>9.3000000000000007</v>
      </c>
      <c r="E53" s="266">
        <v>0</v>
      </c>
      <c r="F53" s="266">
        <f t="shared" si="5"/>
        <v>1395</v>
      </c>
      <c r="G53" s="270">
        <v>42331</v>
      </c>
      <c r="H53" s="271">
        <v>65</v>
      </c>
      <c r="I53" s="266">
        <v>8.41</v>
      </c>
      <c r="J53" s="266">
        <v>0.01</v>
      </c>
      <c r="K53" s="266">
        <f t="shared" si="4"/>
        <v>546.64</v>
      </c>
      <c r="L53" s="265"/>
      <c r="M53" s="265"/>
      <c r="N53" s="265"/>
      <c r="O53" s="2"/>
      <c r="P53" s="83">
        <v>0.97</v>
      </c>
      <c r="Q53" s="83">
        <f t="shared" si="3"/>
        <v>10.1365</v>
      </c>
      <c r="R53" s="83"/>
      <c r="T53" s="87" t="s">
        <v>111</v>
      </c>
      <c r="U53" s="88" t="s">
        <v>130</v>
      </c>
      <c r="W53" s="94">
        <v>42515</v>
      </c>
      <c r="X53" s="10">
        <v>9.51</v>
      </c>
      <c r="Y53" s="10">
        <v>9.68</v>
      </c>
      <c r="Z53" s="10">
        <v>9.48</v>
      </c>
      <c r="AA53" s="10">
        <v>9.6</v>
      </c>
      <c r="AB53" s="95">
        <v>13996300</v>
      </c>
      <c r="AC53" s="10">
        <v>9.57</v>
      </c>
      <c r="AD53" s="2">
        <f t="shared" si="0"/>
        <v>0.19999999999999929</v>
      </c>
      <c r="AE53" s="138">
        <f t="shared" si="1"/>
        <v>1.9169329073482455E-2</v>
      </c>
    </row>
    <row r="54" spans="1:31" x14ac:dyDescent="0.25">
      <c r="A54" s="265"/>
      <c r="B54" s="270">
        <v>42240</v>
      </c>
      <c r="C54" s="265">
        <v>200</v>
      </c>
      <c r="D54" s="266">
        <v>9.2100000000000009</v>
      </c>
      <c r="E54" s="266">
        <v>0</v>
      </c>
      <c r="F54" s="266">
        <f t="shared" si="5"/>
        <v>1842.0000000000002</v>
      </c>
      <c r="G54" s="270">
        <v>42332</v>
      </c>
      <c r="H54" s="271">
        <v>2235</v>
      </c>
      <c r="I54" s="266">
        <v>8.5</v>
      </c>
      <c r="J54" s="266">
        <v>0.35</v>
      </c>
      <c r="K54" s="266">
        <f t="shared" si="4"/>
        <v>18997.150000000001</v>
      </c>
      <c r="L54" s="265"/>
      <c r="M54" s="265"/>
      <c r="N54" s="265"/>
      <c r="O54" s="2"/>
      <c r="P54" s="83">
        <v>0.96</v>
      </c>
      <c r="Q54" s="83">
        <f t="shared" si="3"/>
        <v>10.031999999999998</v>
      </c>
      <c r="R54" s="83"/>
      <c r="T54" s="87" t="s">
        <v>112</v>
      </c>
      <c r="U54" s="88">
        <v>-0.44</v>
      </c>
      <c r="W54" s="94">
        <v>42514</v>
      </c>
      <c r="X54" s="10">
        <v>9.3800000000000008</v>
      </c>
      <c r="Y54" s="10">
        <v>9.5500000000000007</v>
      </c>
      <c r="Z54" s="10">
        <v>9.26</v>
      </c>
      <c r="AA54" s="10">
        <v>9.42</v>
      </c>
      <c r="AB54" s="95">
        <v>18486600</v>
      </c>
      <c r="AC54" s="10">
        <v>9.39</v>
      </c>
      <c r="AD54" s="2">
        <f t="shared" si="0"/>
        <v>0.29000000000000092</v>
      </c>
      <c r="AE54" s="138">
        <f t="shared" si="1"/>
        <v>1.5135135135135203E-2</v>
      </c>
    </row>
    <row r="55" spans="1:31" x14ac:dyDescent="0.25">
      <c r="A55" s="265"/>
      <c r="B55" s="270">
        <v>42272</v>
      </c>
      <c r="C55" s="265">
        <v>100</v>
      </c>
      <c r="D55" s="266">
        <v>9.4499999999999993</v>
      </c>
      <c r="E55" s="266">
        <v>0</v>
      </c>
      <c r="F55" s="266">
        <f t="shared" si="5"/>
        <v>944.99999999999989</v>
      </c>
      <c r="G55" s="270">
        <v>42332</v>
      </c>
      <c r="H55" s="271">
        <v>600</v>
      </c>
      <c r="I55" s="266">
        <v>8.75</v>
      </c>
      <c r="J55" s="266">
        <v>0.1</v>
      </c>
      <c r="K55" s="266">
        <f t="shared" si="4"/>
        <v>5249.9</v>
      </c>
      <c r="L55" s="265"/>
      <c r="M55" s="265"/>
      <c r="N55" s="265"/>
      <c r="O55" s="2"/>
      <c r="P55" s="83">
        <v>0.95</v>
      </c>
      <c r="Q55" s="83">
        <f t="shared" si="3"/>
        <v>9.9274999999999984</v>
      </c>
      <c r="R55" s="83"/>
      <c r="T55" s="87" t="s">
        <v>109</v>
      </c>
      <c r="U55" s="88" t="s">
        <v>566</v>
      </c>
      <c r="W55" s="94">
        <v>42513</v>
      </c>
      <c r="X55" s="10">
        <v>9.2799999999999994</v>
      </c>
      <c r="Y55" s="10">
        <v>9.36</v>
      </c>
      <c r="Z55" s="10">
        <v>9.1300000000000008</v>
      </c>
      <c r="AA55" s="10">
        <v>9.2799999999999994</v>
      </c>
      <c r="AB55" s="95">
        <v>20366400</v>
      </c>
      <c r="AC55" s="10">
        <v>9.25</v>
      </c>
      <c r="AD55" s="2">
        <f t="shared" si="0"/>
        <v>0.22999999999999865</v>
      </c>
      <c r="AE55" s="138">
        <f t="shared" si="1"/>
        <v>1.8722466960352513E-2</v>
      </c>
    </row>
    <row r="56" spans="1:31" x14ac:dyDescent="0.25">
      <c r="A56" s="265"/>
      <c r="B56" s="270">
        <v>42275</v>
      </c>
      <c r="C56" s="265">
        <v>100</v>
      </c>
      <c r="D56" s="266">
        <v>9.3000000000000007</v>
      </c>
      <c r="E56" s="266">
        <v>0</v>
      </c>
      <c r="F56" s="266">
        <f t="shared" si="5"/>
        <v>930.00000000000011</v>
      </c>
      <c r="G56" s="270">
        <v>42335</v>
      </c>
      <c r="H56" s="271">
        <v>500</v>
      </c>
      <c r="I56" s="266">
        <v>9.1</v>
      </c>
      <c r="J56" s="266">
        <v>0.08</v>
      </c>
      <c r="K56" s="266">
        <f t="shared" si="4"/>
        <v>4549.92</v>
      </c>
      <c r="L56" s="265"/>
      <c r="M56" s="265"/>
      <c r="N56" s="265"/>
      <c r="O56" s="2"/>
      <c r="P56" s="83">
        <v>0.94</v>
      </c>
      <c r="Q56" s="83">
        <f t="shared" si="3"/>
        <v>9.8229999999999986</v>
      </c>
      <c r="R56" s="83"/>
      <c r="W56" s="94">
        <v>42510</v>
      </c>
      <c r="X56" s="10">
        <v>9.23</v>
      </c>
      <c r="Y56" s="10">
        <v>9.2799999999999994</v>
      </c>
      <c r="Z56" s="10">
        <v>9.02</v>
      </c>
      <c r="AA56" s="10">
        <v>9.11</v>
      </c>
      <c r="AB56" s="95">
        <v>18880900</v>
      </c>
      <c r="AC56" s="10">
        <v>9.08</v>
      </c>
      <c r="AD56" s="2">
        <f t="shared" si="0"/>
        <v>0.25999999999999979</v>
      </c>
      <c r="AE56" s="138">
        <f t="shared" si="1"/>
        <v>-1.1001100110010764E-3</v>
      </c>
    </row>
    <row r="57" spans="1:31" x14ac:dyDescent="0.25">
      <c r="A57" s="265"/>
      <c r="B57" s="270">
        <v>42290</v>
      </c>
      <c r="C57" s="265">
        <v>400</v>
      </c>
      <c r="D57" s="266">
        <v>10.79</v>
      </c>
      <c r="E57" s="266">
        <v>0</v>
      </c>
      <c r="F57" s="266">
        <f t="shared" si="5"/>
        <v>4316</v>
      </c>
      <c r="G57" s="270">
        <v>42339</v>
      </c>
      <c r="H57" s="271">
        <v>400</v>
      </c>
      <c r="I57" s="266">
        <v>9.35</v>
      </c>
      <c r="J57" s="266">
        <v>7.0000000000000007E-2</v>
      </c>
      <c r="K57" s="266">
        <f t="shared" si="4"/>
        <v>3739.93</v>
      </c>
      <c r="L57" s="265"/>
      <c r="M57" s="265"/>
      <c r="N57" s="265"/>
      <c r="O57" s="2"/>
      <c r="P57" s="83">
        <v>0.93</v>
      </c>
      <c r="Q57" s="83">
        <f t="shared" si="3"/>
        <v>9.7185000000000006</v>
      </c>
      <c r="R57" s="83"/>
      <c r="W57" s="94">
        <v>42509</v>
      </c>
      <c r="X57" s="10">
        <v>8.92</v>
      </c>
      <c r="Y57" s="10">
        <v>9.1300000000000008</v>
      </c>
      <c r="Z57" s="10">
        <v>8.7799999999999994</v>
      </c>
      <c r="AA57" s="10">
        <v>9.1199999999999992</v>
      </c>
      <c r="AB57" s="95">
        <v>24540600</v>
      </c>
      <c r="AC57" s="10">
        <v>9.09</v>
      </c>
      <c r="AD57" s="2">
        <f t="shared" si="0"/>
        <v>0.35000000000000142</v>
      </c>
      <c r="AE57" s="138">
        <f t="shared" si="1"/>
        <v>1.1123470522803158E-2</v>
      </c>
    </row>
    <row r="58" spans="1:31" x14ac:dyDescent="0.25">
      <c r="A58" s="265"/>
      <c r="B58" s="270">
        <v>42291</v>
      </c>
      <c r="C58" s="265">
        <v>150</v>
      </c>
      <c r="D58" s="266">
        <v>10.46</v>
      </c>
      <c r="E58" s="266">
        <v>0</v>
      </c>
      <c r="F58" s="266">
        <f t="shared" si="5"/>
        <v>1569.0000000000002</v>
      </c>
      <c r="G58" s="270">
        <v>42342</v>
      </c>
      <c r="H58" s="271">
        <v>500</v>
      </c>
      <c r="I58" s="266">
        <v>9.52</v>
      </c>
      <c r="J58" s="266">
        <v>0.09</v>
      </c>
      <c r="K58" s="266">
        <f t="shared" si="4"/>
        <v>4759.91</v>
      </c>
      <c r="L58" s="265"/>
      <c r="M58" s="265"/>
      <c r="N58" s="265"/>
      <c r="O58" s="2"/>
      <c r="P58" s="83">
        <v>0.92</v>
      </c>
      <c r="Q58" s="83">
        <f t="shared" si="3"/>
        <v>9.613999999999999</v>
      </c>
      <c r="R58" s="83"/>
      <c r="W58" s="94">
        <v>42508</v>
      </c>
      <c r="X58" s="10">
        <v>9.19</v>
      </c>
      <c r="Y58" s="10">
        <v>9.35</v>
      </c>
      <c r="Z58" s="10">
        <v>8.9499999999999993</v>
      </c>
      <c r="AA58" s="10">
        <v>9.02</v>
      </c>
      <c r="AB58" s="95">
        <v>23239600</v>
      </c>
      <c r="AC58" s="10">
        <v>8.99</v>
      </c>
      <c r="AD58" s="2">
        <f t="shared" si="0"/>
        <v>0.40000000000000036</v>
      </c>
      <c r="AE58" s="138">
        <f t="shared" si="1"/>
        <v>-3.0204962243797095E-2</v>
      </c>
    </row>
    <row r="59" spans="1:31" x14ac:dyDescent="0.25">
      <c r="A59" s="265"/>
      <c r="B59" s="270">
        <v>42292</v>
      </c>
      <c r="C59" s="265">
        <v>150</v>
      </c>
      <c r="D59" s="266">
        <v>10.3</v>
      </c>
      <c r="E59" s="266">
        <v>0</v>
      </c>
      <c r="F59" s="266">
        <f t="shared" si="5"/>
        <v>1545</v>
      </c>
      <c r="G59" s="270">
        <v>42347</v>
      </c>
      <c r="H59" s="271">
        <v>1500</v>
      </c>
      <c r="I59" s="266">
        <v>9.31</v>
      </c>
      <c r="J59" s="266">
        <v>0.26</v>
      </c>
      <c r="K59" s="266">
        <f t="shared" si="4"/>
        <v>13964.74</v>
      </c>
      <c r="L59" s="265"/>
      <c r="M59" s="265"/>
      <c r="N59" s="265"/>
      <c r="O59" s="2"/>
      <c r="P59" s="83">
        <v>0.91</v>
      </c>
      <c r="Q59" s="83">
        <f t="shared" si="3"/>
        <v>9.5094999999999992</v>
      </c>
      <c r="R59" s="83"/>
      <c r="W59" s="94">
        <v>42507</v>
      </c>
      <c r="X59" s="10">
        <v>9.27</v>
      </c>
      <c r="Y59" s="10">
        <v>9.4499999999999993</v>
      </c>
      <c r="Z59" s="10">
        <v>9.1300000000000008</v>
      </c>
      <c r="AA59" s="10">
        <v>9.3000000000000007</v>
      </c>
      <c r="AB59" s="95">
        <v>19173000</v>
      </c>
      <c r="AC59" s="10">
        <v>9.27</v>
      </c>
      <c r="AD59" s="2">
        <f t="shared" si="0"/>
        <v>0.31999999999999851</v>
      </c>
      <c r="AE59" s="138">
        <f t="shared" si="1"/>
        <v>2.1621621621621401E-3</v>
      </c>
    </row>
    <row r="60" spans="1:31" x14ac:dyDescent="0.25">
      <c r="A60" s="265"/>
      <c r="B60" s="270">
        <v>42297</v>
      </c>
      <c r="C60" s="271">
        <v>200</v>
      </c>
      <c r="D60" s="266">
        <v>9.8000000000000007</v>
      </c>
      <c r="E60" s="266">
        <v>0</v>
      </c>
      <c r="F60" s="266">
        <f t="shared" si="5"/>
        <v>1960.0000000000002</v>
      </c>
      <c r="G60" s="270">
        <v>42353</v>
      </c>
      <c r="H60" s="271">
        <v>200</v>
      </c>
      <c r="I60" s="266">
        <v>9.2899999999999991</v>
      </c>
      <c r="J60" s="266">
        <v>0.03</v>
      </c>
      <c r="K60" s="266">
        <f t="shared" si="4"/>
        <v>1857.9699999999998</v>
      </c>
      <c r="L60" s="265"/>
      <c r="M60" s="265"/>
      <c r="N60" s="265"/>
      <c r="O60" s="2"/>
      <c r="P60" s="83">
        <v>0.9</v>
      </c>
      <c r="Q60" s="83">
        <f t="shared" si="3"/>
        <v>9.4049999999999994</v>
      </c>
      <c r="R60" s="83"/>
      <c r="W60" s="94">
        <v>42506</v>
      </c>
      <c r="X60" s="10">
        <v>9.3000000000000007</v>
      </c>
      <c r="Y60" s="10">
        <v>9.4700000000000006</v>
      </c>
      <c r="Z60" s="10">
        <v>9.24</v>
      </c>
      <c r="AA60" s="10">
        <v>9.2799999999999994</v>
      </c>
      <c r="AB60" s="95">
        <v>19887700</v>
      </c>
      <c r="AC60" s="10">
        <v>9.25</v>
      </c>
      <c r="AD60" s="2">
        <f t="shared" si="0"/>
        <v>0.23000000000000043</v>
      </c>
      <c r="AE60" s="138">
        <f t="shared" si="1"/>
        <v>8.724100327153872E-3</v>
      </c>
    </row>
    <row r="61" spans="1:31" x14ac:dyDescent="0.25">
      <c r="A61" s="265"/>
      <c r="B61" s="270">
        <v>42297</v>
      </c>
      <c r="C61" s="271">
        <v>900</v>
      </c>
      <c r="D61" s="266">
        <v>9.74</v>
      </c>
      <c r="E61" s="266">
        <v>0</v>
      </c>
      <c r="F61" s="266">
        <f t="shared" si="5"/>
        <v>8766</v>
      </c>
      <c r="G61" s="270">
        <v>42354</v>
      </c>
      <c r="H61" s="271">
        <v>500</v>
      </c>
      <c r="I61" s="266">
        <v>8.93</v>
      </c>
      <c r="J61" s="266">
        <v>0.08</v>
      </c>
      <c r="K61" s="266">
        <f t="shared" si="4"/>
        <v>4464.92</v>
      </c>
      <c r="L61" s="265"/>
      <c r="M61" s="265"/>
      <c r="N61" s="265"/>
      <c r="W61" s="94">
        <v>42503</v>
      </c>
      <c r="X61" s="10">
        <v>9.35</v>
      </c>
      <c r="Y61" s="10">
        <v>9.5399999999999991</v>
      </c>
      <c r="Z61" s="10">
        <v>9.18</v>
      </c>
      <c r="AA61" s="10">
        <v>9.1999999999999993</v>
      </c>
      <c r="AB61" s="95">
        <v>18176000</v>
      </c>
      <c r="AC61" s="10">
        <v>9.17</v>
      </c>
      <c r="AD61" s="2">
        <f t="shared" si="0"/>
        <v>0.35999999999999943</v>
      </c>
      <c r="AE61" s="138">
        <f t="shared" si="1"/>
        <v>-2.5504782146652527E-2</v>
      </c>
    </row>
    <row r="62" spans="1:31" x14ac:dyDescent="0.25">
      <c r="A62" s="265"/>
      <c r="B62" s="270">
        <v>42299</v>
      </c>
      <c r="C62" s="265">
        <v>1000</v>
      </c>
      <c r="D62" s="266">
        <v>9.3800000000000008</v>
      </c>
      <c r="E62" s="266">
        <v>0</v>
      </c>
      <c r="F62" s="266">
        <f t="shared" si="5"/>
        <v>9380</v>
      </c>
      <c r="G62" s="270">
        <v>42366</v>
      </c>
      <c r="H62" s="271">
        <v>2000</v>
      </c>
      <c r="I62" s="266">
        <v>9.4499999999999993</v>
      </c>
      <c r="J62" s="266">
        <v>0.35</v>
      </c>
      <c r="K62" s="266">
        <f t="shared" si="4"/>
        <v>18899.650000000001</v>
      </c>
      <c r="L62" s="265"/>
      <c r="M62" s="265"/>
      <c r="N62" s="265"/>
      <c r="W62" s="94">
        <v>42502</v>
      </c>
      <c r="X62" s="10">
        <v>9.65</v>
      </c>
      <c r="Y62" s="10">
        <v>9.7200000000000006</v>
      </c>
      <c r="Z62" s="10">
        <v>9.25</v>
      </c>
      <c r="AA62" s="10">
        <v>9.44</v>
      </c>
      <c r="AB62" s="95">
        <v>23049200</v>
      </c>
      <c r="AC62" s="10">
        <v>9.41</v>
      </c>
      <c r="AD62" s="2">
        <f t="shared" si="0"/>
        <v>0.47000000000000064</v>
      </c>
      <c r="AE62" s="138">
        <f t="shared" si="1"/>
        <v>-1.051524710830698E-2</v>
      </c>
    </row>
    <row r="63" spans="1:31" x14ac:dyDescent="0.25">
      <c r="A63" s="265"/>
      <c r="B63" s="270">
        <v>42303</v>
      </c>
      <c r="C63" s="265">
        <v>400</v>
      </c>
      <c r="D63" s="266">
        <v>9.1999999999999993</v>
      </c>
      <c r="E63" s="266">
        <v>0</v>
      </c>
      <c r="F63" s="266">
        <f t="shared" si="5"/>
        <v>3679.9999999999995</v>
      </c>
      <c r="G63" s="270">
        <v>42367</v>
      </c>
      <c r="H63" s="271">
        <v>1000</v>
      </c>
      <c r="I63" s="266">
        <v>9.89</v>
      </c>
      <c r="J63" s="266">
        <v>0.18</v>
      </c>
      <c r="K63" s="266">
        <f t="shared" si="4"/>
        <v>9889.82</v>
      </c>
      <c r="L63" s="265"/>
      <c r="M63" s="265"/>
      <c r="N63" s="265"/>
      <c r="W63" s="94">
        <v>42501</v>
      </c>
      <c r="X63" s="10">
        <v>9.69</v>
      </c>
      <c r="Y63" s="10">
        <v>9.7899999999999991</v>
      </c>
      <c r="Z63" s="10">
        <v>9.5399999999999991</v>
      </c>
      <c r="AA63" s="10">
        <v>9.5399999999999991</v>
      </c>
      <c r="AB63" s="95">
        <v>16008600</v>
      </c>
      <c r="AC63" s="10">
        <v>9.51</v>
      </c>
      <c r="AD63" s="2">
        <f t="shared" si="0"/>
        <v>0.25</v>
      </c>
      <c r="AE63" s="138">
        <f t="shared" si="1"/>
        <v>-1.34854771784233E-2</v>
      </c>
    </row>
    <row r="64" spans="1:31" x14ac:dyDescent="0.25">
      <c r="A64" s="265"/>
      <c r="B64" s="285">
        <v>42304</v>
      </c>
      <c r="C64" s="265">
        <v>900</v>
      </c>
      <c r="D64" s="266">
        <v>9.32</v>
      </c>
      <c r="E64" s="266">
        <v>0</v>
      </c>
      <c r="F64" s="266">
        <f t="shared" si="5"/>
        <v>8388</v>
      </c>
      <c r="G64" s="270">
        <v>42398</v>
      </c>
      <c r="H64" s="271">
        <v>100</v>
      </c>
      <c r="I64" s="266">
        <v>7.21</v>
      </c>
      <c r="J64" s="266">
        <v>0.01</v>
      </c>
      <c r="K64" s="266">
        <f t="shared" si="4"/>
        <v>720.99</v>
      </c>
      <c r="L64" s="265"/>
      <c r="M64" s="265"/>
      <c r="N64" s="265"/>
      <c r="W64" s="94">
        <v>42500</v>
      </c>
      <c r="X64" s="10">
        <v>9.56</v>
      </c>
      <c r="Y64" s="10">
        <v>9.68</v>
      </c>
      <c r="Z64" s="10">
        <v>9.32</v>
      </c>
      <c r="AA64" s="10">
        <v>9.67</v>
      </c>
      <c r="AB64" s="95">
        <v>22266500</v>
      </c>
      <c r="AC64" s="10">
        <v>9.64</v>
      </c>
      <c r="AD64" s="2">
        <f t="shared" si="0"/>
        <v>0.35999999999999943</v>
      </c>
      <c r="AE64" s="138">
        <f t="shared" si="1"/>
        <v>2.2269353128314018E-2</v>
      </c>
    </row>
    <row r="65" spans="1:31" x14ac:dyDescent="0.25">
      <c r="A65" s="265"/>
      <c r="B65" s="285"/>
      <c r="C65" s="265">
        <v>500</v>
      </c>
      <c r="D65" s="266">
        <v>9.32</v>
      </c>
      <c r="E65" s="266">
        <v>0</v>
      </c>
      <c r="F65" s="266">
        <f t="shared" si="5"/>
        <v>4660</v>
      </c>
      <c r="G65" s="270">
        <v>42403</v>
      </c>
      <c r="H65" s="271">
        <v>100</v>
      </c>
      <c r="I65" s="266">
        <v>7.42</v>
      </c>
      <c r="J65" s="266">
        <v>0.01</v>
      </c>
      <c r="K65" s="266">
        <f t="shared" si="4"/>
        <v>741.99</v>
      </c>
      <c r="L65" s="266"/>
      <c r="M65" s="265"/>
      <c r="N65" s="265"/>
      <c r="W65" s="94">
        <v>42499</v>
      </c>
      <c r="X65" s="10">
        <v>9.86</v>
      </c>
      <c r="Y65" s="10">
        <v>9.86</v>
      </c>
      <c r="Z65" s="10">
        <v>9.44</v>
      </c>
      <c r="AA65" s="10">
        <v>9.4600000000000009</v>
      </c>
      <c r="AB65" s="95">
        <v>33838700</v>
      </c>
      <c r="AC65" s="10">
        <v>9.43</v>
      </c>
      <c r="AD65" s="2">
        <f t="shared" si="0"/>
        <v>0.41999999999999993</v>
      </c>
      <c r="AE65" s="138">
        <f t="shared" si="1"/>
        <v>-5.7942057942057978E-2</v>
      </c>
    </row>
    <row r="66" spans="1:31" x14ac:dyDescent="0.25">
      <c r="A66" s="265"/>
      <c r="B66" s="270">
        <v>42306</v>
      </c>
      <c r="C66" s="265">
        <v>300</v>
      </c>
      <c r="D66" s="266">
        <v>8.7200000000000006</v>
      </c>
      <c r="E66" s="266">
        <v>6.95</v>
      </c>
      <c r="F66" s="266">
        <f t="shared" si="5"/>
        <v>2622.95</v>
      </c>
      <c r="G66" s="270">
        <v>42404</v>
      </c>
      <c r="H66" s="271">
        <v>100</v>
      </c>
      <c r="I66" s="266">
        <v>8.02</v>
      </c>
      <c r="J66" s="266">
        <v>0.01</v>
      </c>
      <c r="K66" s="266">
        <f t="shared" si="4"/>
        <v>801.99</v>
      </c>
      <c r="L66" s="265"/>
      <c r="M66" s="265"/>
      <c r="N66" s="265"/>
      <c r="W66" s="94">
        <v>42496</v>
      </c>
      <c r="X66" s="10">
        <v>9.99</v>
      </c>
      <c r="Y66" s="10">
        <v>10.29</v>
      </c>
      <c r="Z66" s="10">
        <v>9.99</v>
      </c>
      <c r="AA66" s="10">
        <v>10.039999999999999</v>
      </c>
      <c r="AB66" s="95">
        <v>18451100</v>
      </c>
      <c r="AC66" s="10">
        <v>10.01</v>
      </c>
      <c r="AD66" s="2">
        <f t="shared" si="0"/>
        <v>0.29999999999999893</v>
      </c>
      <c r="AE66" s="138">
        <f t="shared" si="1"/>
        <v>2.0020020020019569E-3</v>
      </c>
    </row>
    <row r="67" spans="1:31" x14ac:dyDescent="0.25">
      <c r="A67" s="265"/>
      <c r="B67" s="270">
        <v>42310</v>
      </c>
      <c r="C67" s="265">
        <v>3400</v>
      </c>
      <c r="D67" s="266">
        <v>9.0299999999999994</v>
      </c>
      <c r="E67" s="266">
        <v>6.95</v>
      </c>
      <c r="F67" s="266">
        <f t="shared" si="5"/>
        <v>30708.949999999997</v>
      </c>
      <c r="G67" s="270">
        <v>42416</v>
      </c>
      <c r="H67" s="271">
        <v>300</v>
      </c>
      <c r="I67" s="266">
        <v>7.98</v>
      </c>
      <c r="J67" s="266">
        <v>0.05</v>
      </c>
      <c r="K67" s="266">
        <f t="shared" si="4"/>
        <v>2393.9499999999998</v>
      </c>
      <c r="L67" s="265"/>
      <c r="M67" s="265"/>
      <c r="N67" s="265"/>
      <c r="W67" s="94">
        <v>42495</v>
      </c>
      <c r="X67" s="10">
        <v>10.32</v>
      </c>
      <c r="Y67" s="10">
        <v>10.38</v>
      </c>
      <c r="Z67" s="10">
        <v>9.94</v>
      </c>
      <c r="AA67" s="10">
        <v>10.02</v>
      </c>
      <c r="AB67" s="95">
        <v>22168600</v>
      </c>
      <c r="AC67" s="10">
        <v>9.99</v>
      </c>
      <c r="AD67" s="2">
        <f t="shared" si="0"/>
        <v>0.44000000000000128</v>
      </c>
      <c r="AE67" s="138">
        <f t="shared" si="1"/>
        <v>-2.1547502448579836E-2</v>
      </c>
    </row>
    <row r="68" spans="1:31" x14ac:dyDescent="0.25">
      <c r="A68" s="265"/>
      <c r="B68" s="270">
        <v>42314</v>
      </c>
      <c r="C68" s="265">
        <v>1400</v>
      </c>
      <c r="D68" s="266">
        <v>9.35</v>
      </c>
      <c r="E68" s="266">
        <v>0</v>
      </c>
      <c r="F68" s="266">
        <f t="shared" si="5"/>
        <v>13090</v>
      </c>
      <c r="G68" s="270">
        <v>42444</v>
      </c>
      <c r="H68" s="265">
        <v>200</v>
      </c>
      <c r="I68" s="266">
        <v>9.49</v>
      </c>
      <c r="J68" s="266">
        <v>0.04</v>
      </c>
      <c r="K68" s="266">
        <v>1897.96</v>
      </c>
      <c r="L68" s="265"/>
      <c r="M68" s="265"/>
      <c r="N68" s="265"/>
      <c r="W68" s="94">
        <v>42494</v>
      </c>
      <c r="X68" s="10">
        <v>10.28</v>
      </c>
      <c r="Y68" s="10">
        <v>10.45</v>
      </c>
      <c r="Z68" s="10">
        <v>10.17</v>
      </c>
      <c r="AA68" s="10">
        <v>10.24</v>
      </c>
      <c r="AB68" s="95">
        <v>22625500</v>
      </c>
      <c r="AC68" s="10">
        <v>10.210000000000001</v>
      </c>
      <c r="AD68" s="2">
        <f>Y68-Z68</f>
        <v>0.27999999999999936</v>
      </c>
      <c r="AE68" s="138" t="e">
        <f>AC68/AC70-1</f>
        <v>#DIV/0!</v>
      </c>
    </row>
    <row r="69" spans="1:31" x14ac:dyDescent="0.25">
      <c r="A69" s="265"/>
      <c r="B69" s="270">
        <v>42324</v>
      </c>
      <c r="C69" s="279">
        <v>3700</v>
      </c>
      <c r="D69" s="266">
        <v>8.2899999999999991</v>
      </c>
      <c r="E69" s="266">
        <v>0</v>
      </c>
      <c r="F69" s="266">
        <f t="shared" si="5"/>
        <v>30672.999999999996</v>
      </c>
      <c r="G69" s="270"/>
      <c r="H69" s="271"/>
      <c r="I69" s="266"/>
      <c r="J69" s="266"/>
      <c r="K69" s="266"/>
      <c r="L69" s="265"/>
      <c r="M69" s="265"/>
      <c r="N69" s="265"/>
      <c r="W69" s="217">
        <v>42494</v>
      </c>
      <c r="X69" s="96" t="s">
        <v>121</v>
      </c>
      <c r="Y69" s="96"/>
      <c r="Z69" s="96"/>
      <c r="AA69" s="96"/>
      <c r="AB69" s="218"/>
      <c r="AC69" s="96"/>
      <c r="AD69" s="2">
        <f>Y70-Z70</f>
        <v>0</v>
      </c>
      <c r="AE69" s="138" t="e">
        <f>AC70/AC71-1</f>
        <v>#DIV/0!</v>
      </c>
    </row>
    <row r="70" spans="1:31" x14ac:dyDescent="0.25">
      <c r="A70" s="265"/>
      <c r="B70" s="270">
        <v>42324</v>
      </c>
      <c r="C70" s="279">
        <v>600</v>
      </c>
      <c r="D70" s="266">
        <v>8.14</v>
      </c>
      <c r="E70" s="266">
        <v>0</v>
      </c>
      <c r="F70" s="266">
        <f t="shared" si="5"/>
        <v>4884</v>
      </c>
      <c r="G70" s="270"/>
      <c r="H70" s="271"/>
      <c r="I70" s="266"/>
      <c r="J70" s="266"/>
      <c r="K70" s="266"/>
      <c r="L70" s="265"/>
      <c r="M70" s="265"/>
      <c r="N70" s="265"/>
      <c r="W70" s="94" t="s">
        <v>122</v>
      </c>
      <c r="X70" s="10"/>
      <c r="Y70" s="10"/>
      <c r="Z70" s="10"/>
      <c r="AA70" s="10"/>
      <c r="AB70" s="95"/>
      <c r="AC70" s="10"/>
    </row>
    <row r="71" spans="1:31" x14ac:dyDescent="0.25">
      <c r="A71" s="265"/>
      <c r="B71" s="270">
        <v>42335</v>
      </c>
      <c r="C71" s="265">
        <v>500</v>
      </c>
      <c r="D71" s="266">
        <v>9.06</v>
      </c>
      <c r="E71" s="266">
        <v>0</v>
      </c>
      <c r="F71" s="266">
        <f t="shared" si="5"/>
        <v>4530</v>
      </c>
      <c r="G71" s="265"/>
      <c r="H71" s="271"/>
      <c r="I71" s="266"/>
      <c r="J71" s="266"/>
      <c r="K71" s="266"/>
      <c r="L71" s="265"/>
      <c r="M71" s="265"/>
      <c r="N71" s="265"/>
    </row>
    <row r="72" spans="1:31" x14ac:dyDescent="0.25">
      <c r="A72" s="265"/>
      <c r="B72" s="270">
        <v>42345</v>
      </c>
      <c r="C72" s="265">
        <v>200</v>
      </c>
      <c r="D72" s="266">
        <v>9.35</v>
      </c>
      <c r="E72" s="266">
        <v>0</v>
      </c>
      <c r="F72" s="266">
        <f t="shared" si="5"/>
        <v>1870</v>
      </c>
      <c r="G72" s="265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42347</v>
      </c>
      <c r="C73" s="265">
        <v>1500</v>
      </c>
      <c r="D73" s="266">
        <v>9.2759999999999998</v>
      </c>
      <c r="E73" s="266">
        <v>0</v>
      </c>
      <c r="F73" s="266">
        <f t="shared" si="5"/>
        <v>13914</v>
      </c>
      <c r="G73" s="265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42348</v>
      </c>
      <c r="C74" s="265">
        <v>100</v>
      </c>
      <c r="D74" s="266">
        <v>8.9499999999999993</v>
      </c>
      <c r="E74" s="266">
        <v>0</v>
      </c>
      <c r="F74" s="266">
        <f t="shared" si="5"/>
        <v>894.99999999999989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42353</v>
      </c>
      <c r="C75" s="265">
        <v>100</v>
      </c>
      <c r="D75" s="266">
        <v>9.2200000000000006</v>
      </c>
      <c r="E75" s="266">
        <v>0</v>
      </c>
      <c r="F75" s="266">
        <f t="shared" si="5"/>
        <v>922.00000000000011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42354</v>
      </c>
      <c r="C76" s="265">
        <v>500</v>
      </c>
      <c r="D76" s="266">
        <v>8.85</v>
      </c>
      <c r="E76" s="266">
        <v>0</v>
      </c>
      <c r="F76" s="266">
        <f t="shared" si="5"/>
        <v>4425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42377</v>
      </c>
      <c r="C77" s="265">
        <v>400</v>
      </c>
      <c r="D77" s="266">
        <v>8.0399999999999991</v>
      </c>
      <c r="E77" s="266">
        <v>0</v>
      </c>
      <c r="F77" s="266">
        <f t="shared" si="5"/>
        <v>3215.9999999999995</v>
      </c>
      <c r="G77" s="265"/>
      <c r="H77" s="265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42389</v>
      </c>
      <c r="C78" s="265">
        <v>100</v>
      </c>
      <c r="D78" s="266">
        <v>6.45</v>
      </c>
      <c r="E78" s="266">
        <v>0</v>
      </c>
      <c r="F78" s="266">
        <f t="shared" si="5"/>
        <v>645</v>
      </c>
      <c r="G78" s="265"/>
      <c r="H78" s="265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42402</v>
      </c>
      <c r="C79" s="265">
        <v>100</v>
      </c>
      <c r="D79" s="266">
        <v>6.95</v>
      </c>
      <c r="E79" s="266">
        <v>0</v>
      </c>
      <c r="F79" s="266">
        <f t="shared" si="5"/>
        <v>695</v>
      </c>
      <c r="G79" s="265"/>
      <c r="H79" s="265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42444</v>
      </c>
      <c r="C80" s="265">
        <v>200</v>
      </c>
      <c r="D80" s="266">
        <v>9.4499999999999993</v>
      </c>
      <c r="E80" s="266">
        <v>0</v>
      </c>
      <c r="F80" s="266">
        <v>1889.9999999999998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389"/>
      <c r="B81" s="389"/>
      <c r="C81" s="389"/>
      <c r="D81" s="390"/>
      <c r="E81" s="390"/>
      <c r="F81" s="390"/>
      <c r="G81" s="389"/>
      <c r="H81" s="389"/>
      <c r="I81" s="390"/>
      <c r="J81" s="390"/>
      <c r="K81" s="390"/>
      <c r="L81" s="389"/>
      <c r="M81" s="389"/>
      <c r="N81" s="389"/>
    </row>
    <row r="82" spans="1:14" x14ac:dyDescent="0.25">
      <c r="A82" s="389"/>
      <c r="B82" s="388">
        <v>42545</v>
      </c>
      <c r="C82" s="389">
        <v>250</v>
      </c>
      <c r="D82" s="390">
        <v>9.36</v>
      </c>
      <c r="E82" s="390">
        <v>0</v>
      </c>
      <c r="F82" s="390">
        <f>D82*C82+E82</f>
        <v>2340</v>
      </c>
      <c r="G82" s="389">
        <v>42577</v>
      </c>
      <c r="H82" s="393">
        <v>150</v>
      </c>
      <c r="I82" s="390">
        <v>10.58</v>
      </c>
      <c r="J82" s="390">
        <v>0.03</v>
      </c>
      <c r="K82" s="390">
        <f t="shared" ref="K82:K83" si="6">H82*I82-J82</f>
        <v>1586.97</v>
      </c>
      <c r="L82" s="389"/>
      <c r="M82" s="389"/>
      <c r="N82" s="389"/>
    </row>
    <row r="83" spans="1:14" x14ac:dyDescent="0.25">
      <c r="A83" s="389"/>
      <c r="B83" s="388"/>
      <c r="C83" s="389"/>
      <c r="D83" s="390"/>
      <c r="E83" s="390"/>
      <c r="F83" s="390"/>
      <c r="G83" s="389">
        <v>42577</v>
      </c>
      <c r="H83" s="393">
        <v>100</v>
      </c>
      <c r="I83" s="390">
        <v>10.65</v>
      </c>
      <c r="J83" s="390">
        <v>0.02</v>
      </c>
      <c r="K83" s="390">
        <f t="shared" si="6"/>
        <v>1064.98</v>
      </c>
      <c r="L83" s="389"/>
      <c r="M83" s="389"/>
      <c r="N83" s="389"/>
    </row>
    <row r="84" spans="1:14" x14ac:dyDescent="0.25">
      <c r="A84" s="389"/>
      <c r="B84" s="389"/>
      <c r="C84" s="389"/>
      <c r="D84" s="390"/>
      <c r="E84" s="390"/>
      <c r="F84" s="390"/>
      <c r="G84" s="389"/>
      <c r="H84" s="389"/>
      <c r="I84" s="390"/>
      <c r="J84" s="390"/>
      <c r="K84" s="390"/>
      <c r="L84" s="389"/>
      <c r="M84" s="389"/>
      <c r="N84" s="389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7">C90*(E90-D90)</f>
        <v>-2848.9999999999986</v>
      </c>
      <c r="G90" s="266">
        <f t="shared" ref="G90:G107" si="8">D90*C90</f>
        <v>36112</v>
      </c>
      <c r="H90" s="280">
        <f t="shared" ref="H90:H96" si="9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7"/>
        <v>-1294.9999999999986</v>
      </c>
      <c r="G91" s="266">
        <f t="shared" si="8"/>
        <v>36001</v>
      </c>
      <c r="H91" s="280">
        <f t="shared" si="9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7"/>
        <v>-8805.9999999999964</v>
      </c>
      <c r="G92" s="266">
        <f t="shared" si="8"/>
        <v>66674</v>
      </c>
      <c r="H92" s="280">
        <f t="shared" si="9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7"/>
        <v>-8959.9999999999945</v>
      </c>
      <c r="G93" s="266">
        <f t="shared" si="8"/>
        <v>71520</v>
      </c>
      <c r="H93" s="280">
        <f t="shared" si="9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7"/>
        <v>-4278.7799999999934</v>
      </c>
      <c r="G94" s="266">
        <f t="shared" si="8"/>
        <v>59784.779999999992</v>
      </c>
      <c r="H94" s="280">
        <f t="shared" si="9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7"/>
        <v>-4279.1179999999986</v>
      </c>
      <c r="G95" s="266">
        <f t="shared" si="8"/>
        <v>59238.468000000001</v>
      </c>
      <c r="H95" s="280">
        <f t="shared" si="9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7"/>
        <v>-2573.1199999999994</v>
      </c>
      <c r="G96" s="266">
        <f t="shared" si="8"/>
        <v>40241.119999999995</v>
      </c>
      <c r="H96" s="280">
        <f t="shared" si="9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7"/>
        <v>-2579.2700000000027</v>
      </c>
      <c r="G97" s="266">
        <f t="shared" si="8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7"/>
        <v>-1405.9999999999964</v>
      </c>
      <c r="G98" s="266">
        <f t="shared" si="8"/>
        <v>34965</v>
      </c>
      <c r="H98" s="280">
        <f t="shared" ref="H98:H107" si="10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7"/>
        <v>-67.320000000001386</v>
      </c>
      <c r="G99" s="266">
        <f t="shared" si="8"/>
        <v>31120.320000000003</v>
      </c>
      <c r="H99" s="280">
        <f t="shared" si="10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7"/>
        <v>183.40000000000032</v>
      </c>
      <c r="G100" s="266">
        <f t="shared" si="8"/>
        <v>26360.600000000002</v>
      </c>
      <c r="H100" s="280">
        <f t="shared" si="10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7"/>
        <v>-180.00000000000148</v>
      </c>
      <c r="G101" s="266">
        <f t="shared" si="8"/>
        <v>28230</v>
      </c>
      <c r="H101" s="280">
        <f t="shared" si="10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7"/>
        <v>-254.99999999999989</v>
      </c>
      <c r="G102" s="266">
        <f t="shared" si="8"/>
        <v>14265</v>
      </c>
      <c r="H102" s="280">
        <f t="shared" si="10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7"/>
        <v>-159.90000000000038</v>
      </c>
      <c r="G103" s="266">
        <f t="shared" si="8"/>
        <v>28179.9</v>
      </c>
      <c r="H103" s="280">
        <f t="shared" si="10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7"/>
        <v>-1050.9000000000012</v>
      </c>
      <c r="G104" s="266">
        <f t="shared" si="8"/>
        <v>29074.899999999998</v>
      </c>
      <c r="H104" s="280">
        <f t="shared" si="10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7"/>
        <v>-630.0000000000025</v>
      </c>
      <c r="G105" s="266">
        <f t="shared" si="8"/>
        <v>28140.000000000004</v>
      </c>
      <c r="H105" s="280">
        <f t="shared" si="10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7"/>
        <v>-1518.0000000000007</v>
      </c>
      <c r="G106" s="266">
        <f t="shared" si="8"/>
        <v>28098</v>
      </c>
      <c r="H106" s="280">
        <f t="shared" si="10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7"/>
        <v>360.00000000000119</v>
      </c>
      <c r="G107" s="266">
        <f t="shared" si="8"/>
        <v>9200</v>
      </c>
      <c r="H107" s="280">
        <f t="shared" si="10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11">C109*(E109-D109)</f>
        <v>704.00000000000023</v>
      </c>
      <c r="G109" s="266">
        <f t="shared" ref="G109:G114" si="12">D109*C109</f>
        <v>2524</v>
      </c>
      <c r="H109" s="280">
        <f t="shared" ref="H109:H114" si="13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11"/>
        <v>200.00000000000017</v>
      </c>
      <c r="G110" s="266">
        <f t="shared" si="12"/>
        <v>3170</v>
      </c>
      <c r="H110" s="280">
        <f t="shared" si="13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11"/>
        <v>407.99999999999983</v>
      </c>
      <c r="G111" s="266">
        <f t="shared" si="12"/>
        <v>2448</v>
      </c>
      <c r="H111" s="280">
        <f t="shared" si="13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11"/>
        <v>340.5499999999999</v>
      </c>
      <c r="G112" s="266">
        <f t="shared" si="12"/>
        <v>3144.45</v>
      </c>
      <c r="H112" s="280">
        <f t="shared" si="13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11"/>
        <v>616</v>
      </c>
      <c r="G113" s="266">
        <f t="shared" si="12"/>
        <v>2404</v>
      </c>
      <c r="H113" s="280">
        <f t="shared" si="13"/>
        <v>0.2562396006655574</v>
      </c>
      <c r="I113" s="266"/>
      <c r="J113" s="266"/>
      <c r="K113" s="266"/>
      <c r="L113" s="265"/>
      <c r="M113" s="265"/>
      <c r="N113" s="389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11"/>
        <v>892.53000000000009</v>
      </c>
      <c r="G114" s="266">
        <f t="shared" si="12"/>
        <v>1600.47</v>
      </c>
      <c r="H114" s="280">
        <f t="shared" si="13"/>
        <v>0.55766743519091266</v>
      </c>
      <c r="I114" s="266"/>
      <c r="J114" s="266"/>
      <c r="K114" s="266"/>
      <c r="L114" s="265"/>
      <c r="M114" s="265"/>
      <c r="N114" s="389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389"/>
    </row>
    <row r="116" spans="1:14" x14ac:dyDescent="0.25">
      <c r="A116" s="389"/>
      <c r="B116" s="388"/>
      <c r="C116" s="389"/>
      <c r="D116" s="390"/>
      <c r="E116" s="390"/>
      <c r="F116" s="390"/>
      <c r="G116" s="390"/>
      <c r="H116" s="391"/>
      <c r="I116" s="390"/>
      <c r="J116" s="390"/>
      <c r="K116" s="390"/>
      <c r="L116" s="389"/>
      <c r="M116" s="389"/>
      <c r="N116" s="389"/>
    </row>
    <row r="117" spans="1:14" x14ac:dyDescent="0.25">
      <c r="A117" s="389"/>
      <c r="B117" s="388">
        <v>42545</v>
      </c>
      <c r="C117" s="389">
        <v>250</v>
      </c>
      <c r="D117" s="390">
        <v>9.36</v>
      </c>
      <c r="E117" s="390">
        <v>9.3800000000000008</v>
      </c>
      <c r="F117" s="390">
        <f t="shared" ref="F117:F127" si="14">C117*(E117-D117)</f>
        <v>5.0000000000003375</v>
      </c>
      <c r="G117" s="390">
        <f t="shared" ref="G117:G127" si="15">D117*C117</f>
        <v>2340</v>
      </c>
      <c r="H117" s="391">
        <f t="shared" ref="H117:H127" si="16">(E117-D117)/D117</f>
        <v>2.1367521367522809E-3</v>
      </c>
      <c r="I117" s="390"/>
      <c r="J117" s="390"/>
      <c r="K117" s="390"/>
      <c r="L117" s="389"/>
      <c r="M117" s="389"/>
      <c r="N117" s="389"/>
    </row>
    <row r="118" spans="1:14" x14ac:dyDescent="0.25">
      <c r="A118" s="389"/>
      <c r="B118" s="388">
        <v>42548</v>
      </c>
      <c r="C118" s="389">
        <v>250</v>
      </c>
      <c r="D118" s="390">
        <v>9.36</v>
      </c>
      <c r="E118" s="390">
        <v>9.1</v>
      </c>
      <c r="F118" s="390">
        <f t="shared" si="14"/>
        <v>-64.999999999999943</v>
      </c>
      <c r="G118" s="390">
        <f t="shared" si="15"/>
        <v>2340</v>
      </c>
      <c r="H118" s="391">
        <f t="shared" si="16"/>
        <v>-2.7777777777777755E-2</v>
      </c>
      <c r="I118" s="390"/>
      <c r="J118" s="390"/>
      <c r="K118" s="390"/>
      <c r="L118" s="389"/>
      <c r="M118" s="389"/>
      <c r="N118" s="389"/>
    </row>
    <row r="119" spans="1:14" x14ac:dyDescent="0.25">
      <c r="A119" s="389"/>
      <c r="B119" s="388">
        <v>42549</v>
      </c>
      <c r="C119" s="389">
        <v>250</v>
      </c>
      <c r="D119" s="390">
        <v>9.36</v>
      </c>
      <c r="E119" s="390">
        <v>9.33</v>
      </c>
      <c r="F119" s="390">
        <f t="shared" si="14"/>
        <v>-7.4999999999998401</v>
      </c>
      <c r="G119" s="390">
        <f t="shared" si="15"/>
        <v>2340</v>
      </c>
      <c r="H119" s="391">
        <f t="shared" si="16"/>
        <v>-3.2051282051281369E-3</v>
      </c>
      <c r="I119" s="390"/>
      <c r="J119" s="390"/>
      <c r="K119" s="390"/>
      <c r="L119" s="389"/>
      <c r="M119" s="389"/>
      <c r="N119" s="389"/>
    </row>
    <row r="120" spans="1:14" x14ac:dyDescent="0.25">
      <c r="A120" s="389"/>
      <c r="B120" s="388">
        <v>42550</v>
      </c>
      <c r="C120" s="389">
        <v>250</v>
      </c>
      <c r="D120" s="390">
        <v>9.36</v>
      </c>
      <c r="E120" s="390">
        <v>9.1</v>
      </c>
      <c r="F120" s="390">
        <f t="shared" si="14"/>
        <v>-64.999999999999943</v>
      </c>
      <c r="G120" s="390">
        <f t="shared" si="15"/>
        <v>2340</v>
      </c>
      <c r="H120" s="391">
        <f t="shared" si="16"/>
        <v>-2.7777777777777755E-2</v>
      </c>
      <c r="I120" s="390"/>
      <c r="J120" s="390"/>
      <c r="K120" s="390"/>
      <c r="L120" s="389"/>
      <c r="M120" s="389"/>
      <c r="N120" s="389"/>
    </row>
    <row r="121" spans="1:14" x14ac:dyDescent="0.25">
      <c r="A121" s="389"/>
      <c r="B121" s="388">
        <v>42552</v>
      </c>
      <c r="C121" s="389">
        <v>250</v>
      </c>
      <c r="D121" s="390">
        <v>9.36</v>
      </c>
      <c r="E121" s="390">
        <v>9.5500000000000007</v>
      </c>
      <c r="F121" s="390">
        <f t="shared" si="14"/>
        <v>47.50000000000032</v>
      </c>
      <c r="G121" s="390">
        <f t="shared" si="15"/>
        <v>2340</v>
      </c>
      <c r="H121" s="391">
        <f t="shared" si="16"/>
        <v>2.0299145299145439E-2</v>
      </c>
      <c r="I121" s="390"/>
      <c r="J121" s="390"/>
      <c r="K121" s="390"/>
      <c r="L121" s="389"/>
      <c r="M121" s="389"/>
      <c r="N121" s="389"/>
    </row>
    <row r="122" spans="1:14" x14ac:dyDescent="0.25">
      <c r="A122" s="389"/>
      <c r="B122" s="388">
        <v>42556</v>
      </c>
      <c r="C122" s="389">
        <v>250</v>
      </c>
      <c r="D122" s="390">
        <v>9.36</v>
      </c>
      <c r="E122" s="390">
        <v>9.26</v>
      </c>
      <c r="F122" s="390">
        <f t="shared" si="14"/>
        <v>-24.999999999999911</v>
      </c>
      <c r="G122" s="390">
        <f t="shared" si="15"/>
        <v>2340</v>
      </c>
      <c r="H122" s="391">
        <f t="shared" si="16"/>
        <v>-1.0683760683760646E-2</v>
      </c>
      <c r="I122" s="390"/>
      <c r="J122" s="390"/>
      <c r="K122" s="390"/>
      <c r="L122" s="389"/>
      <c r="M122" s="389"/>
      <c r="N122" s="389"/>
    </row>
    <row r="123" spans="1:14" x14ac:dyDescent="0.25">
      <c r="A123" s="389"/>
      <c r="B123" s="388">
        <v>42557</v>
      </c>
      <c r="C123" s="389">
        <v>250</v>
      </c>
      <c r="D123" s="390">
        <v>9.36</v>
      </c>
      <c r="E123" s="390">
        <v>9.19</v>
      </c>
      <c r="F123" s="390">
        <f t="shared" si="14"/>
        <v>-42.499999999999986</v>
      </c>
      <c r="G123" s="390">
        <f t="shared" si="15"/>
        <v>2340</v>
      </c>
      <c r="H123" s="391">
        <f t="shared" si="16"/>
        <v>-1.8162393162393157E-2</v>
      </c>
      <c r="I123" s="390"/>
      <c r="J123" s="390"/>
      <c r="K123" s="390"/>
      <c r="L123" s="389"/>
      <c r="M123" s="389"/>
      <c r="N123" s="389"/>
    </row>
    <row r="124" spans="1:14" x14ac:dyDescent="0.25">
      <c r="A124" s="389"/>
      <c r="B124" s="388">
        <v>42559</v>
      </c>
      <c r="C124" s="389">
        <v>250</v>
      </c>
      <c r="D124" s="390">
        <v>9.36</v>
      </c>
      <c r="E124" s="390">
        <v>9.82</v>
      </c>
      <c r="F124" s="390">
        <f t="shared" si="14"/>
        <v>115.00000000000021</v>
      </c>
      <c r="G124" s="390">
        <f t="shared" si="15"/>
        <v>2340</v>
      </c>
      <c r="H124" s="391">
        <f t="shared" si="16"/>
        <v>4.9145299145299241E-2</v>
      </c>
      <c r="I124" s="390"/>
      <c r="J124" s="390"/>
      <c r="K124" s="390"/>
      <c r="L124" s="389"/>
      <c r="M124" s="389"/>
      <c r="N124" s="389"/>
    </row>
    <row r="125" spans="1:14" x14ac:dyDescent="0.25">
      <c r="A125" s="389"/>
      <c r="B125" s="388">
        <v>42562</v>
      </c>
      <c r="C125" s="389">
        <v>250</v>
      </c>
      <c r="D125" s="390">
        <v>9.36</v>
      </c>
      <c r="E125" s="390">
        <v>10.14</v>
      </c>
      <c r="F125" s="390">
        <f t="shared" si="14"/>
        <v>195.00000000000028</v>
      </c>
      <c r="G125" s="390">
        <f t="shared" si="15"/>
        <v>2340</v>
      </c>
      <c r="H125" s="391">
        <f t="shared" si="16"/>
        <v>8.3333333333333454E-2</v>
      </c>
      <c r="I125" s="390" t="s">
        <v>294</v>
      </c>
      <c r="J125" s="390"/>
      <c r="K125" s="390"/>
      <c r="L125" s="389"/>
      <c r="M125" s="389"/>
      <c r="N125" s="389"/>
    </row>
    <row r="126" spans="1:14" x14ac:dyDescent="0.25">
      <c r="A126" s="389"/>
      <c r="B126" s="388">
        <v>42566</v>
      </c>
      <c r="C126" s="389">
        <v>250</v>
      </c>
      <c r="D126" s="390">
        <v>9.36</v>
      </c>
      <c r="E126" s="390">
        <v>10.92</v>
      </c>
      <c r="F126" s="390">
        <f t="shared" si="14"/>
        <v>390.00000000000011</v>
      </c>
      <c r="G126" s="390">
        <f t="shared" si="15"/>
        <v>2340</v>
      </c>
      <c r="H126" s="391">
        <f t="shared" si="16"/>
        <v>0.16666666666666674</v>
      </c>
      <c r="I126" s="500">
        <v>8.8000000000000007</v>
      </c>
      <c r="J126" s="390"/>
      <c r="K126" s="390"/>
      <c r="L126" s="389"/>
      <c r="M126" s="389"/>
      <c r="N126" s="389"/>
    </row>
    <row r="127" spans="1:14" x14ac:dyDescent="0.25">
      <c r="A127" s="389"/>
      <c r="B127" s="388">
        <v>42570</v>
      </c>
      <c r="C127" s="389">
        <v>250</v>
      </c>
      <c r="D127" s="390">
        <v>9.36</v>
      </c>
      <c r="E127" s="390">
        <v>10.63</v>
      </c>
      <c r="F127" s="390">
        <f t="shared" si="14"/>
        <v>317.50000000000034</v>
      </c>
      <c r="G127" s="390">
        <f t="shared" si="15"/>
        <v>2340</v>
      </c>
      <c r="H127" s="391">
        <f t="shared" si="16"/>
        <v>0.13568376068376084</v>
      </c>
      <c r="I127" s="390"/>
      <c r="J127" s="390"/>
      <c r="K127" s="390"/>
      <c r="L127" s="389"/>
      <c r="M127" s="389"/>
      <c r="N127" s="389"/>
    </row>
    <row r="128" spans="1:14" x14ac:dyDescent="0.25">
      <c r="A128" s="389"/>
      <c r="B128" s="388">
        <v>42577</v>
      </c>
      <c r="C128" s="389">
        <v>0</v>
      </c>
      <c r="D128" s="390"/>
      <c r="E128" s="390"/>
      <c r="F128" s="390">
        <v>311.95</v>
      </c>
      <c r="G128" s="390"/>
      <c r="H128" s="391"/>
      <c r="I128" s="390"/>
      <c r="J128" s="390"/>
      <c r="K128" s="390"/>
      <c r="L128" s="389"/>
      <c r="M128" s="389"/>
    </row>
    <row r="129" spans="1:13" x14ac:dyDescent="0.25">
      <c r="A129" s="389"/>
      <c r="B129" s="388"/>
      <c r="C129" s="389"/>
      <c r="D129" s="390"/>
      <c r="E129" s="390"/>
      <c r="F129" s="390"/>
      <c r="G129" s="390"/>
      <c r="H129" s="391"/>
      <c r="I129" s="390"/>
      <c r="J129" s="390"/>
      <c r="K129" s="390"/>
      <c r="L129" s="389"/>
      <c r="M129" s="389"/>
    </row>
    <row r="130" spans="1:13" x14ac:dyDescent="0.25">
      <c r="A130" s="389"/>
      <c r="B130" s="388"/>
      <c r="C130" s="389"/>
      <c r="D130" s="390"/>
      <c r="E130" s="390"/>
      <c r="F130" s="390"/>
      <c r="G130" s="390"/>
      <c r="H130" s="391"/>
      <c r="I130" s="390"/>
      <c r="J130" s="390"/>
      <c r="K130" s="390"/>
      <c r="L130" s="389"/>
      <c r="M130" s="389"/>
    </row>
  </sheetData>
  <mergeCells count="1">
    <mergeCell ref="P39:Q39"/>
  </mergeCells>
  <conditionalFormatting sqref="F22:F39 H22:H39">
    <cfRule type="expression" dxfId="295" priority="66">
      <formula>F22&gt;0</formula>
    </cfRule>
    <cfRule type="expression" dxfId="29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3" priority="53">
      <formula>F41&gt;0</formula>
    </cfRule>
    <cfRule type="expression" dxfId="292" priority="54">
      <formula>F41&lt;0</formula>
    </cfRule>
  </conditionalFormatting>
  <conditionalFormatting sqref="F41">
    <cfRule type="expression" dxfId="291" priority="57">
      <formula>F41&gt;0</formula>
    </cfRule>
    <cfRule type="expression" dxfId="290" priority="58">
      <formula>F41&lt;0</formula>
    </cfRule>
  </conditionalFormatting>
  <conditionalFormatting sqref="H41">
    <cfRule type="expression" dxfId="289" priority="35">
      <formula>H41&gt;0</formula>
    </cfRule>
    <cfRule type="expression" dxfId="288" priority="36">
      <formula>H41&lt;0</formula>
    </cfRule>
  </conditionalFormatting>
  <conditionalFormatting sqref="F89:F95">
    <cfRule type="expression" dxfId="287" priority="29">
      <formula>F89&gt;0</formula>
    </cfRule>
    <cfRule type="expression" dxfId="286" priority="30">
      <formula>F89&lt;0</formula>
    </cfRule>
  </conditionalFormatting>
  <conditionalFormatting sqref="F96:F110">
    <cfRule type="expression" dxfId="285" priority="25">
      <formula>F96&gt;0</formula>
    </cfRule>
    <cfRule type="expression" dxfId="284" priority="26">
      <formula>F96&lt;0</formula>
    </cfRule>
  </conditionalFormatting>
  <conditionalFormatting sqref="F96:F110">
    <cfRule type="expression" dxfId="283" priority="27">
      <formula>F96&gt;0</formula>
    </cfRule>
    <cfRule type="expression" dxfId="282" priority="28">
      <formula>F96&lt;0</formula>
    </cfRule>
  </conditionalFormatting>
  <conditionalFormatting sqref="H89:H100">
    <cfRule type="expression" dxfId="281" priority="23">
      <formula>H89&gt;0</formula>
    </cfRule>
    <cfRule type="expression" dxfId="280" priority="24">
      <formula>H89&lt;0</formula>
    </cfRule>
  </conditionalFormatting>
  <conditionalFormatting sqref="H101">
    <cfRule type="expression" dxfId="279" priority="21">
      <formula>H101&gt;0</formula>
    </cfRule>
    <cfRule type="expression" dxfId="278" priority="22">
      <formula>H101&lt;0</formula>
    </cfRule>
  </conditionalFormatting>
  <conditionalFormatting sqref="F111:F116">
    <cfRule type="expression" dxfId="277" priority="19">
      <formula>F111&gt;0</formula>
    </cfRule>
    <cfRule type="expression" dxfId="276" priority="20">
      <formula>F111&lt;0</formula>
    </cfRule>
  </conditionalFormatting>
  <conditionalFormatting sqref="H103:H116">
    <cfRule type="expression" dxfId="275" priority="17">
      <formula>H103&gt;0</formula>
    </cfRule>
    <cfRule type="expression" dxfId="274" priority="18">
      <formula>H103&lt;0</formula>
    </cfRule>
  </conditionalFormatting>
  <conditionalFormatting sqref="H102">
    <cfRule type="expression" dxfId="273" priority="15">
      <formula>H102&gt;0</formula>
    </cfRule>
    <cfRule type="expression" dxfId="272" priority="16">
      <formula>H102&lt;0</formula>
    </cfRule>
  </conditionalFormatting>
  <conditionalFormatting sqref="M42">
    <cfRule type="expression" dxfId="271" priority="13">
      <formula>M42&gt;0</formula>
    </cfRule>
    <cfRule type="expression" dxfId="270" priority="14">
      <formula>M42&lt;0</formula>
    </cfRule>
  </conditionalFormatting>
  <conditionalFormatting sqref="Q7">
    <cfRule type="expression" dxfId="269" priority="9">
      <formula>Q7&gt;0</formula>
    </cfRule>
    <cfRule type="expression" dxfId="268" priority="10">
      <formula>Q7&lt;0</formula>
    </cfRule>
  </conditionalFormatting>
  <conditionalFormatting sqref="Q8">
    <cfRule type="expression" dxfId="267" priority="7">
      <formula>Q8&gt;0</formula>
    </cfRule>
    <cfRule type="expression" dxfId="266" priority="8">
      <formula>Q8&lt;0</formula>
    </cfRule>
  </conditionalFormatting>
  <conditionalFormatting sqref="F117:F130 H117:H130">
    <cfRule type="expression" dxfId="265" priority="1">
      <formula>F117&gt;0</formula>
    </cfRule>
    <cfRule type="expression" dxfId="26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42587</v>
      </c>
      <c r="X2" s="10">
        <v>17</v>
      </c>
      <c r="Y2" s="10">
        <v>17.68</v>
      </c>
      <c r="Z2" s="10">
        <v>16.95</v>
      </c>
      <c r="AA2" s="10">
        <v>17.55</v>
      </c>
      <c r="AB2" s="95">
        <v>5153700</v>
      </c>
      <c r="AC2" s="10">
        <v>17.55</v>
      </c>
      <c r="AD2" s="2">
        <f>Y2-Z2</f>
        <v>0.73000000000000043</v>
      </c>
      <c r="AE2" s="138">
        <f>AC2/AC3-1</f>
        <v>4.4642857142857206E-2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17.46</v>
      </c>
      <c r="W3" s="133">
        <v>42586</v>
      </c>
      <c r="X3" s="10">
        <v>16.559999999999999</v>
      </c>
      <c r="Y3" s="10">
        <v>17.350000000000001</v>
      </c>
      <c r="Z3" s="10">
        <v>16.52</v>
      </c>
      <c r="AA3" s="10">
        <v>16.8</v>
      </c>
      <c r="AB3" s="95">
        <v>8192400</v>
      </c>
      <c r="AC3" s="10">
        <v>16.8</v>
      </c>
      <c r="AD3" s="2">
        <f t="shared" ref="AD3:AD66" si="0">Y3-Z3</f>
        <v>0.83000000000000185</v>
      </c>
      <c r="AE3" s="138">
        <f t="shared" ref="AE3:AE66" si="1">AC3/AC4-1</f>
        <v>2.0036429872495543E-2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17.46</v>
      </c>
      <c r="W4" s="133">
        <v>42585</v>
      </c>
      <c r="X4" s="10">
        <v>20.14</v>
      </c>
      <c r="Y4" s="10">
        <v>20.14</v>
      </c>
      <c r="Z4" s="10">
        <v>15.66</v>
      </c>
      <c r="AA4" s="10">
        <v>16.47</v>
      </c>
      <c r="AB4" s="95">
        <v>26149200</v>
      </c>
      <c r="AC4" s="10">
        <v>16.47</v>
      </c>
      <c r="AD4" s="2">
        <f t="shared" si="0"/>
        <v>4.4800000000000004</v>
      </c>
      <c r="AE4" s="138">
        <f t="shared" si="1"/>
        <v>-0.18222442899702096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42584</v>
      </c>
      <c r="X5" s="10">
        <v>21.46</v>
      </c>
      <c r="Y5" s="10">
        <v>21.55</v>
      </c>
      <c r="Z5" s="10">
        <v>20.07</v>
      </c>
      <c r="AA5" s="10">
        <v>20.14</v>
      </c>
      <c r="AB5" s="95">
        <v>3883400</v>
      </c>
      <c r="AC5" s="10">
        <v>20.14</v>
      </c>
      <c r="AD5" s="2">
        <f t="shared" si="0"/>
        <v>1.4800000000000004</v>
      </c>
      <c r="AE5" s="138">
        <f t="shared" si="1"/>
        <v>-6.3255813953488338E-2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42583</v>
      </c>
      <c r="X6" s="10">
        <v>21.69</v>
      </c>
      <c r="Y6" s="10">
        <v>21.95</v>
      </c>
      <c r="Z6" s="10">
        <v>21.41</v>
      </c>
      <c r="AA6" s="10">
        <v>21.5</v>
      </c>
      <c r="AB6" s="95">
        <v>2346700</v>
      </c>
      <c r="AC6" s="10">
        <v>21.5</v>
      </c>
      <c r="AD6" s="2">
        <f t="shared" si="0"/>
        <v>0.53999999999999915</v>
      </c>
      <c r="AE6" s="138">
        <f t="shared" si="1"/>
        <v>-8.75979714153996E-3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188</v>
      </c>
      <c r="Q7" s="2">
        <f>Q10+Q8</f>
        <v>155.90000000000146</v>
      </c>
      <c r="R7">
        <v>0</v>
      </c>
      <c r="W7" s="133">
        <v>42580</v>
      </c>
      <c r="X7" s="10">
        <v>21.69</v>
      </c>
      <c r="Y7" s="10">
        <v>21.89</v>
      </c>
      <c r="Z7" s="10">
        <v>21.36</v>
      </c>
      <c r="AA7" s="10">
        <v>21.69</v>
      </c>
      <c r="AB7" s="95">
        <v>1469000</v>
      </c>
      <c r="AC7" s="10">
        <v>21.69</v>
      </c>
      <c r="AD7" s="2">
        <f t="shared" si="0"/>
        <v>0.53000000000000114</v>
      </c>
      <c r="AE7" s="138">
        <f t="shared" si="1"/>
        <v>-6.8681318681318437E-3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21.63</v>
      </c>
      <c r="Y8" s="10">
        <v>21.95</v>
      </c>
      <c r="Z8" s="10">
        <v>21.41</v>
      </c>
      <c r="AA8" s="10">
        <v>21.84</v>
      </c>
      <c r="AB8" s="95">
        <v>2188100</v>
      </c>
      <c r="AC8" s="10">
        <v>21.84</v>
      </c>
      <c r="AD8" s="2">
        <f t="shared" si="0"/>
        <v>0.53999999999999915</v>
      </c>
      <c r="AE8" s="138">
        <f t="shared" si="1"/>
        <v>8.310249307479145E-3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21.78</v>
      </c>
      <c r="Y9" s="10">
        <v>21.79</v>
      </c>
      <c r="Z9" s="10">
        <v>21.24</v>
      </c>
      <c r="AA9" s="10">
        <v>21.66</v>
      </c>
      <c r="AB9" s="95">
        <v>3602600</v>
      </c>
      <c r="AC9" s="10">
        <v>21.66</v>
      </c>
      <c r="AD9" s="2">
        <f t="shared" si="0"/>
        <v>0.55000000000000071</v>
      </c>
      <c r="AE9" s="138">
        <f t="shared" si="1"/>
        <v>-4.1379310344827891E-3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230</v>
      </c>
      <c r="P10" s="34"/>
      <c r="Q10" s="2">
        <f>M45</f>
        <v>155.90000000000146</v>
      </c>
      <c r="W10" s="133">
        <v>42577</v>
      </c>
      <c r="X10" s="10">
        <v>21.59</v>
      </c>
      <c r="Y10" s="10">
        <v>21.88</v>
      </c>
      <c r="Z10" s="10">
        <v>21.44</v>
      </c>
      <c r="AA10" s="10">
        <v>21.75</v>
      </c>
      <c r="AB10" s="95">
        <v>1415200</v>
      </c>
      <c r="AC10" s="10">
        <v>21.75</v>
      </c>
      <c r="AD10" s="2">
        <f t="shared" si="0"/>
        <v>0.43999999999999773</v>
      </c>
      <c r="AE10" s="138">
        <f t="shared" si="1"/>
        <v>7.8776645041707116E-3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42576</v>
      </c>
      <c r="X11" s="10">
        <v>21.43</v>
      </c>
      <c r="Y11" s="10">
        <v>21.66</v>
      </c>
      <c r="Z11" s="10">
        <v>21.33</v>
      </c>
      <c r="AA11" s="10">
        <v>21.58</v>
      </c>
      <c r="AB11" s="95">
        <v>1127200</v>
      </c>
      <c r="AC11" s="10">
        <v>21.58</v>
      </c>
      <c r="AD11" s="2">
        <f t="shared" si="0"/>
        <v>0.33000000000000185</v>
      </c>
      <c r="AE11" s="138">
        <f t="shared" si="1"/>
        <v>4.6554934823090921E-3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42573</v>
      </c>
      <c r="X12" s="10">
        <v>21.22</v>
      </c>
      <c r="Y12" s="10">
        <v>21.55</v>
      </c>
      <c r="Z12" s="10">
        <v>20.89</v>
      </c>
      <c r="AA12" s="10">
        <v>21.48</v>
      </c>
      <c r="AB12" s="95">
        <v>987200</v>
      </c>
      <c r="AC12" s="10">
        <v>21.48</v>
      </c>
      <c r="AD12" s="2">
        <f t="shared" si="0"/>
        <v>0.66000000000000014</v>
      </c>
      <c r="AE12" s="138">
        <f t="shared" si="1"/>
        <v>1.0348071495766664E-2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42572</v>
      </c>
      <c r="X13" s="10">
        <v>21.54</v>
      </c>
      <c r="Y13" s="10">
        <v>21.75</v>
      </c>
      <c r="Z13" s="10">
        <v>21.2</v>
      </c>
      <c r="AA13" s="10">
        <v>21.26</v>
      </c>
      <c r="AB13" s="95">
        <v>1032100</v>
      </c>
      <c r="AC13" s="10">
        <v>21.26</v>
      </c>
      <c r="AD13" s="2">
        <f t="shared" si="0"/>
        <v>0.55000000000000071</v>
      </c>
      <c r="AE13" s="138">
        <f t="shared" si="1"/>
        <v>-1.29990714948931E-2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42571</v>
      </c>
      <c r="X14" s="10">
        <v>20.93</v>
      </c>
      <c r="Y14" s="10">
        <v>21.62</v>
      </c>
      <c r="Z14" s="10">
        <v>20.87</v>
      </c>
      <c r="AA14" s="10">
        <v>21.54</v>
      </c>
      <c r="AB14" s="95">
        <v>1587200</v>
      </c>
      <c r="AC14" s="10">
        <v>21.54</v>
      </c>
      <c r="AD14" s="2">
        <f t="shared" si="0"/>
        <v>0.75</v>
      </c>
      <c r="AE14" s="138">
        <f t="shared" si="1"/>
        <v>3.5079288803459896E-2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42570</v>
      </c>
      <c r="X15" s="10">
        <v>20.8</v>
      </c>
      <c r="Y15" s="10">
        <v>20.94</v>
      </c>
      <c r="Z15" s="10">
        <v>20.62</v>
      </c>
      <c r="AA15" s="10">
        <v>20.81</v>
      </c>
      <c r="AB15" s="95">
        <v>1221600</v>
      </c>
      <c r="AC15" s="10">
        <v>20.81</v>
      </c>
      <c r="AD15" s="2">
        <f t="shared" si="0"/>
        <v>0.32000000000000028</v>
      </c>
      <c r="AE15" s="138">
        <f t="shared" si="1"/>
        <v>-6.208213944603802E-3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42569</v>
      </c>
      <c r="X16" s="10">
        <v>21.47</v>
      </c>
      <c r="Y16" s="10">
        <v>21.47</v>
      </c>
      <c r="Z16" s="10">
        <v>20.89</v>
      </c>
      <c r="AA16" s="10">
        <v>20.94</v>
      </c>
      <c r="AB16" s="95">
        <v>1593500</v>
      </c>
      <c r="AC16" s="10">
        <v>20.94</v>
      </c>
      <c r="AD16" s="2">
        <f t="shared" si="0"/>
        <v>0.57999999999999829</v>
      </c>
      <c r="AE16" s="138">
        <f t="shared" si="1"/>
        <v>-5.6980056980056037E-3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42566</v>
      </c>
      <c r="X17" s="10">
        <v>21.11</v>
      </c>
      <c r="Y17" s="10">
        <v>21.34</v>
      </c>
      <c r="Z17" s="10">
        <v>20.9</v>
      </c>
      <c r="AA17" s="10">
        <v>21.06</v>
      </c>
      <c r="AB17" s="95">
        <v>3216100</v>
      </c>
      <c r="AC17" s="10">
        <v>21.06</v>
      </c>
      <c r="AD17" s="2">
        <f t="shared" si="0"/>
        <v>0.44000000000000128</v>
      </c>
      <c r="AE17" s="138">
        <f t="shared" si="1"/>
        <v>1.9029495718363432E-3</v>
      </c>
    </row>
    <row r="18" spans="1:31" x14ac:dyDescent="0.25">
      <c r="W18" s="133">
        <v>42565</v>
      </c>
      <c r="X18" s="10">
        <v>21.2</v>
      </c>
      <c r="Y18" s="10">
        <v>21.31</v>
      </c>
      <c r="Z18" s="10">
        <v>20.9</v>
      </c>
      <c r="AA18" s="10">
        <v>21.02</v>
      </c>
      <c r="AB18" s="95">
        <v>1176500</v>
      </c>
      <c r="AC18" s="10">
        <v>21.02</v>
      </c>
      <c r="AD18" s="2">
        <f t="shared" si="0"/>
        <v>0.41000000000000014</v>
      </c>
      <c r="AE18" s="138">
        <f t="shared" si="1"/>
        <v>1.4292520247738416E-3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42564</v>
      </c>
      <c r="X19" s="10">
        <v>21.75</v>
      </c>
      <c r="Y19" s="10">
        <v>21.77</v>
      </c>
      <c r="Z19" s="10">
        <v>20.79</v>
      </c>
      <c r="AA19" s="10">
        <v>20.99</v>
      </c>
      <c r="AB19" s="95">
        <v>1901200</v>
      </c>
      <c r="AC19" s="10">
        <v>20.99</v>
      </c>
      <c r="AD19" s="2">
        <f t="shared" si="0"/>
        <v>0.98000000000000043</v>
      </c>
      <c r="AE19" s="138">
        <f t="shared" si="1"/>
        <v>-2.7790643816581806E-2</v>
      </c>
    </row>
    <row r="20" spans="1:31" x14ac:dyDescent="0.25">
      <c r="W20" s="133">
        <v>42563</v>
      </c>
      <c r="X20" s="10">
        <v>21.74</v>
      </c>
      <c r="Y20" s="10">
        <v>22.1</v>
      </c>
      <c r="Z20" s="10">
        <v>21.58</v>
      </c>
      <c r="AA20" s="10">
        <v>21.59</v>
      </c>
      <c r="AB20" s="95">
        <v>3529300</v>
      </c>
      <c r="AC20" s="10">
        <v>21.59</v>
      </c>
      <c r="AD20" s="2">
        <f t="shared" si="0"/>
        <v>0.52000000000000313</v>
      </c>
      <c r="AE20" s="138">
        <f t="shared" si="1"/>
        <v>1.2189404594467934E-2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42562</v>
      </c>
      <c r="X21" s="10">
        <v>21.43</v>
      </c>
      <c r="Y21" s="10">
        <v>21.54</v>
      </c>
      <c r="Z21" s="10">
        <v>21.07</v>
      </c>
      <c r="AA21" s="10">
        <v>21.33</v>
      </c>
      <c r="AB21" s="95">
        <v>2269200</v>
      </c>
      <c r="AC21" s="10">
        <v>21.33</v>
      </c>
      <c r="AD21" s="2">
        <f t="shared" si="0"/>
        <v>0.46999999999999886</v>
      </c>
      <c r="AE21" s="138">
        <f t="shared" si="1"/>
        <v>-4.6663555762950226E-3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42559</v>
      </c>
      <c r="X22" s="10">
        <v>21</v>
      </c>
      <c r="Y22" s="10">
        <v>21.49</v>
      </c>
      <c r="Z22" s="10">
        <v>20.95</v>
      </c>
      <c r="AA22" s="10">
        <v>21.43</v>
      </c>
      <c r="AB22" s="95">
        <v>1504700</v>
      </c>
      <c r="AC22" s="10">
        <v>21.43</v>
      </c>
      <c r="AD22" s="2">
        <f t="shared" si="0"/>
        <v>0.53999999999999915</v>
      </c>
      <c r="AE22" s="138">
        <f t="shared" si="1"/>
        <v>3.4765813616610242E-2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42558</v>
      </c>
      <c r="X23" s="10">
        <v>20.03</v>
      </c>
      <c r="Y23" s="10">
        <v>20.74</v>
      </c>
      <c r="Z23" s="10">
        <v>20.010000000000002</v>
      </c>
      <c r="AA23" s="10">
        <v>20.71</v>
      </c>
      <c r="AB23" s="95">
        <v>1718300</v>
      </c>
      <c r="AC23" s="10">
        <v>20.71</v>
      </c>
      <c r="AD23" s="2">
        <f t="shared" si="0"/>
        <v>0.72999999999999687</v>
      </c>
      <c r="AE23" s="138">
        <f t="shared" si="1"/>
        <v>3.2402791625124827E-2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42557</v>
      </c>
      <c r="X24" s="10">
        <v>19.809999999999999</v>
      </c>
      <c r="Y24" s="10">
        <v>20.09</v>
      </c>
      <c r="Z24" s="10">
        <v>19.57</v>
      </c>
      <c r="AA24" s="10">
        <v>20.059999999999999</v>
      </c>
      <c r="AB24" s="95">
        <v>2595000</v>
      </c>
      <c r="AC24" s="10">
        <v>20.059999999999999</v>
      </c>
      <c r="AD24" s="2">
        <f t="shared" si="0"/>
        <v>0.51999999999999957</v>
      </c>
      <c r="AE24" s="138">
        <f t="shared" si="1"/>
        <v>8.040201005025116E-3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42556</v>
      </c>
      <c r="X25" s="10">
        <v>20.85</v>
      </c>
      <c r="Y25" s="10">
        <v>20.85</v>
      </c>
      <c r="Z25" s="10">
        <v>19.73</v>
      </c>
      <c r="AA25" s="10">
        <v>19.899999999999999</v>
      </c>
      <c r="AB25" s="95">
        <v>1651000</v>
      </c>
      <c r="AC25" s="10">
        <v>19.899999999999999</v>
      </c>
      <c r="AD25" s="2">
        <f t="shared" si="0"/>
        <v>1.120000000000001</v>
      </c>
      <c r="AE25" s="138">
        <f t="shared" si="1"/>
        <v>-5.4182509505703469E-2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42552</v>
      </c>
      <c r="X26" s="10">
        <v>20.55</v>
      </c>
      <c r="Y26" s="10">
        <v>21.14</v>
      </c>
      <c r="Z26" s="10">
        <v>20.55</v>
      </c>
      <c r="AA26" s="10">
        <v>21.04</v>
      </c>
      <c r="AB26" s="95">
        <v>1770200</v>
      </c>
      <c r="AC26" s="10">
        <v>21.04</v>
      </c>
      <c r="AD26" s="2">
        <f t="shared" si="0"/>
        <v>0.58999999999999986</v>
      </c>
      <c r="AE26" s="138">
        <f t="shared" si="1"/>
        <v>2.0863658418243558E-2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42551</v>
      </c>
      <c r="X27" s="10">
        <v>20.65</v>
      </c>
      <c r="Y27" s="10">
        <v>20.68</v>
      </c>
      <c r="Z27" s="10">
        <v>20.309999999999999</v>
      </c>
      <c r="AA27" s="10">
        <v>20.61</v>
      </c>
      <c r="AB27" s="95">
        <v>2411000</v>
      </c>
      <c r="AC27" s="10">
        <v>20.61</v>
      </c>
      <c r="AD27" s="2">
        <f t="shared" si="0"/>
        <v>0.37000000000000099</v>
      </c>
      <c r="AE27" s="138">
        <f t="shared" si="1"/>
        <v>-2.9027576197389049E-3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42550</v>
      </c>
      <c r="X28" s="10">
        <v>20</v>
      </c>
      <c r="Y28" s="10">
        <v>20.77</v>
      </c>
      <c r="Z28" s="10">
        <v>19.940000000000001</v>
      </c>
      <c r="AA28" s="10">
        <v>20.67</v>
      </c>
      <c r="AB28" s="95">
        <v>2360600</v>
      </c>
      <c r="AC28" s="10">
        <v>20.67</v>
      </c>
      <c r="AD28" s="2">
        <f t="shared" si="0"/>
        <v>0.82999999999999829</v>
      </c>
      <c r="AE28" s="138">
        <f t="shared" si="1"/>
        <v>5.2980132450331174E-2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42549</v>
      </c>
      <c r="X29" s="10">
        <v>19.170000000000002</v>
      </c>
      <c r="Y29" s="10">
        <v>19.829999999999998</v>
      </c>
      <c r="Z29" s="10">
        <v>19.14</v>
      </c>
      <c r="AA29" s="10">
        <v>19.63</v>
      </c>
      <c r="AB29" s="95">
        <v>2317900</v>
      </c>
      <c r="AC29" s="10">
        <v>19.63</v>
      </c>
      <c r="AD29" s="2">
        <f t="shared" si="0"/>
        <v>0.68999999999999773</v>
      </c>
      <c r="AE29" s="138">
        <f t="shared" si="1"/>
        <v>4.1379310344827447E-2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42548</v>
      </c>
      <c r="X30" s="10">
        <v>19.829999999999998</v>
      </c>
      <c r="Y30" s="10">
        <v>19.829999999999998</v>
      </c>
      <c r="Z30" s="10">
        <v>18.68</v>
      </c>
      <c r="AA30" s="10">
        <v>18.850000000000001</v>
      </c>
      <c r="AB30" s="95">
        <v>4803700</v>
      </c>
      <c r="AC30" s="10">
        <v>18.850000000000001</v>
      </c>
      <c r="AD30" s="2">
        <f t="shared" si="0"/>
        <v>1.1499999999999986</v>
      </c>
      <c r="AE30" s="138">
        <f t="shared" si="1"/>
        <v>-5.7971014492753659E-2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42545</v>
      </c>
      <c r="X31" s="10">
        <v>20.34</v>
      </c>
      <c r="Y31" s="10">
        <v>20.58</v>
      </c>
      <c r="Z31" s="10">
        <v>19.809999999999999</v>
      </c>
      <c r="AA31" s="10">
        <v>20.010000000000002</v>
      </c>
      <c r="AB31" s="95">
        <v>2884600</v>
      </c>
      <c r="AC31" s="10">
        <v>20.010000000000002</v>
      </c>
      <c r="AD31" s="2">
        <f t="shared" si="0"/>
        <v>0.76999999999999957</v>
      </c>
      <c r="AE31" s="138">
        <f t="shared" si="1"/>
        <v>-6.7132867132867036E-2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42544</v>
      </c>
      <c r="X32" s="10">
        <v>21.31</v>
      </c>
      <c r="Y32" s="10">
        <v>21.64</v>
      </c>
      <c r="Z32" s="10">
        <v>21.19</v>
      </c>
      <c r="AA32" s="10">
        <v>21.45</v>
      </c>
      <c r="AB32" s="95">
        <v>964200</v>
      </c>
      <c r="AC32" s="10">
        <v>21.45</v>
      </c>
      <c r="AD32" s="2">
        <f t="shared" si="0"/>
        <v>0.44999999999999929</v>
      </c>
      <c r="AE32" s="138">
        <f t="shared" si="1"/>
        <v>1.8035121025154144E-2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42543</v>
      </c>
      <c r="X33" s="10">
        <v>21.39</v>
      </c>
      <c r="Y33" s="10">
        <v>21.65</v>
      </c>
      <c r="Z33" s="10">
        <v>21.06</v>
      </c>
      <c r="AA33" s="10">
        <v>21.07</v>
      </c>
      <c r="AB33" s="95">
        <v>972800</v>
      </c>
      <c r="AC33" s="10">
        <v>21.07</v>
      </c>
      <c r="AD33" s="2">
        <f t="shared" si="0"/>
        <v>0.58999999999999986</v>
      </c>
      <c r="AE33" s="138">
        <f t="shared" si="1"/>
        <v>-1.3576779026217234E-2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42542</v>
      </c>
      <c r="X34" s="10">
        <v>21.25</v>
      </c>
      <c r="Y34" s="10">
        <v>21.47</v>
      </c>
      <c r="Z34" s="10">
        <v>21.04</v>
      </c>
      <c r="AA34" s="10">
        <v>21.36</v>
      </c>
      <c r="AB34" s="95">
        <v>1353400</v>
      </c>
      <c r="AC34" s="10">
        <v>21.36</v>
      </c>
      <c r="AD34" s="2">
        <f t="shared" si="0"/>
        <v>0.42999999999999972</v>
      </c>
      <c r="AE34" s="138">
        <f t="shared" si="1"/>
        <v>8.9749645725081262E-3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42541</v>
      </c>
      <c r="X35" s="10">
        <v>21.12</v>
      </c>
      <c r="Y35" s="10">
        <v>21.53</v>
      </c>
      <c r="Z35" s="10">
        <v>20.96</v>
      </c>
      <c r="AA35" s="10">
        <v>21.17</v>
      </c>
      <c r="AB35" s="95">
        <v>1928500</v>
      </c>
      <c r="AC35" s="10">
        <v>21.17</v>
      </c>
      <c r="AD35" s="2">
        <f t="shared" si="0"/>
        <v>0.57000000000000028</v>
      </c>
      <c r="AE35" s="138">
        <f t="shared" si="1"/>
        <v>2.3199613339777603E-2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42538</v>
      </c>
      <c r="X36" s="10">
        <v>20.239999999999998</v>
      </c>
      <c r="Y36" s="10">
        <v>20.83</v>
      </c>
      <c r="Z36" s="10">
        <v>20</v>
      </c>
      <c r="AA36" s="10">
        <v>20.69</v>
      </c>
      <c r="AB36" s="95">
        <v>1715600</v>
      </c>
      <c r="AC36" s="10">
        <v>20.69</v>
      </c>
      <c r="AD36" s="2">
        <f t="shared" si="0"/>
        <v>0.82999999999999829</v>
      </c>
      <c r="AE36" s="138">
        <f t="shared" si="1"/>
        <v>2.6289682539682557E-2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42537</v>
      </c>
      <c r="X37" s="10">
        <v>20.09</v>
      </c>
      <c r="Y37" s="10">
        <v>20.28</v>
      </c>
      <c r="Z37" s="10">
        <v>19.43</v>
      </c>
      <c r="AA37" s="10">
        <v>20.16</v>
      </c>
      <c r="AB37" s="95">
        <v>2438300</v>
      </c>
      <c r="AC37" s="10">
        <v>20.16</v>
      </c>
      <c r="AD37" s="2">
        <f t="shared" si="0"/>
        <v>0.85000000000000142</v>
      </c>
      <c r="AE37" s="138">
        <f t="shared" si="1"/>
        <v>-5.4267390231869106E-3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42536</v>
      </c>
      <c r="X38" s="10">
        <v>19.670000000000002</v>
      </c>
      <c r="Y38" s="10">
        <v>20.65</v>
      </c>
      <c r="Z38" s="10">
        <v>19.61</v>
      </c>
      <c r="AA38" s="10">
        <v>20.27</v>
      </c>
      <c r="AB38" s="95">
        <v>2661300</v>
      </c>
      <c r="AC38" s="10">
        <v>20.27</v>
      </c>
      <c r="AD38" s="2">
        <f t="shared" si="0"/>
        <v>1.0399999999999991</v>
      </c>
      <c r="AE38" s="138">
        <f t="shared" si="1"/>
        <v>3.6828644501278651E-2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42535</v>
      </c>
      <c r="X39" s="10">
        <v>19.82</v>
      </c>
      <c r="Y39" s="10">
        <v>20.02</v>
      </c>
      <c r="Z39" s="10">
        <v>19.489999999999998</v>
      </c>
      <c r="AA39" s="10">
        <v>19.55</v>
      </c>
      <c r="AB39" s="95">
        <v>1391900</v>
      </c>
      <c r="AC39" s="10">
        <v>19.55</v>
      </c>
      <c r="AD39" s="2">
        <f t="shared" si="0"/>
        <v>0.53000000000000114</v>
      </c>
      <c r="AE39" s="138">
        <f t="shared" si="1"/>
        <v>-1.5609264853977733E-2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42534</v>
      </c>
      <c r="X40" s="10">
        <v>20.149999999999999</v>
      </c>
      <c r="Y40" s="10">
        <v>20.420000000000002</v>
      </c>
      <c r="Z40" s="10">
        <v>19.86</v>
      </c>
      <c r="AA40" s="10">
        <v>19.86</v>
      </c>
      <c r="AB40" s="95">
        <v>1784600</v>
      </c>
      <c r="AC40" s="10">
        <v>19.86</v>
      </c>
      <c r="AD40" s="2">
        <f t="shared" si="0"/>
        <v>0.56000000000000227</v>
      </c>
      <c r="AE40" s="138">
        <f t="shared" si="1"/>
        <v>-2.1674876847290747E-2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42531</v>
      </c>
      <c r="X41" s="10">
        <v>21.18</v>
      </c>
      <c r="Y41" s="10">
        <v>21.19</v>
      </c>
      <c r="Z41" s="10">
        <v>20.18</v>
      </c>
      <c r="AA41" s="10">
        <v>20.3</v>
      </c>
      <c r="AB41" s="95">
        <v>2587600</v>
      </c>
      <c r="AC41" s="10">
        <v>20.3</v>
      </c>
      <c r="AD41" s="2">
        <f t="shared" si="0"/>
        <v>1.0100000000000016</v>
      </c>
      <c r="AE41" s="138">
        <f t="shared" si="1"/>
        <v>-5.2729818012132501E-2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42530</v>
      </c>
      <c r="X42" s="10">
        <v>21.43</v>
      </c>
      <c r="Y42" s="10">
        <v>21.65</v>
      </c>
      <c r="Z42" s="10">
        <v>21.16</v>
      </c>
      <c r="AA42" s="10">
        <v>21.43</v>
      </c>
      <c r="AB42" s="95">
        <v>1722000</v>
      </c>
      <c r="AC42" s="10">
        <v>21.43</v>
      </c>
      <c r="AD42" s="2">
        <f t="shared" si="0"/>
        <v>0.48999999999999844</v>
      </c>
      <c r="AE42" s="138">
        <f t="shared" si="1"/>
        <v>-5.1067780872794399E-3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16.8</v>
      </c>
      <c r="W43" s="133">
        <v>42529</v>
      </c>
      <c r="X43" s="10">
        <v>21.87</v>
      </c>
      <c r="Y43" s="10">
        <v>21.93</v>
      </c>
      <c r="Z43" s="10">
        <v>21.54</v>
      </c>
      <c r="AA43" s="10">
        <v>21.54</v>
      </c>
      <c r="AB43" s="95">
        <v>1432800</v>
      </c>
      <c r="AC43" s="10">
        <v>21.54</v>
      </c>
      <c r="AD43" s="2">
        <f t="shared" si="0"/>
        <v>0.39000000000000057</v>
      </c>
      <c r="AE43" s="138">
        <f t="shared" si="1"/>
        <v>-1.1019283746556585E-2</v>
      </c>
    </row>
    <row r="44" spans="1:31" ht="20.25" thickBot="1" x14ac:dyDescent="0.35">
      <c r="O44" s="525" t="s">
        <v>78</v>
      </c>
      <c r="P44" s="525"/>
      <c r="T44" s="93" t="s">
        <v>99</v>
      </c>
      <c r="U44" s="88">
        <v>17</v>
      </c>
      <c r="W44" s="133">
        <v>42528</v>
      </c>
      <c r="X44" s="10">
        <v>21.13</v>
      </c>
      <c r="Y44" s="10">
        <v>21.99</v>
      </c>
      <c r="Z44" s="10">
        <v>21.02</v>
      </c>
      <c r="AA44" s="10">
        <v>21.78</v>
      </c>
      <c r="AB44" s="95">
        <v>1751900</v>
      </c>
      <c r="AC44" s="10">
        <v>21.78</v>
      </c>
      <c r="AD44" s="2">
        <f t="shared" si="0"/>
        <v>0.96999999999999886</v>
      </c>
      <c r="AE44" s="138">
        <f t="shared" si="1"/>
        <v>2.7358490566037785E-2</v>
      </c>
    </row>
    <row r="45" spans="1:31" ht="15.75" thickTop="1" x14ac:dyDescent="0.25">
      <c r="L45" t="s">
        <v>230</v>
      </c>
      <c r="M45" s="2">
        <f>M64+K64-F64</f>
        <v>155.90000000000146</v>
      </c>
      <c r="O45" s="83">
        <v>1.1000000000000001</v>
      </c>
      <c r="P45" s="83">
        <f>O45*$Q$4</f>
        <v>19.206000000000003</v>
      </c>
      <c r="Q45" s="2"/>
      <c r="T45" s="93" t="s">
        <v>100</v>
      </c>
      <c r="U45" s="88" t="s">
        <v>412</v>
      </c>
      <c r="W45" s="133">
        <v>42527</v>
      </c>
      <c r="X45" s="10">
        <v>21.25</v>
      </c>
      <c r="Y45" s="10">
        <v>21.6</v>
      </c>
      <c r="Z45" s="10">
        <v>21.03</v>
      </c>
      <c r="AA45" s="10">
        <v>21.2</v>
      </c>
      <c r="AB45" s="95">
        <v>3179600</v>
      </c>
      <c r="AC45" s="10">
        <v>21.2</v>
      </c>
      <c r="AD45" s="2">
        <f t="shared" si="0"/>
        <v>0.57000000000000028</v>
      </c>
      <c r="AE45" s="138">
        <f t="shared" si="1"/>
        <v>5.6925996204935103E-3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19.031400000000001</v>
      </c>
      <c r="Q46" s="2"/>
      <c r="T46" s="93" t="s">
        <v>101</v>
      </c>
      <c r="U46" s="88" t="s">
        <v>413</v>
      </c>
      <c r="W46" s="133">
        <v>42524</v>
      </c>
      <c r="X46" s="10">
        <v>21.44</v>
      </c>
      <c r="Y46" s="10">
        <v>21.48</v>
      </c>
      <c r="Z46" s="10">
        <v>20.84</v>
      </c>
      <c r="AA46" s="10">
        <v>21.08</v>
      </c>
      <c r="AB46" s="95">
        <v>5058200</v>
      </c>
      <c r="AC46" s="10">
        <v>21.08</v>
      </c>
      <c r="AD46" s="2">
        <f t="shared" si="0"/>
        <v>0.64000000000000057</v>
      </c>
      <c r="AE46" s="138">
        <f t="shared" si="1"/>
        <v>-2.5427646786870151E-2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18.856800000000003</v>
      </c>
      <c r="Q47" s="2"/>
      <c r="T47" s="93" t="s">
        <v>102</v>
      </c>
      <c r="U47" s="88">
        <v>22.93</v>
      </c>
      <c r="W47" s="133">
        <v>42523</v>
      </c>
      <c r="X47" s="10">
        <v>22.47</v>
      </c>
      <c r="Y47" s="10">
        <v>22.94</v>
      </c>
      <c r="Z47" s="10">
        <v>20.87</v>
      </c>
      <c r="AA47" s="10">
        <v>21.63</v>
      </c>
      <c r="AB47" s="95">
        <v>8642600</v>
      </c>
      <c r="AC47" s="10">
        <v>21.63</v>
      </c>
      <c r="AD47" s="2">
        <f t="shared" si="0"/>
        <v>2.0700000000000003</v>
      </c>
      <c r="AE47" s="138">
        <f t="shared" si="1"/>
        <v>-4.5454545454545525E-2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18.682200000000002</v>
      </c>
      <c r="Q48" s="2"/>
      <c r="T48" s="93" t="s">
        <v>103</v>
      </c>
      <c r="U48" s="88">
        <v>1.3779300000000001</v>
      </c>
      <c r="W48" s="133">
        <v>42522</v>
      </c>
      <c r="X48" s="10">
        <v>21.86</v>
      </c>
      <c r="Y48" s="10">
        <v>22.79</v>
      </c>
      <c r="Z48" s="10">
        <v>21.86</v>
      </c>
      <c r="AA48" s="10">
        <v>22.66</v>
      </c>
      <c r="AB48" s="95">
        <v>2983600</v>
      </c>
      <c r="AC48" s="10">
        <v>22.66</v>
      </c>
      <c r="AD48" s="2">
        <f t="shared" si="0"/>
        <v>0.92999999999999972</v>
      </c>
      <c r="AE48" s="138">
        <f t="shared" si="1"/>
        <v>3.6596523330283626E-2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18.507600000000004</v>
      </c>
      <c r="Q49" s="2"/>
      <c r="T49" s="93" t="s">
        <v>104</v>
      </c>
      <c r="U49" s="88" t="s">
        <v>414</v>
      </c>
      <c r="W49" s="133">
        <v>42521</v>
      </c>
      <c r="X49" s="10">
        <v>22.13</v>
      </c>
      <c r="Y49" s="10">
        <v>22.27</v>
      </c>
      <c r="Z49" s="10">
        <v>21.8</v>
      </c>
      <c r="AA49" s="10">
        <v>21.86</v>
      </c>
      <c r="AB49" s="95">
        <v>1501200</v>
      </c>
      <c r="AC49" s="10">
        <v>21.86</v>
      </c>
      <c r="AD49" s="2">
        <f t="shared" si="0"/>
        <v>0.46999999999999886</v>
      </c>
      <c r="AE49" s="138">
        <f t="shared" si="1"/>
        <v>-1.4871563767462903E-2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18.333000000000002</v>
      </c>
      <c r="Q50" s="2"/>
      <c r="T50" s="93"/>
      <c r="U50" s="88"/>
      <c r="W50" s="133">
        <v>42517</v>
      </c>
      <c r="X50" s="10">
        <v>22.13</v>
      </c>
      <c r="Y50" s="10">
        <v>22.28</v>
      </c>
      <c r="Z50" s="10">
        <v>22</v>
      </c>
      <c r="AA50" s="10">
        <v>22.19</v>
      </c>
      <c r="AB50" s="95">
        <v>2004000</v>
      </c>
      <c r="AC50" s="10">
        <v>22.19</v>
      </c>
      <c r="AD50" s="2">
        <f t="shared" si="0"/>
        <v>0.28000000000000114</v>
      </c>
      <c r="AE50" s="138">
        <f t="shared" si="1"/>
        <v>7.7202543142598223E-3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18.1584</v>
      </c>
      <c r="Q51" s="2"/>
      <c r="T51" s="93" t="s">
        <v>105</v>
      </c>
      <c r="U51" s="88" t="s">
        <v>415</v>
      </c>
      <c r="W51" s="133">
        <v>42516</v>
      </c>
      <c r="X51" s="10">
        <v>22.67</v>
      </c>
      <c r="Y51" s="10">
        <v>22.71</v>
      </c>
      <c r="Z51" s="10">
        <v>21.98</v>
      </c>
      <c r="AA51" s="10">
        <v>22.02</v>
      </c>
      <c r="AB51" s="95">
        <v>1571200</v>
      </c>
      <c r="AC51" s="10">
        <v>22.02</v>
      </c>
      <c r="AD51" s="2">
        <f t="shared" si="0"/>
        <v>0.73000000000000043</v>
      </c>
      <c r="AE51" s="138">
        <f t="shared" si="1"/>
        <v>-1.6085790884718509E-2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17.983800000000002</v>
      </c>
      <c r="Q52" s="2"/>
      <c r="T52" s="93" t="s">
        <v>106</v>
      </c>
      <c r="U52" s="88" t="s">
        <v>248</v>
      </c>
      <c r="W52" s="133">
        <v>42515</v>
      </c>
      <c r="X52" s="10">
        <v>22.27</v>
      </c>
      <c r="Y52" s="10">
        <v>22.45</v>
      </c>
      <c r="Z52" s="10">
        <v>21.94</v>
      </c>
      <c r="AA52" s="10">
        <v>22.38</v>
      </c>
      <c r="AB52" s="95">
        <v>1358600</v>
      </c>
      <c r="AC52" s="10">
        <v>22.38</v>
      </c>
      <c r="AD52" s="2">
        <f t="shared" si="0"/>
        <v>0.50999999999999801</v>
      </c>
      <c r="AE52" s="138">
        <f t="shared" si="1"/>
        <v>4.9393803322854701E-3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17.809200000000001</v>
      </c>
      <c r="Q53" s="2"/>
      <c r="T53" s="93" t="s">
        <v>107</v>
      </c>
      <c r="U53" s="90">
        <v>5158153</v>
      </c>
      <c r="W53" s="133">
        <v>42514</v>
      </c>
      <c r="X53" s="10">
        <v>22.24</v>
      </c>
      <c r="Y53" s="10">
        <v>22.49</v>
      </c>
      <c r="Z53" s="10">
        <v>22.07</v>
      </c>
      <c r="AA53" s="10">
        <v>22.27</v>
      </c>
      <c r="AB53" s="95">
        <v>1590600</v>
      </c>
      <c r="AC53" s="10">
        <v>22.27</v>
      </c>
      <c r="AD53" s="2">
        <f t="shared" si="0"/>
        <v>0.41999999999999815</v>
      </c>
      <c r="AE53" s="138">
        <f t="shared" si="1"/>
        <v>2.2502250225022724E-3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17.634600000000002</v>
      </c>
      <c r="Q54" s="2"/>
      <c r="T54" s="93" t="s">
        <v>110</v>
      </c>
      <c r="U54" s="90">
        <v>2783020</v>
      </c>
      <c r="W54" s="133">
        <v>42513</v>
      </c>
      <c r="X54" s="10">
        <v>22.18</v>
      </c>
      <c r="Y54" s="10">
        <v>22.77</v>
      </c>
      <c r="Z54" s="10">
        <v>22.11</v>
      </c>
      <c r="AA54" s="10">
        <v>22.22</v>
      </c>
      <c r="AB54" s="95">
        <v>1443400</v>
      </c>
      <c r="AC54" s="10">
        <v>22.22</v>
      </c>
      <c r="AD54" s="2">
        <f t="shared" si="0"/>
        <v>0.66000000000000014</v>
      </c>
      <c r="AE54" s="138">
        <f t="shared" si="1"/>
        <v>4.5207956600361587E-3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17.46</v>
      </c>
      <c r="Q55" s="2"/>
      <c r="T55" s="93" t="s">
        <v>108</v>
      </c>
      <c r="U55" s="88" t="s">
        <v>416</v>
      </c>
      <c r="W55" s="133">
        <v>42510</v>
      </c>
      <c r="X55" s="10">
        <v>21.89</v>
      </c>
      <c r="Y55" s="10">
        <v>22.21</v>
      </c>
      <c r="Z55" s="10">
        <v>21.79</v>
      </c>
      <c r="AA55" s="10">
        <v>22.12</v>
      </c>
      <c r="AB55" s="95">
        <v>1511600</v>
      </c>
      <c r="AC55" s="10">
        <v>22.12</v>
      </c>
      <c r="AD55" s="2">
        <f t="shared" si="0"/>
        <v>0.42000000000000171</v>
      </c>
      <c r="AE55" s="138">
        <f t="shared" si="1"/>
        <v>1.1893870082342328E-2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17.285399999999999</v>
      </c>
      <c r="Q56" s="2"/>
      <c r="T56" s="93" t="s">
        <v>111</v>
      </c>
      <c r="U56" s="88">
        <v>27.04</v>
      </c>
      <c r="W56" s="133">
        <v>42509</v>
      </c>
      <c r="X56" s="10">
        <v>21.41</v>
      </c>
      <c r="Y56" s="10">
        <v>21.97</v>
      </c>
      <c r="Z56" s="10">
        <v>21.27</v>
      </c>
      <c r="AA56" s="10">
        <v>21.86</v>
      </c>
      <c r="AB56" s="95">
        <v>2290400</v>
      </c>
      <c r="AC56" s="10">
        <v>21.86</v>
      </c>
      <c r="AD56" s="2">
        <f t="shared" si="0"/>
        <v>0.69999999999999929</v>
      </c>
      <c r="AE56" s="138">
        <f t="shared" si="1"/>
        <v>2.292934019653714E-2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17.110800000000001</v>
      </c>
      <c r="Q57" s="2"/>
      <c r="T57" s="93" t="s">
        <v>112</v>
      </c>
      <c r="U57" s="88">
        <v>0.65</v>
      </c>
      <c r="W57" s="133">
        <v>42508</v>
      </c>
      <c r="X57" s="10">
        <v>21.82</v>
      </c>
      <c r="Y57" s="10">
        <v>21.95</v>
      </c>
      <c r="Z57" s="10">
        <v>21.06</v>
      </c>
      <c r="AA57" s="10">
        <v>21.37</v>
      </c>
      <c r="AB57" s="95">
        <v>2928800</v>
      </c>
      <c r="AC57" s="10">
        <v>21.37</v>
      </c>
      <c r="AD57" s="2">
        <f t="shared" si="0"/>
        <v>0.89000000000000057</v>
      </c>
      <c r="AE57" s="138">
        <f t="shared" si="1"/>
        <v>-3.4342521464075793E-2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16.936199999999999</v>
      </c>
      <c r="T58" s="93" t="s">
        <v>109</v>
      </c>
      <c r="U58" s="88" t="s">
        <v>124</v>
      </c>
      <c r="W58" s="133">
        <v>42507</v>
      </c>
      <c r="X58" s="10">
        <v>21.92</v>
      </c>
      <c r="Y58" s="10">
        <v>22.55</v>
      </c>
      <c r="Z58" s="10">
        <v>21.72</v>
      </c>
      <c r="AA58" s="10">
        <v>22.13</v>
      </c>
      <c r="AB58" s="95">
        <v>1562400</v>
      </c>
      <c r="AC58" s="10">
        <v>22.13</v>
      </c>
      <c r="AD58" s="2">
        <f t="shared" si="0"/>
        <v>0.83000000000000185</v>
      </c>
      <c r="AE58" s="138">
        <f t="shared" si="1"/>
        <v>4.0834845735027159E-3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16.761600000000001</v>
      </c>
      <c r="W59" s="133">
        <v>42506</v>
      </c>
      <c r="X59" s="10">
        <v>22.14</v>
      </c>
      <c r="Y59" s="10">
        <v>22.27</v>
      </c>
      <c r="Z59" s="10">
        <v>21.88</v>
      </c>
      <c r="AA59" s="10">
        <v>22.04</v>
      </c>
      <c r="AB59" s="95">
        <v>1812900</v>
      </c>
      <c r="AC59" s="10">
        <v>22.04</v>
      </c>
      <c r="AD59" s="2">
        <f t="shared" si="0"/>
        <v>0.39000000000000057</v>
      </c>
      <c r="AE59" s="138">
        <f t="shared" si="1"/>
        <v>-5.8637798827244625E-3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16.587</v>
      </c>
      <c r="W60" s="133">
        <v>42503</v>
      </c>
      <c r="X60" s="10">
        <v>22.25</v>
      </c>
      <c r="Y60" s="10">
        <v>23.08</v>
      </c>
      <c r="Z60" s="10">
        <v>21.68</v>
      </c>
      <c r="AA60" s="10">
        <v>22.17</v>
      </c>
      <c r="AB60" s="95">
        <v>3448200</v>
      </c>
      <c r="AC60" s="10">
        <v>22.17</v>
      </c>
      <c r="AD60" s="2">
        <f t="shared" si="0"/>
        <v>1.3999999999999986</v>
      </c>
      <c r="AE60" s="138">
        <f t="shared" si="1"/>
        <v>-1.1150758251561088E-2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16.412399999999998</v>
      </c>
      <c r="W61" s="133">
        <v>42502</v>
      </c>
      <c r="X61" s="10">
        <v>22.43</v>
      </c>
      <c r="Y61" s="10">
        <v>22.86</v>
      </c>
      <c r="Z61" s="10">
        <v>22.36</v>
      </c>
      <c r="AA61" s="10">
        <v>22.42</v>
      </c>
      <c r="AB61" s="95">
        <v>3179200</v>
      </c>
      <c r="AC61" s="10">
        <v>22.42</v>
      </c>
      <c r="AD61" s="2">
        <f t="shared" si="0"/>
        <v>0.5</v>
      </c>
      <c r="AE61" s="138">
        <f t="shared" si="1"/>
        <v>1.1276499774470095E-2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16.2378</v>
      </c>
      <c r="W62" s="133">
        <v>42501</v>
      </c>
      <c r="X62" s="10">
        <v>23.31</v>
      </c>
      <c r="Y62" s="10">
        <v>23.62</v>
      </c>
      <c r="Z62" s="10">
        <v>22.09</v>
      </c>
      <c r="AA62" s="10">
        <v>22.17</v>
      </c>
      <c r="AB62" s="95">
        <v>4920000</v>
      </c>
      <c r="AC62" s="10">
        <v>22.17</v>
      </c>
      <c r="AD62" s="2">
        <f t="shared" si="0"/>
        <v>1.5300000000000011</v>
      </c>
      <c r="AE62" s="138">
        <f t="shared" si="1"/>
        <v>-7.893643539675943E-2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16.063200000000002</v>
      </c>
      <c r="W63" s="133">
        <v>42500</v>
      </c>
      <c r="X63" s="10">
        <v>23.7</v>
      </c>
      <c r="Y63" s="10">
        <v>24.19</v>
      </c>
      <c r="Z63" s="10">
        <v>23.63</v>
      </c>
      <c r="AA63" s="10">
        <v>24.07</v>
      </c>
      <c r="AB63" s="95">
        <v>2125500</v>
      </c>
      <c r="AC63" s="10">
        <v>24.07</v>
      </c>
      <c r="AD63" s="2">
        <f t="shared" si="0"/>
        <v>0.56000000000000227</v>
      </c>
      <c r="AE63" s="138">
        <f t="shared" si="1"/>
        <v>1.561181434599157E-2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15.888600000000002</v>
      </c>
      <c r="W64" s="133">
        <v>42499</v>
      </c>
      <c r="X64" s="10">
        <v>23.58</v>
      </c>
      <c r="Y64" s="10">
        <v>23.8</v>
      </c>
      <c r="Z64" s="10">
        <v>23.43</v>
      </c>
      <c r="AA64" s="10">
        <v>23.7</v>
      </c>
      <c r="AB64" s="95">
        <v>2048800</v>
      </c>
      <c r="AC64" s="10">
        <v>23.7</v>
      </c>
      <c r="AD64" s="2">
        <f t="shared" si="0"/>
        <v>0.37000000000000099</v>
      </c>
      <c r="AE64" s="138">
        <f t="shared" si="1"/>
        <v>-4.2176296921137002E-4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15.714</v>
      </c>
      <c r="W65" s="133">
        <v>42496</v>
      </c>
      <c r="X65" s="10">
        <v>24</v>
      </c>
      <c r="Y65" s="10">
        <v>24.05</v>
      </c>
      <c r="Z65" s="10">
        <v>23.58</v>
      </c>
      <c r="AA65" s="10">
        <v>23.71</v>
      </c>
      <c r="AB65" s="95">
        <v>2022700</v>
      </c>
      <c r="AC65" s="10">
        <v>23.71</v>
      </c>
      <c r="AD65" s="2">
        <f t="shared" si="0"/>
        <v>0.47000000000000242</v>
      </c>
      <c r="AE65" s="138">
        <f t="shared" si="1"/>
        <v>-1.6590626296142608E-2</v>
      </c>
    </row>
    <row r="66" spans="1:31" x14ac:dyDescent="0.25">
      <c r="O66" s="34"/>
      <c r="W66" s="133">
        <v>42495</v>
      </c>
      <c r="X66" s="10">
        <v>24.28</v>
      </c>
      <c r="Y66" s="10">
        <v>25.09</v>
      </c>
      <c r="Z66" s="10">
        <v>23.87</v>
      </c>
      <c r="AA66" s="10">
        <v>24.11</v>
      </c>
      <c r="AB66" s="95">
        <v>2715100</v>
      </c>
      <c r="AC66" s="10">
        <v>24.11</v>
      </c>
      <c r="AD66" s="2">
        <f t="shared" si="0"/>
        <v>1.2199999999999989</v>
      </c>
      <c r="AE66" s="138">
        <f t="shared" si="1"/>
        <v>-1.872201872201873E-2</v>
      </c>
    </row>
    <row r="67" spans="1:31" x14ac:dyDescent="0.25">
      <c r="W67" s="133">
        <v>42494</v>
      </c>
      <c r="X67" s="10">
        <v>25.22</v>
      </c>
      <c r="Y67" s="10">
        <v>25.55</v>
      </c>
      <c r="Z67" s="10">
        <v>24.33</v>
      </c>
      <c r="AA67" s="10">
        <v>24.57</v>
      </c>
      <c r="AB67" s="95">
        <v>4326600</v>
      </c>
      <c r="AC67" s="10">
        <v>24.57</v>
      </c>
      <c r="AD67" s="2">
        <f>Y67-Z67</f>
        <v>1.2200000000000024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3" priority="27">
      <formula>F27&gt;0</formula>
    </cfRule>
    <cfRule type="expression" dxfId="262" priority="28">
      <formula>F27&lt;0</formula>
    </cfRule>
  </conditionalFormatting>
  <conditionalFormatting sqref="F29:F33">
    <cfRule type="expression" dxfId="261" priority="23">
      <formula>F29&gt;0</formula>
    </cfRule>
    <cfRule type="expression" dxfId="260" priority="24">
      <formula>F29&lt;0</formula>
    </cfRule>
  </conditionalFormatting>
  <conditionalFormatting sqref="F29:F32">
    <cfRule type="expression" dxfId="259" priority="25">
      <formula>F29&gt;0</formula>
    </cfRule>
    <cfRule type="expression" dxfId="258" priority="26">
      <formula>F29&lt;0</formula>
    </cfRule>
  </conditionalFormatting>
  <conditionalFormatting sqref="H27:H33">
    <cfRule type="expression" dxfId="257" priority="21">
      <formula>H27&gt;0</formula>
    </cfRule>
    <cfRule type="expression" dxfId="256" priority="22">
      <formula>H27&lt;0</formula>
    </cfRule>
  </conditionalFormatting>
  <conditionalFormatting sqref="F34">
    <cfRule type="expression" dxfId="255" priority="19">
      <formula>F34&gt;0</formula>
    </cfRule>
    <cfRule type="expression" dxfId="254" priority="20">
      <formula>F34&lt;0</formula>
    </cfRule>
  </conditionalFormatting>
  <conditionalFormatting sqref="H34">
    <cfRule type="expression" dxfId="253" priority="17">
      <formula>H34&gt;0</formula>
    </cfRule>
    <cfRule type="expression" dxfId="252" priority="18">
      <formula>H34&lt;0</formula>
    </cfRule>
  </conditionalFormatting>
  <conditionalFormatting sqref="F36:F43">
    <cfRule type="expression" dxfId="251" priority="15">
      <formula>F36&gt;0</formula>
    </cfRule>
    <cfRule type="expression" dxfId="250" priority="16">
      <formula>F36&lt;0</formula>
    </cfRule>
  </conditionalFormatting>
  <conditionalFormatting sqref="H36:H43">
    <cfRule type="expression" dxfId="249" priority="13">
      <formula>H36&gt;0</formula>
    </cfRule>
    <cfRule type="expression" dxfId="248" priority="14">
      <formula>H36&lt;0</formula>
    </cfRule>
  </conditionalFormatting>
  <conditionalFormatting sqref="F35">
    <cfRule type="expression" dxfId="247" priority="11">
      <formula>F35&gt;0</formula>
    </cfRule>
    <cfRule type="expression" dxfId="246" priority="12">
      <formula>F35&lt;0</formula>
    </cfRule>
  </conditionalFormatting>
  <conditionalFormatting sqref="H35">
    <cfRule type="expression" dxfId="245" priority="9">
      <formula>H35&gt;0</formula>
    </cfRule>
    <cfRule type="expression" dxfId="244" priority="10">
      <formula>H35&lt;0</formula>
    </cfRule>
  </conditionalFormatting>
  <conditionalFormatting sqref="F22:F26">
    <cfRule type="expression" dxfId="243" priority="7">
      <formula>F22&gt;0</formula>
    </cfRule>
    <cfRule type="expression" dxfId="242" priority="8">
      <formula>F22&lt;0</formula>
    </cfRule>
  </conditionalFormatting>
  <conditionalFormatting sqref="H22:H26">
    <cfRule type="expression" dxfId="241" priority="5">
      <formula>H22&gt;0</formula>
    </cfRule>
    <cfRule type="expression" dxfId="240" priority="6">
      <formula>H22&lt;0</formula>
    </cfRule>
  </conditionalFormatting>
  <conditionalFormatting sqref="Q8">
    <cfRule type="expression" dxfId="239" priority="1">
      <formula>Q8&gt;0</formula>
    </cfRule>
    <cfRule type="expression" dxfId="238" priority="2">
      <formula>Q8&lt;0</formula>
    </cfRule>
  </conditionalFormatting>
  <conditionalFormatting sqref="Q7">
    <cfRule type="expression" dxfId="237" priority="3">
      <formula>Q7&gt;0</formula>
    </cfRule>
    <cfRule type="expression" dxfId="23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42587</v>
      </c>
      <c r="X2" s="10">
        <v>53.43</v>
      </c>
      <c r="Y2" s="10">
        <v>53.99</v>
      </c>
      <c r="Z2" s="10">
        <v>53.31</v>
      </c>
      <c r="AA2" s="10">
        <v>53.75</v>
      </c>
      <c r="AB2" s="95">
        <v>3260000</v>
      </c>
      <c r="AC2" s="10">
        <v>53.75</v>
      </c>
      <c r="AD2" s="2">
        <f>Y2-Z2</f>
        <v>0.67999999999999972</v>
      </c>
      <c r="AE2" s="138">
        <f>AC2/AC3-1</f>
        <v>8.821321321321296E-3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54.16</v>
      </c>
      <c r="T3" s="1">
        <v>42312</v>
      </c>
      <c r="U3" t="s">
        <v>152</v>
      </c>
      <c r="W3" s="133">
        <v>42586</v>
      </c>
      <c r="X3" s="10">
        <v>53.51</v>
      </c>
      <c r="Y3" s="10">
        <v>53.78</v>
      </c>
      <c r="Z3" s="10">
        <v>53.25</v>
      </c>
      <c r="AA3" s="10">
        <v>53.28</v>
      </c>
      <c r="AB3" s="95">
        <v>2537800</v>
      </c>
      <c r="AC3" s="10">
        <v>53.28</v>
      </c>
      <c r="AD3" s="2">
        <f t="shared" ref="AD3:AD66" si="0">Y3-Z3</f>
        <v>0.53000000000000114</v>
      </c>
      <c r="AE3" s="138">
        <f t="shared" ref="AE3:AE66" si="1">AC3/AC4-1</f>
        <v>-4.2982620071013722E-3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54.16</v>
      </c>
      <c r="W4" s="133">
        <v>42585</v>
      </c>
      <c r="X4" s="10">
        <v>53.55</v>
      </c>
      <c r="Y4" s="10">
        <v>53.58</v>
      </c>
      <c r="Z4" s="10">
        <v>53.09</v>
      </c>
      <c r="AA4" s="10">
        <v>53.51</v>
      </c>
      <c r="AB4" s="95">
        <v>2780900</v>
      </c>
      <c r="AC4" s="10">
        <v>53.51</v>
      </c>
      <c r="AD4" s="2">
        <f t="shared" si="0"/>
        <v>0.48999999999999488</v>
      </c>
      <c r="AE4" s="138">
        <f t="shared" si="1"/>
        <v>-5.7599405425492467E-3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42584</v>
      </c>
      <c r="X5" s="10">
        <v>53.93</v>
      </c>
      <c r="Y5" s="10">
        <v>54.06</v>
      </c>
      <c r="Z5" s="10">
        <v>53.09</v>
      </c>
      <c r="AA5" s="10">
        <v>53.82</v>
      </c>
      <c r="AB5" s="95">
        <v>5514500</v>
      </c>
      <c r="AC5" s="10">
        <v>53.82</v>
      </c>
      <c r="AD5" s="2">
        <f t="shared" si="0"/>
        <v>0.96999999999999886</v>
      </c>
      <c r="AE5" s="138">
        <f t="shared" si="1"/>
        <v>-2.7793218454696955E-3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42583</v>
      </c>
      <c r="X6" s="10">
        <v>52.58</v>
      </c>
      <c r="Y6" s="10">
        <v>54.53</v>
      </c>
      <c r="Z6" s="10">
        <v>52.41</v>
      </c>
      <c r="AA6" s="10">
        <v>53.97</v>
      </c>
      <c r="AB6" s="95">
        <v>10461500</v>
      </c>
      <c r="AC6" s="10">
        <v>53.97</v>
      </c>
      <c r="AD6" s="2">
        <f t="shared" si="0"/>
        <v>2.1200000000000045</v>
      </c>
      <c r="AE6" s="138">
        <f t="shared" si="1"/>
        <v>2.8783835303088035E-2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188</v>
      </c>
      <c r="Q7" s="2">
        <f>Q10+Q8</f>
        <v>75.019999999999982</v>
      </c>
      <c r="R7">
        <v>0</v>
      </c>
      <c r="W7" s="133">
        <v>42580</v>
      </c>
      <c r="X7" s="10">
        <v>51.82</v>
      </c>
      <c r="Y7" s="10">
        <v>53.75</v>
      </c>
      <c r="Z7" s="10">
        <v>51.82</v>
      </c>
      <c r="AA7" s="10">
        <v>52.46</v>
      </c>
      <c r="AB7" s="95">
        <v>11512700</v>
      </c>
      <c r="AC7" s="10">
        <v>52.46</v>
      </c>
      <c r="AD7" s="2">
        <f t="shared" si="0"/>
        <v>1.9299999999999997</v>
      </c>
      <c r="AE7" s="138">
        <f t="shared" si="1"/>
        <v>6.215833164608231E-2</v>
      </c>
    </row>
    <row r="8" spans="1:41" x14ac:dyDescent="0.25">
      <c r="O8" s="11" t="s">
        <v>192</v>
      </c>
      <c r="P8" s="34"/>
      <c r="Q8" s="2">
        <f>K18+M18-F18+Q2*Q4</f>
        <v>0</v>
      </c>
      <c r="W8" s="133">
        <v>42579</v>
      </c>
      <c r="X8" s="10">
        <v>49.09</v>
      </c>
      <c r="Y8" s="10">
        <v>49.51</v>
      </c>
      <c r="Z8" s="10">
        <v>48.78</v>
      </c>
      <c r="AA8" s="10">
        <v>49.39</v>
      </c>
      <c r="AB8" s="95">
        <v>3742400</v>
      </c>
      <c r="AC8" s="10">
        <v>49.39</v>
      </c>
      <c r="AD8" s="2">
        <f t="shared" si="0"/>
        <v>0.72999999999999687</v>
      </c>
      <c r="AE8" s="138">
        <f t="shared" si="1"/>
        <v>4.6786004882017895E-3</v>
      </c>
    </row>
    <row r="9" spans="1:41" x14ac:dyDescent="0.25">
      <c r="O9" s="11" t="s">
        <v>231</v>
      </c>
      <c r="Q9" s="138">
        <f>IF(Q2=0, 0, Q8/Q6)</f>
        <v>0</v>
      </c>
      <c r="W9" s="133">
        <v>42578</v>
      </c>
      <c r="X9" s="10">
        <v>49.58</v>
      </c>
      <c r="Y9" s="10">
        <v>49.93</v>
      </c>
      <c r="Z9" s="10">
        <v>48.99</v>
      </c>
      <c r="AA9" s="10">
        <v>49.16</v>
      </c>
      <c r="AB9" s="95">
        <v>3298700</v>
      </c>
      <c r="AC9" s="10">
        <v>49.16</v>
      </c>
      <c r="AD9" s="2">
        <f t="shared" si="0"/>
        <v>0.93999999999999773</v>
      </c>
      <c r="AE9" s="138">
        <f t="shared" si="1"/>
        <v>-8.0710250201776468E-3</v>
      </c>
    </row>
    <row r="10" spans="1:41" x14ac:dyDescent="0.25">
      <c r="O10" s="11" t="s">
        <v>230</v>
      </c>
      <c r="P10" s="34"/>
      <c r="Q10" s="2">
        <f>M36</f>
        <v>75.019999999999982</v>
      </c>
      <c r="W10" s="133">
        <v>42577</v>
      </c>
      <c r="X10" s="10">
        <v>49.09</v>
      </c>
      <c r="Y10" s="10">
        <v>49.63</v>
      </c>
      <c r="Z10" s="10">
        <v>49.01</v>
      </c>
      <c r="AA10" s="10">
        <v>49.56</v>
      </c>
      <c r="AB10" s="95">
        <v>3131300</v>
      </c>
      <c r="AC10" s="10">
        <v>49.56</v>
      </c>
      <c r="AD10" s="2">
        <f t="shared" si="0"/>
        <v>0.62000000000000455</v>
      </c>
      <c r="AE10" s="138">
        <f t="shared" si="1"/>
        <v>1.2048192771084487E-2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1.41E-2</v>
      </c>
      <c r="W11" s="133">
        <v>42576</v>
      </c>
      <c r="X11" s="10">
        <v>48.75</v>
      </c>
      <c r="Y11" s="10">
        <v>49</v>
      </c>
      <c r="Z11" s="10">
        <v>48.42</v>
      </c>
      <c r="AA11" s="10">
        <v>48.97</v>
      </c>
      <c r="AB11" s="95">
        <v>1879800</v>
      </c>
      <c r="AC11" s="10">
        <v>48.97</v>
      </c>
      <c r="AD11" s="2">
        <f t="shared" si="0"/>
        <v>0.57999999999999829</v>
      </c>
      <c r="AE11" s="138">
        <f t="shared" si="1"/>
        <v>-2.0416496529196415E-4</v>
      </c>
    </row>
    <row r="12" spans="1:41" x14ac:dyDescent="0.25">
      <c r="W12" s="133">
        <v>42573</v>
      </c>
      <c r="X12" s="10">
        <v>48.74</v>
      </c>
      <c r="Y12" s="10">
        <v>49.08</v>
      </c>
      <c r="Z12" s="10">
        <v>48.68</v>
      </c>
      <c r="AA12" s="10">
        <v>48.98</v>
      </c>
      <c r="AB12" s="95">
        <v>2673500</v>
      </c>
      <c r="AC12" s="10">
        <v>48.98</v>
      </c>
      <c r="AD12" s="2">
        <f t="shared" si="0"/>
        <v>0.39999999999999858</v>
      </c>
      <c r="AE12" s="138">
        <f t="shared" si="1"/>
        <v>7.4043603455367091E-3</v>
      </c>
    </row>
    <row r="13" spans="1:41" x14ac:dyDescent="0.25">
      <c r="W13" s="133">
        <v>42572</v>
      </c>
      <c r="X13" s="10">
        <v>48.71</v>
      </c>
      <c r="Y13" s="10">
        <v>48.83</v>
      </c>
      <c r="Z13" s="10">
        <v>48.45</v>
      </c>
      <c r="AA13" s="10">
        <v>48.62</v>
      </c>
      <c r="AB13" s="95">
        <v>2463600</v>
      </c>
      <c r="AC13" s="10">
        <v>48.62</v>
      </c>
      <c r="AD13" s="2">
        <f t="shared" si="0"/>
        <v>0.37999999999999545</v>
      </c>
      <c r="AE13" s="138">
        <f t="shared" si="1"/>
        <v>-4.300634855621599E-3</v>
      </c>
    </row>
    <row r="14" spans="1:41" x14ac:dyDescent="0.25">
      <c r="W14" s="133">
        <v>42571</v>
      </c>
      <c r="X14" s="10">
        <v>48.24</v>
      </c>
      <c r="Y14" s="10">
        <v>48.89</v>
      </c>
      <c r="Z14" s="10">
        <v>48.07</v>
      </c>
      <c r="AA14" s="10">
        <v>48.83</v>
      </c>
      <c r="AB14" s="95">
        <v>2701700</v>
      </c>
      <c r="AC14" s="10">
        <v>48.83</v>
      </c>
      <c r="AD14" s="2">
        <f t="shared" si="0"/>
        <v>0.82000000000000028</v>
      </c>
      <c r="AE14" s="138">
        <f t="shared" si="1"/>
        <v>1.6444629475437011E-2</v>
      </c>
    </row>
    <row r="15" spans="1:41" x14ac:dyDescent="0.25">
      <c r="W15" s="133">
        <v>42570</v>
      </c>
      <c r="X15" s="10">
        <v>48.09</v>
      </c>
      <c r="Y15" s="10">
        <v>48.39</v>
      </c>
      <c r="Z15" s="10">
        <v>47.41</v>
      </c>
      <c r="AA15" s="10">
        <v>48.04</v>
      </c>
      <c r="AB15" s="95">
        <v>2349800</v>
      </c>
      <c r="AC15" s="10">
        <v>48.04</v>
      </c>
      <c r="AD15" s="2">
        <f t="shared" si="0"/>
        <v>0.98000000000000398</v>
      </c>
      <c r="AE15" s="138">
        <f t="shared" si="1"/>
        <v>-5.5889049886153064E-3</v>
      </c>
    </row>
    <row r="16" spans="1:41" x14ac:dyDescent="0.25">
      <c r="W16" s="133">
        <v>42569</v>
      </c>
      <c r="X16" s="10">
        <v>48.61</v>
      </c>
      <c r="Y16" s="10">
        <v>48.84</v>
      </c>
      <c r="Z16" s="10">
        <v>48.13</v>
      </c>
      <c r="AA16" s="10">
        <v>48.31</v>
      </c>
      <c r="AB16" s="95">
        <v>2853400</v>
      </c>
      <c r="AC16" s="10">
        <v>48.31</v>
      </c>
      <c r="AD16" s="2">
        <f t="shared" si="0"/>
        <v>0.71000000000000085</v>
      </c>
      <c r="AE16" s="138">
        <f t="shared" si="1"/>
        <v>-7.8044773054014582E-3</v>
      </c>
    </row>
    <row r="17" spans="1:31" x14ac:dyDescent="0.25">
      <c r="W17" s="133">
        <v>42566</v>
      </c>
      <c r="X17" s="10">
        <v>48.8</v>
      </c>
      <c r="Y17" s="10">
        <v>48.96</v>
      </c>
      <c r="Z17" s="10">
        <v>48.55</v>
      </c>
      <c r="AA17" s="10">
        <v>48.69</v>
      </c>
      <c r="AB17" s="95">
        <v>2316100</v>
      </c>
      <c r="AC17" s="10">
        <v>48.69</v>
      </c>
      <c r="AD17" s="2">
        <f t="shared" si="0"/>
        <v>0.41000000000000369</v>
      </c>
      <c r="AE17" s="138">
        <f t="shared" si="1"/>
        <v>-6.1576354679804268E-4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42565</v>
      </c>
      <c r="X18" s="10">
        <v>49.24</v>
      </c>
      <c r="Y18" s="10">
        <v>49.5</v>
      </c>
      <c r="Z18" s="10">
        <v>48.64</v>
      </c>
      <c r="AA18" s="10">
        <v>48.72</v>
      </c>
      <c r="AB18" s="95">
        <v>2921200</v>
      </c>
      <c r="AC18" s="10">
        <v>48.72</v>
      </c>
      <c r="AD18" s="2">
        <f t="shared" si="0"/>
        <v>0.85999999999999943</v>
      </c>
      <c r="AE18" s="138">
        <f t="shared" si="1"/>
        <v>-5.1051664284255116E-3</v>
      </c>
    </row>
    <row r="19" spans="1:31" x14ac:dyDescent="0.25">
      <c r="G19" s="2"/>
      <c r="W19" s="133">
        <v>42564</v>
      </c>
      <c r="X19" s="10">
        <v>49.29</v>
      </c>
      <c r="Y19" s="10">
        <v>49.41</v>
      </c>
      <c r="Z19" s="10">
        <v>48.61</v>
      </c>
      <c r="AA19" s="10">
        <v>48.97</v>
      </c>
      <c r="AB19" s="95">
        <v>2958700</v>
      </c>
      <c r="AC19" s="10">
        <v>48.97</v>
      </c>
      <c r="AD19" s="2">
        <f t="shared" si="0"/>
        <v>0.79999999999999716</v>
      </c>
      <c r="AE19" s="138">
        <f t="shared" si="1"/>
        <v>-6.4921890850071495E-3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42563</v>
      </c>
      <c r="X20" s="10">
        <v>49.09</v>
      </c>
      <c r="Y20" s="10">
        <v>49.42</v>
      </c>
      <c r="Z20" s="10">
        <v>48.88</v>
      </c>
      <c r="AA20" s="10">
        <v>49.29</v>
      </c>
      <c r="AB20" s="95">
        <v>10751400</v>
      </c>
      <c r="AC20" s="10">
        <v>49.29</v>
      </c>
      <c r="AD20" s="2">
        <f t="shared" si="0"/>
        <v>0.53999999999999915</v>
      </c>
      <c r="AE20" s="138">
        <f t="shared" si="1"/>
        <v>1.4406256431364284E-2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42562</v>
      </c>
      <c r="X21" s="10">
        <v>48.93</v>
      </c>
      <c r="Y21" s="10">
        <v>49.33</v>
      </c>
      <c r="Z21" s="10">
        <v>48.56</v>
      </c>
      <c r="AA21" s="10">
        <v>48.59</v>
      </c>
      <c r="AB21" s="95">
        <v>5338500</v>
      </c>
      <c r="AC21" s="10">
        <v>48.59</v>
      </c>
      <c r="AD21" s="2">
        <f t="shared" si="0"/>
        <v>0.76999999999999602</v>
      </c>
      <c r="AE21" s="138">
        <f t="shared" si="1"/>
        <v>-5.5259926320097019E-3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42559</v>
      </c>
      <c r="X22" s="10">
        <v>48.52</v>
      </c>
      <c r="Y22" s="10">
        <v>49.2</v>
      </c>
      <c r="Z22" s="10">
        <v>48.43</v>
      </c>
      <c r="AA22" s="10">
        <v>48.86</v>
      </c>
      <c r="AB22" s="95">
        <v>3488200</v>
      </c>
      <c r="AC22" s="10">
        <v>48.86</v>
      </c>
      <c r="AD22" s="2">
        <f t="shared" si="0"/>
        <v>0.77000000000000313</v>
      </c>
      <c r="AE22" s="138">
        <f t="shared" si="1"/>
        <v>1.558927457908954E-2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42558</v>
      </c>
      <c r="X23" s="10">
        <v>48.19</v>
      </c>
      <c r="Y23" s="10">
        <v>48.62</v>
      </c>
      <c r="Z23" s="10">
        <v>47.68</v>
      </c>
      <c r="AA23" s="10">
        <v>48.11</v>
      </c>
      <c r="AB23" s="95">
        <v>2793300</v>
      </c>
      <c r="AC23" s="10">
        <v>48.11</v>
      </c>
      <c r="AD23" s="2">
        <f t="shared" si="0"/>
        <v>0.93999999999999773</v>
      </c>
      <c r="AE23" s="138">
        <f t="shared" si="1"/>
        <v>-1.2455885405854294E-3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42557</v>
      </c>
      <c r="X24" s="10">
        <v>47.76</v>
      </c>
      <c r="Y24" s="10">
        <v>48.2</v>
      </c>
      <c r="Z24" s="10">
        <v>47.07</v>
      </c>
      <c r="AA24" s="10">
        <v>48.17</v>
      </c>
      <c r="AB24" s="95">
        <v>5170100</v>
      </c>
      <c r="AC24" s="10">
        <v>48.17</v>
      </c>
      <c r="AD24" s="2">
        <f t="shared" si="0"/>
        <v>1.1300000000000026</v>
      </c>
      <c r="AE24" s="138">
        <f t="shared" si="1"/>
        <v>3.1236984589753103E-3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42556</v>
      </c>
      <c r="X25" s="10">
        <v>48.41</v>
      </c>
      <c r="Y25" s="10">
        <v>48.69</v>
      </c>
      <c r="Z25" s="10">
        <v>47.51</v>
      </c>
      <c r="AA25" s="10">
        <v>48.02</v>
      </c>
      <c r="AB25" s="95">
        <v>3022000</v>
      </c>
      <c r="AC25" s="10">
        <v>48.02</v>
      </c>
      <c r="AD25" s="2">
        <f t="shared" si="0"/>
        <v>1.1799999999999997</v>
      </c>
      <c r="AE25" s="138">
        <f t="shared" si="1"/>
        <v>-1.5580155801558027E-2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42552</v>
      </c>
      <c r="X26" s="10">
        <v>48.57</v>
      </c>
      <c r="Y26" s="10">
        <v>49.26</v>
      </c>
      <c r="Z26" s="10">
        <v>48.47</v>
      </c>
      <c r="AA26" s="10">
        <v>48.78</v>
      </c>
      <c r="AB26" s="95">
        <v>3187000</v>
      </c>
      <c r="AC26" s="10">
        <v>48.78</v>
      </c>
      <c r="AD26" s="2">
        <f t="shared" si="0"/>
        <v>0.78999999999999915</v>
      </c>
      <c r="AE26" s="138">
        <f t="shared" si="1"/>
        <v>4.3236565781346048E-3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42551</v>
      </c>
      <c r="X27" s="10">
        <v>47.88</v>
      </c>
      <c r="Y27" s="10">
        <v>48.7</v>
      </c>
      <c r="Z27" s="10">
        <v>47.6</v>
      </c>
      <c r="AA27" s="10">
        <v>48.57</v>
      </c>
      <c r="AB27" s="95">
        <v>4978000</v>
      </c>
      <c r="AC27" s="10">
        <v>48.57</v>
      </c>
      <c r="AD27" s="2">
        <f t="shared" si="0"/>
        <v>1.1000000000000014</v>
      </c>
      <c r="AE27" s="138">
        <f t="shared" si="1"/>
        <v>1.5259197324414719E-2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42550</v>
      </c>
      <c r="X28" s="10">
        <v>47.53</v>
      </c>
      <c r="Y28" s="10">
        <v>48.19</v>
      </c>
      <c r="Z28" s="10">
        <v>47.53</v>
      </c>
      <c r="AA28" s="10">
        <v>47.84</v>
      </c>
      <c r="AB28" s="95">
        <v>4270600</v>
      </c>
      <c r="AC28" s="10">
        <v>47.84</v>
      </c>
      <c r="AD28" s="2">
        <f t="shared" si="0"/>
        <v>0.65999999999999659</v>
      </c>
      <c r="AE28" s="138">
        <f t="shared" si="1"/>
        <v>1.873935264054527E-2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42549</v>
      </c>
      <c r="X29" s="10">
        <v>45.67</v>
      </c>
      <c r="Y29" s="10">
        <v>46.96</v>
      </c>
      <c r="Z29" s="10">
        <v>45.57</v>
      </c>
      <c r="AA29" s="10">
        <v>46.96</v>
      </c>
      <c r="AB29" s="95">
        <v>5266700</v>
      </c>
      <c r="AC29" s="10">
        <v>46.96</v>
      </c>
      <c r="AD29" s="2">
        <f t="shared" si="0"/>
        <v>1.3900000000000006</v>
      </c>
      <c r="AE29" s="138">
        <f t="shared" si="1"/>
        <v>4.1703637976929997E-2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42548</v>
      </c>
      <c r="X30" s="10">
        <v>45.85</v>
      </c>
      <c r="Y30" s="10">
        <v>45.96</v>
      </c>
      <c r="Z30" s="10">
        <v>44.83</v>
      </c>
      <c r="AA30" s="10">
        <v>45.08</v>
      </c>
      <c r="AB30" s="95">
        <v>6297100</v>
      </c>
      <c r="AC30" s="10">
        <v>45.08</v>
      </c>
      <c r="AD30" s="2">
        <f t="shared" si="0"/>
        <v>1.1300000000000026</v>
      </c>
      <c r="AE30" s="138">
        <f t="shared" si="1"/>
        <v>-3.0746076112663889E-2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194</v>
      </c>
      <c r="W31" s="133">
        <v>42545</v>
      </c>
      <c r="X31" s="10">
        <v>47.1</v>
      </c>
      <c r="Y31" s="10">
        <v>48.16</v>
      </c>
      <c r="Z31" s="10">
        <v>46.27</v>
      </c>
      <c r="AA31" s="10">
        <v>46.51</v>
      </c>
      <c r="AB31" s="95">
        <v>8470500</v>
      </c>
      <c r="AC31" s="10">
        <v>46.51</v>
      </c>
      <c r="AD31" s="2">
        <f t="shared" si="0"/>
        <v>1.8899999999999935</v>
      </c>
      <c r="AE31" s="138">
        <f t="shared" si="1"/>
        <v>-5.9644156894460232E-2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42544</v>
      </c>
      <c r="X32" s="10">
        <v>49.02</v>
      </c>
      <c r="Y32" s="10">
        <v>49.49</v>
      </c>
      <c r="Z32" s="10">
        <v>48.99</v>
      </c>
      <c r="AA32" s="10">
        <v>49.46</v>
      </c>
      <c r="AB32" s="95">
        <v>3091700</v>
      </c>
      <c r="AC32" s="10">
        <v>49.46</v>
      </c>
      <c r="AD32" s="2">
        <f t="shared" si="0"/>
        <v>0.5</v>
      </c>
      <c r="AE32" s="138">
        <f t="shared" si="1"/>
        <v>1.8114450391107484E-2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42543</v>
      </c>
      <c r="X33" s="10">
        <v>48.51</v>
      </c>
      <c r="Y33" s="10">
        <v>49.06</v>
      </c>
      <c r="Z33" s="10">
        <v>48.43</v>
      </c>
      <c r="AA33" s="10">
        <v>48.58</v>
      </c>
      <c r="AB33" s="95">
        <v>3230600</v>
      </c>
      <c r="AC33" s="10">
        <v>48.58</v>
      </c>
      <c r="AD33" s="2">
        <f t="shared" si="0"/>
        <v>0.63000000000000256</v>
      </c>
      <c r="AE33" s="138">
        <f t="shared" si="1"/>
        <v>1.4430014430013571E-3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42542</v>
      </c>
      <c r="X34" s="10">
        <v>48.88</v>
      </c>
      <c r="Y34" s="10">
        <v>48.96</v>
      </c>
      <c r="Z34" s="10">
        <v>48.23</v>
      </c>
      <c r="AA34" s="10">
        <v>48.51</v>
      </c>
      <c r="AB34" s="95">
        <v>3423100</v>
      </c>
      <c r="AC34" s="10">
        <v>48.51</v>
      </c>
      <c r="AD34" s="2">
        <f t="shared" si="0"/>
        <v>0.73000000000000398</v>
      </c>
      <c r="AE34" s="138">
        <f t="shared" si="1"/>
        <v>-2.0571898786257981E-3</v>
      </c>
    </row>
    <row r="35" spans="1:31" x14ac:dyDescent="0.25">
      <c r="W35" s="133">
        <v>42541</v>
      </c>
      <c r="X35" s="10">
        <v>48.85</v>
      </c>
      <c r="Y35" s="10">
        <v>49.21</v>
      </c>
      <c r="Z35" s="10">
        <v>48.51</v>
      </c>
      <c r="AA35" s="10">
        <v>48.61</v>
      </c>
      <c r="AB35" s="95">
        <v>3318900</v>
      </c>
      <c r="AC35" s="10">
        <v>48.61</v>
      </c>
      <c r="AD35" s="2">
        <f t="shared" si="0"/>
        <v>0.70000000000000284</v>
      </c>
      <c r="AE35" s="138">
        <f t="shared" si="1"/>
        <v>4.9617531527808012E-3</v>
      </c>
    </row>
    <row r="36" spans="1:31" x14ac:dyDescent="0.25">
      <c r="L36" t="s">
        <v>232</v>
      </c>
      <c r="M36" s="2">
        <f>M50+K50-F50</f>
        <v>75.019999999999982</v>
      </c>
      <c r="W36" s="133">
        <v>42538</v>
      </c>
      <c r="X36" s="10">
        <v>48.7</v>
      </c>
      <c r="Y36" s="10">
        <v>48.92</v>
      </c>
      <c r="Z36" s="10">
        <v>48.27</v>
      </c>
      <c r="AA36" s="10">
        <v>48.37</v>
      </c>
      <c r="AB36" s="95">
        <v>8023600</v>
      </c>
      <c r="AC36" s="10">
        <v>48.37</v>
      </c>
      <c r="AD36" s="2">
        <f t="shared" si="0"/>
        <v>0.64999999999999858</v>
      </c>
      <c r="AE36" s="138">
        <f t="shared" si="1"/>
        <v>-7.1839080459770166E-3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42537</v>
      </c>
      <c r="X37" s="10">
        <v>48.26</v>
      </c>
      <c r="Y37" s="10">
        <v>48.78</v>
      </c>
      <c r="Z37" s="10">
        <v>47.89</v>
      </c>
      <c r="AA37" s="10">
        <v>48.72</v>
      </c>
      <c r="AB37" s="95">
        <v>3182300</v>
      </c>
      <c r="AC37" s="10">
        <v>48.72</v>
      </c>
      <c r="AD37" s="2">
        <f t="shared" si="0"/>
        <v>0.89000000000000057</v>
      </c>
      <c r="AE37" s="138">
        <f t="shared" si="1"/>
        <v>5.3652496904663671E-3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42536</v>
      </c>
      <c r="X38" s="10">
        <v>48.31</v>
      </c>
      <c r="Y38" s="10">
        <v>49.08</v>
      </c>
      <c r="Z38" s="10">
        <v>47.95</v>
      </c>
      <c r="AA38" s="10">
        <v>48.46</v>
      </c>
      <c r="AB38" s="95">
        <v>3602300</v>
      </c>
      <c r="AC38" s="10">
        <v>48.46</v>
      </c>
      <c r="AD38" s="2">
        <f t="shared" si="0"/>
        <v>1.1299999999999955</v>
      </c>
      <c r="AE38" s="138">
        <f t="shared" si="1"/>
        <v>8.3229296712441503E-3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42535</v>
      </c>
      <c r="X39" s="10">
        <v>47.61</v>
      </c>
      <c r="Y39" s="10">
        <v>48.12</v>
      </c>
      <c r="Z39" s="10">
        <v>47.36</v>
      </c>
      <c r="AA39" s="10">
        <v>48.06</v>
      </c>
      <c r="AB39" s="95">
        <v>3589300</v>
      </c>
      <c r="AC39" s="10">
        <v>48.06</v>
      </c>
      <c r="AD39" s="2">
        <f t="shared" si="0"/>
        <v>0.75999999999999801</v>
      </c>
      <c r="AE39" s="138">
        <f t="shared" si="1"/>
        <v>6.9138906348209517E-3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42534</v>
      </c>
      <c r="X40" s="10">
        <v>47.72</v>
      </c>
      <c r="Y40" s="10">
        <v>48.03</v>
      </c>
      <c r="Z40" s="10">
        <v>47.47</v>
      </c>
      <c r="AA40" s="10">
        <v>47.73</v>
      </c>
      <c r="AB40" s="95">
        <v>3772000</v>
      </c>
      <c r="AC40" s="10">
        <v>47.73</v>
      </c>
      <c r="AD40" s="2">
        <f t="shared" si="0"/>
        <v>0.56000000000000227</v>
      </c>
      <c r="AE40" s="138">
        <f t="shared" si="1"/>
        <v>-4.5881126173098474E-3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42531</v>
      </c>
      <c r="X41" s="10">
        <v>48.59</v>
      </c>
      <c r="Y41" s="10">
        <v>48.67</v>
      </c>
      <c r="Z41" s="10">
        <v>47.94</v>
      </c>
      <c r="AA41" s="10">
        <v>47.95</v>
      </c>
      <c r="AB41" s="95">
        <v>4735000</v>
      </c>
      <c r="AC41" s="10">
        <v>47.95</v>
      </c>
      <c r="AD41" s="2">
        <f t="shared" si="0"/>
        <v>0.73000000000000398</v>
      </c>
      <c r="AE41" s="138">
        <f t="shared" si="1"/>
        <v>-2.0629084967320188E-2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42530</v>
      </c>
      <c r="X42" s="10">
        <v>48.65</v>
      </c>
      <c r="Y42" s="10">
        <v>49.03</v>
      </c>
      <c r="Z42" s="10">
        <v>48.44</v>
      </c>
      <c r="AA42" s="10">
        <v>48.96</v>
      </c>
      <c r="AB42" s="95">
        <v>2569300</v>
      </c>
      <c r="AC42" s="10">
        <v>48.96</v>
      </c>
      <c r="AD42" s="2">
        <f t="shared" si="0"/>
        <v>0.59000000000000341</v>
      </c>
      <c r="AE42" s="138">
        <f t="shared" si="1"/>
        <v>-4.0832993058381728E-4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59.576000000000001</v>
      </c>
      <c r="Q43" s="34"/>
      <c r="R43" s="34"/>
      <c r="T43" s="128" t="s">
        <v>98</v>
      </c>
      <c r="U43" s="98">
        <v>53.28</v>
      </c>
      <c r="W43" s="133">
        <v>42529</v>
      </c>
      <c r="X43" s="10">
        <v>49.04</v>
      </c>
      <c r="Y43" s="10">
        <v>49.46</v>
      </c>
      <c r="Z43" s="10">
        <v>48.77</v>
      </c>
      <c r="AA43" s="10">
        <v>48.98</v>
      </c>
      <c r="AB43" s="95">
        <v>3460500</v>
      </c>
      <c r="AC43" s="10">
        <v>48.98</v>
      </c>
      <c r="AD43" s="2">
        <f t="shared" si="0"/>
        <v>0.68999999999999773</v>
      </c>
      <c r="AE43" s="138">
        <f t="shared" si="1"/>
        <v>2.4559967253376946E-3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59.034399999999998</v>
      </c>
      <c r="Q44" s="34"/>
      <c r="R44" s="34"/>
      <c r="T44" s="93" t="s">
        <v>99</v>
      </c>
      <c r="U44" s="88">
        <v>53.43</v>
      </c>
      <c r="W44" s="133">
        <v>42528</v>
      </c>
      <c r="X44" s="10">
        <v>48.21</v>
      </c>
      <c r="Y44" s="10">
        <v>49.2</v>
      </c>
      <c r="Z44" s="10">
        <v>48.21</v>
      </c>
      <c r="AA44" s="10">
        <v>48.86</v>
      </c>
      <c r="AB44" s="95">
        <v>4169900</v>
      </c>
      <c r="AC44" s="10">
        <v>48.86</v>
      </c>
      <c r="AD44" s="2">
        <f t="shared" si="0"/>
        <v>0.99000000000000199</v>
      </c>
      <c r="AE44" s="138">
        <f t="shared" si="1"/>
        <v>1.6645859342488523E-2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58.492800000000003</v>
      </c>
      <c r="Q45" s="34"/>
      <c r="R45" s="34"/>
      <c r="T45" s="93" t="s">
        <v>100</v>
      </c>
      <c r="U45" s="88" t="s">
        <v>417</v>
      </c>
      <c r="W45" s="133">
        <v>42527</v>
      </c>
      <c r="X45" s="10">
        <v>48.01</v>
      </c>
      <c r="Y45" s="10">
        <v>48.16</v>
      </c>
      <c r="Z45" s="10">
        <v>47.87</v>
      </c>
      <c r="AA45" s="10">
        <v>48.06</v>
      </c>
      <c r="AB45" s="95">
        <v>5026600</v>
      </c>
      <c r="AC45" s="10">
        <v>48.06</v>
      </c>
      <c r="AD45" s="2">
        <f t="shared" si="0"/>
        <v>0.28999999999999915</v>
      </c>
      <c r="AE45" s="138">
        <f t="shared" si="1"/>
        <v>2.085070892410279E-3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57.9512</v>
      </c>
      <c r="Q46" s="83"/>
      <c r="R46" s="34"/>
      <c r="T46" s="93" t="s">
        <v>101</v>
      </c>
      <c r="U46" s="88" t="s">
        <v>418</v>
      </c>
      <c r="W46" s="133">
        <v>42524</v>
      </c>
      <c r="X46" s="10">
        <v>47.88</v>
      </c>
      <c r="Y46" s="10">
        <v>48.01</v>
      </c>
      <c r="Z46" s="10">
        <v>46.95</v>
      </c>
      <c r="AA46" s="10">
        <v>47.96</v>
      </c>
      <c r="AB46" s="95">
        <v>3564600</v>
      </c>
      <c r="AC46" s="10">
        <v>47.96</v>
      </c>
      <c r="AD46" s="2">
        <f t="shared" si="0"/>
        <v>1.0599999999999952</v>
      </c>
      <c r="AE46" s="138">
        <f t="shared" si="1"/>
        <v>-8.3333333333335258E-4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57.409599999999998</v>
      </c>
      <c r="Q47" s="83"/>
      <c r="R47" s="34"/>
      <c r="T47" s="93" t="s">
        <v>102</v>
      </c>
      <c r="U47" s="88">
        <v>59.57</v>
      </c>
      <c r="W47" s="133">
        <v>42523</v>
      </c>
      <c r="X47" s="10">
        <v>47.9</v>
      </c>
      <c r="Y47" s="10">
        <v>48</v>
      </c>
      <c r="Z47" s="10">
        <v>47.58</v>
      </c>
      <c r="AA47" s="10">
        <v>48</v>
      </c>
      <c r="AB47" s="95">
        <v>2843400</v>
      </c>
      <c r="AC47" s="10">
        <v>48</v>
      </c>
      <c r="AD47" s="2">
        <f t="shared" si="0"/>
        <v>0.42000000000000171</v>
      </c>
      <c r="AE47" s="138">
        <f t="shared" si="1"/>
        <v>1.4604631754642217E-3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56.868000000000002</v>
      </c>
      <c r="Q48" s="83"/>
      <c r="R48" s="34"/>
      <c r="T48" s="93" t="s">
        <v>103</v>
      </c>
      <c r="U48" s="88">
        <v>1.2537700000000001</v>
      </c>
      <c r="W48" s="133">
        <v>42522</v>
      </c>
      <c r="X48" s="10">
        <v>47.69</v>
      </c>
      <c r="Y48" s="10">
        <v>48</v>
      </c>
      <c r="Z48" s="10">
        <v>47.3</v>
      </c>
      <c r="AA48" s="10">
        <v>47.93</v>
      </c>
      <c r="AB48" s="95">
        <v>3158500</v>
      </c>
      <c r="AC48" s="10">
        <v>47.93</v>
      </c>
      <c r="AD48" s="2">
        <f t="shared" si="0"/>
        <v>0.70000000000000284</v>
      </c>
      <c r="AE48" s="138">
        <f t="shared" si="1"/>
        <v>5.0325015726568889E-3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56.3264</v>
      </c>
      <c r="Q49" s="83"/>
      <c r="R49" s="34"/>
      <c r="T49" s="93" t="s">
        <v>123</v>
      </c>
      <c r="U49" s="88" t="s">
        <v>354</v>
      </c>
      <c r="W49" s="133">
        <v>42521</v>
      </c>
      <c r="X49" s="10">
        <v>47.69</v>
      </c>
      <c r="Y49" s="10">
        <v>48.15</v>
      </c>
      <c r="Z49" s="10">
        <v>47.17</v>
      </c>
      <c r="AA49" s="10">
        <v>47.69</v>
      </c>
      <c r="AB49" s="95">
        <v>3410700</v>
      </c>
      <c r="AC49" s="10">
        <v>47.69</v>
      </c>
      <c r="AD49" s="2">
        <f t="shared" si="0"/>
        <v>0.97999999999999687</v>
      </c>
      <c r="AE49" s="138">
        <f t="shared" si="1"/>
        <v>-1.4656616415410495E-3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55.784799999999997</v>
      </c>
      <c r="Q50" s="83"/>
      <c r="R50" s="34"/>
      <c r="T50" s="93"/>
      <c r="U50" s="88"/>
      <c r="W50" s="133">
        <v>42517</v>
      </c>
      <c r="X50" s="10">
        <v>47.73</v>
      </c>
      <c r="Y50" s="10">
        <v>48</v>
      </c>
      <c r="Z50" s="10">
        <v>47.51</v>
      </c>
      <c r="AA50" s="10">
        <v>47.76</v>
      </c>
      <c r="AB50" s="95">
        <v>2012300</v>
      </c>
      <c r="AC50" s="10">
        <v>47.76</v>
      </c>
      <c r="AD50" s="2">
        <f t="shared" si="0"/>
        <v>0.49000000000000199</v>
      </c>
      <c r="AE50" s="138">
        <f t="shared" si="1"/>
        <v>8.3822296730917678E-4</v>
      </c>
    </row>
    <row r="51" spans="1:31" x14ac:dyDescent="0.25">
      <c r="G51" s="2"/>
      <c r="O51" s="83">
        <v>1.02</v>
      </c>
      <c r="P51" s="83">
        <f t="shared" si="5"/>
        <v>55.243199999999995</v>
      </c>
      <c r="Q51" s="83"/>
      <c r="R51" s="34"/>
      <c r="T51" s="93" t="s">
        <v>105</v>
      </c>
      <c r="U51" s="88" t="s">
        <v>419</v>
      </c>
      <c r="W51" s="133">
        <v>42516</v>
      </c>
      <c r="X51" s="10">
        <v>47.9</v>
      </c>
      <c r="Y51" s="10">
        <v>48</v>
      </c>
      <c r="Z51" s="10">
        <v>47.52</v>
      </c>
      <c r="AA51" s="10">
        <v>47.72</v>
      </c>
      <c r="AB51" s="95">
        <v>2568700</v>
      </c>
      <c r="AC51" s="10">
        <v>47.72</v>
      </c>
      <c r="AD51" s="2">
        <f t="shared" si="0"/>
        <v>0.47999999999999687</v>
      </c>
      <c r="AE51" s="138" t="e">
        <f t="shared" si="1"/>
        <v>#DIV/0!</v>
      </c>
    </row>
    <row r="52" spans="1:31" x14ac:dyDescent="0.25">
      <c r="O52" s="83">
        <v>1.01</v>
      </c>
      <c r="P52" s="83">
        <f t="shared" si="5"/>
        <v>54.701599999999999</v>
      </c>
      <c r="Q52" s="83"/>
      <c r="R52" s="34"/>
      <c r="T52" s="93" t="s">
        <v>106</v>
      </c>
      <c r="U52" s="88" t="s">
        <v>359</v>
      </c>
      <c r="W52" s="133">
        <v>42516</v>
      </c>
      <c r="X52" s="10" t="s">
        <v>187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:31" x14ac:dyDescent="0.25">
      <c r="O53" s="83">
        <v>1</v>
      </c>
      <c r="P53" s="83">
        <f t="shared" si="5"/>
        <v>54.16</v>
      </c>
      <c r="Q53" s="83"/>
      <c r="R53" s="34"/>
      <c r="T53" s="93" t="s">
        <v>107</v>
      </c>
      <c r="U53" s="90">
        <v>3260855</v>
      </c>
      <c r="W53" s="133">
        <v>42515</v>
      </c>
      <c r="X53" s="10">
        <v>47.85</v>
      </c>
      <c r="Y53" s="10">
        <v>48.19</v>
      </c>
      <c r="Z53" s="10">
        <v>47.78</v>
      </c>
      <c r="AA53" s="10">
        <v>47.88</v>
      </c>
      <c r="AB53" s="95">
        <v>3549300</v>
      </c>
      <c r="AC53" s="10">
        <v>47.69</v>
      </c>
      <c r="AD53" s="2">
        <f t="shared" si="0"/>
        <v>0.40999999999999659</v>
      </c>
      <c r="AE53" s="138">
        <f t="shared" si="1"/>
        <v>-2.0964360587016895E-4</v>
      </c>
    </row>
    <row r="54" spans="1:31" x14ac:dyDescent="0.25">
      <c r="O54" s="83">
        <v>0.99</v>
      </c>
      <c r="P54" s="83">
        <f t="shared" si="5"/>
        <v>53.618399999999994</v>
      </c>
      <c r="Q54" s="83"/>
      <c r="R54" s="34"/>
      <c r="T54" s="93" t="s">
        <v>110</v>
      </c>
      <c r="U54" s="90">
        <v>4238180</v>
      </c>
      <c r="W54" s="133">
        <v>42514</v>
      </c>
      <c r="X54" s="10">
        <v>47.72</v>
      </c>
      <c r="Y54" s="10">
        <v>48.3</v>
      </c>
      <c r="Z54" s="10">
        <v>47.68</v>
      </c>
      <c r="AA54" s="10">
        <v>47.89</v>
      </c>
      <c r="AB54" s="95">
        <v>4559800</v>
      </c>
      <c r="AC54" s="10">
        <v>47.7</v>
      </c>
      <c r="AD54" s="2">
        <f t="shared" si="0"/>
        <v>0.61999999999999744</v>
      </c>
      <c r="AE54" s="138">
        <f t="shared" si="1"/>
        <v>8.2435003170577836E-3</v>
      </c>
    </row>
    <row r="55" spans="1:31" x14ac:dyDescent="0.25">
      <c r="O55" s="83">
        <v>0.98</v>
      </c>
      <c r="P55" s="83">
        <f t="shared" si="5"/>
        <v>53.076799999999999</v>
      </c>
      <c r="Q55" s="83"/>
      <c r="T55" s="93" t="s">
        <v>108</v>
      </c>
      <c r="U55" s="88" t="s">
        <v>420</v>
      </c>
      <c r="W55" s="133">
        <v>42513</v>
      </c>
      <c r="X55" s="10">
        <v>46.95</v>
      </c>
      <c r="Y55" s="10">
        <v>47.75</v>
      </c>
      <c r="Z55" s="10">
        <v>46.85</v>
      </c>
      <c r="AA55" s="10">
        <v>47.5</v>
      </c>
      <c r="AB55" s="95">
        <v>3941400</v>
      </c>
      <c r="AC55" s="10">
        <v>47.31</v>
      </c>
      <c r="AD55" s="2">
        <f t="shared" si="0"/>
        <v>0.89999999999999858</v>
      </c>
      <c r="AE55" s="138">
        <f t="shared" si="1"/>
        <v>7.6677316293929376E-3</v>
      </c>
    </row>
    <row r="56" spans="1:31" x14ac:dyDescent="0.25">
      <c r="O56" s="83">
        <v>0.97</v>
      </c>
      <c r="P56" s="83">
        <f t="shared" si="5"/>
        <v>52.535199999999996</v>
      </c>
      <c r="Q56" s="83"/>
      <c r="T56" s="93" t="s">
        <v>111</v>
      </c>
      <c r="U56" s="88">
        <v>52.13</v>
      </c>
      <c r="W56" s="133">
        <v>42510</v>
      </c>
      <c r="X56" s="10">
        <v>47.5</v>
      </c>
      <c r="Y56" s="10">
        <v>47.67</v>
      </c>
      <c r="Z56" s="10">
        <v>47.02</v>
      </c>
      <c r="AA56" s="10">
        <v>47.14</v>
      </c>
      <c r="AB56" s="95">
        <v>3310800</v>
      </c>
      <c r="AC56" s="10">
        <v>46.95</v>
      </c>
      <c r="AD56" s="2">
        <f t="shared" si="0"/>
        <v>0.64999999999999858</v>
      </c>
      <c r="AE56" s="138">
        <f t="shared" si="1"/>
        <v>-6.3856960408670282E-4</v>
      </c>
    </row>
    <row r="57" spans="1:31" x14ac:dyDescent="0.25">
      <c r="O57" s="83">
        <v>0.96</v>
      </c>
      <c r="P57" s="83">
        <f t="shared" si="5"/>
        <v>51.993599999999994</v>
      </c>
      <c r="Q57" s="83"/>
      <c r="T57" s="93" t="s">
        <v>112</v>
      </c>
      <c r="U57" s="88">
        <v>1.03</v>
      </c>
      <c r="W57" s="133">
        <v>42509</v>
      </c>
      <c r="X57" s="10">
        <v>46.96</v>
      </c>
      <c r="Y57" s="10">
        <v>47.23</v>
      </c>
      <c r="Z57" s="10">
        <v>46.5</v>
      </c>
      <c r="AA57" s="10">
        <v>47.17</v>
      </c>
      <c r="AB57" s="95">
        <v>3242000</v>
      </c>
      <c r="AC57" s="10">
        <v>46.98</v>
      </c>
      <c r="AD57" s="2">
        <f t="shared" si="0"/>
        <v>0.72999999999999687</v>
      </c>
      <c r="AE57" s="138">
        <f t="shared" si="1"/>
        <v>1.0654165778818392E-3</v>
      </c>
    </row>
    <row r="58" spans="1:31" x14ac:dyDescent="0.25">
      <c r="O58" s="83">
        <v>0.95</v>
      </c>
      <c r="P58" s="83">
        <f t="shared" si="5"/>
        <v>51.451999999999991</v>
      </c>
      <c r="Q58" s="83"/>
      <c r="T58" s="93" t="s">
        <v>109</v>
      </c>
      <c r="U58" s="88" t="s">
        <v>567</v>
      </c>
      <c r="W58" s="133">
        <v>42508</v>
      </c>
      <c r="X58" s="10">
        <v>47.26</v>
      </c>
      <c r="Y58" s="10">
        <v>47.46</v>
      </c>
      <c r="Z58" s="10">
        <v>46.57</v>
      </c>
      <c r="AA58" s="10">
        <v>47.12</v>
      </c>
      <c r="AB58" s="95">
        <v>5900900</v>
      </c>
      <c r="AC58" s="10">
        <v>46.93</v>
      </c>
      <c r="AD58" s="2">
        <f t="shared" si="0"/>
        <v>0.89000000000000057</v>
      </c>
      <c r="AE58" s="138">
        <f t="shared" si="1"/>
        <v>-8.0321285140563248E-3</v>
      </c>
    </row>
    <row r="59" spans="1:31" x14ac:dyDescent="0.25">
      <c r="O59" s="83">
        <v>0.94</v>
      </c>
      <c r="P59" s="83">
        <f t="shared" si="5"/>
        <v>50.910399999999996</v>
      </c>
      <c r="Q59" s="83"/>
      <c r="W59" s="133">
        <v>42507</v>
      </c>
      <c r="X59" s="10">
        <v>47.95</v>
      </c>
      <c r="Y59" s="10">
        <v>48.21</v>
      </c>
      <c r="Z59" s="10">
        <v>47.29</v>
      </c>
      <c r="AA59" s="10">
        <v>47.5</v>
      </c>
      <c r="AB59" s="95">
        <v>4522400</v>
      </c>
      <c r="AC59" s="10">
        <v>47.31</v>
      </c>
      <c r="AD59" s="2">
        <f t="shared" si="0"/>
        <v>0.92000000000000171</v>
      </c>
      <c r="AE59" s="138">
        <f t="shared" si="1"/>
        <v>-9.2146596858638796E-3</v>
      </c>
    </row>
    <row r="60" spans="1:31" x14ac:dyDescent="0.25">
      <c r="O60" s="83">
        <v>0.93</v>
      </c>
      <c r="P60" s="83">
        <f t="shared" si="5"/>
        <v>50.3688</v>
      </c>
      <c r="Q60" s="83"/>
      <c r="W60" s="133">
        <v>42506</v>
      </c>
      <c r="X60" s="10">
        <v>47.58</v>
      </c>
      <c r="Y60" s="10">
        <v>48.08</v>
      </c>
      <c r="Z60" s="10">
        <v>47.41</v>
      </c>
      <c r="AA60" s="10">
        <v>47.94</v>
      </c>
      <c r="AB60" s="95">
        <v>3872000</v>
      </c>
      <c r="AC60" s="10">
        <v>47.75</v>
      </c>
      <c r="AD60" s="2">
        <f t="shared" si="0"/>
        <v>0.67000000000000171</v>
      </c>
      <c r="AE60" s="138">
        <f t="shared" si="1"/>
        <v>9.5137420718816035E-3</v>
      </c>
    </row>
    <row r="61" spans="1:31" x14ac:dyDescent="0.25">
      <c r="O61" s="83">
        <v>0.92</v>
      </c>
      <c r="P61" s="83">
        <f t="shared" si="5"/>
        <v>49.827199999999998</v>
      </c>
      <c r="Q61" s="83"/>
      <c r="W61" s="133">
        <v>42503</v>
      </c>
      <c r="X61" s="10">
        <v>48.55</v>
      </c>
      <c r="Y61" s="10">
        <v>48.79</v>
      </c>
      <c r="Z61" s="10">
        <v>47.06</v>
      </c>
      <c r="AA61" s="10">
        <v>47.49</v>
      </c>
      <c r="AB61" s="95">
        <v>6597600</v>
      </c>
      <c r="AC61" s="10">
        <v>47.3</v>
      </c>
      <c r="AD61" s="2">
        <f t="shared" si="0"/>
        <v>1.7299999999999969</v>
      </c>
      <c r="AE61" s="138">
        <f t="shared" si="1"/>
        <v>-2.171664943123075E-2</v>
      </c>
    </row>
    <row r="62" spans="1:31" x14ac:dyDescent="0.25">
      <c r="O62" s="83">
        <v>0.91</v>
      </c>
      <c r="P62" s="83">
        <f t="shared" si="5"/>
        <v>49.285599999999995</v>
      </c>
      <c r="Q62" s="83"/>
      <c r="W62" s="133">
        <v>42502</v>
      </c>
      <c r="X62" s="10">
        <v>48.6</v>
      </c>
      <c r="Y62" s="10">
        <v>48.74</v>
      </c>
      <c r="Z62" s="10">
        <v>48.26</v>
      </c>
      <c r="AA62" s="10">
        <v>48.54</v>
      </c>
      <c r="AB62" s="95">
        <v>3699400</v>
      </c>
      <c r="AC62" s="10">
        <v>48.35</v>
      </c>
      <c r="AD62" s="2">
        <f t="shared" si="0"/>
        <v>0.48000000000000398</v>
      </c>
      <c r="AE62" s="138">
        <f t="shared" si="1"/>
        <v>2.6959767731231654E-3</v>
      </c>
    </row>
    <row r="63" spans="1:31" x14ac:dyDescent="0.25">
      <c r="O63" s="83">
        <v>0.9</v>
      </c>
      <c r="P63" s="83">
        <f t="shared" si="5"/>
        <v>48.744</v>
      </c>
      <c r="Q63" s="83"/>
      <c r="W63" s="133">
        <v>42501</v>
      </c>
      <c r="X63" s="10">
        <v>49.09</v>
      </c>
      <c r="Y63" s="10">
        <v>49.09</v>
      </c>
      <c r="Z63" s="10">
        <v>48.29</v>
      </c>
      <c r="AA63" s="10">
        <v>48.41</v>
      </c>
      <c r="AB63" s="95">
        <v>5693000</v>
      </c>
      <c r="AC63" s="10">
        <v>48.22</v>
      </c>
      <c r="AD63" s="2">
        <f t="shared" si="0"/>
        <v>0.80000000000000426</v>
      </c>
      <c r="AE63" s="138">
        <f t="shared" si="1"/>
        <v>-1.5315499285276646E-2</v>
      </c>
    </row>
    <row r="64" spans="1:31" x14ac:dyDescent="0.25">
      <c r="O64" s="34"/>
      <c r="W64" s="133">
        <v>42500</v>
      </c>
      <c r="X64" s="10">
        <v>47.98</v>
      </c>
      <c r="Y64" s="10">
        <v>49.18</v>
      </c>
      <c r="Z64" s="10">
        <v>47.82</v>
      </c>
      <c r="AA64" s="10">
        <v>49.17</v>
      </c>
      <c r="AB64" s="95">
        <v>6567500</v>
      </c>
      <c r="AC64" s="10">
        <v>48.97</v>
      </c>
      <c r="AD64" s="2">
        <f t="shared" si="0"/>
        <v>1.3599999999999994</v>
      </c>
      <c r="AE64" s="138">
        <f t="shared" si="1"/>
        <v>2.8133529288263626E-2</v>
      </c>
    </row>
    <row r="65" spans="15:31" x14ac:dyDescent="0.25">
      <c r="W65" s="133">
        <v>42499</v>
      </c>
      <c r="X65" s="10">
        <v>47.19</v>
      </c>
      <c r="Y65" s="10">
        <v>47.99</v>
      </c>
      <c r="Z65" s="10">
        <v>47.19</v>
      </c>
      <c r="AA65" s="10">
        <v>47.82</v>
      </c>
      <c r="AB65" s="95">
        <v>5135600</v>
      </c>
      <c r="AC65" s="10">
        <v>47.63</v>
      </c>
      <c r="AD65" s="2">
        <f t="shared" si="0"/>
        <v>0.80000000000000426</v>
      </c>
      <c r="AE65" s="138">
        <f t="shared" si="1"/>
        <v>1.6648879402348049E-2</v>
      </c>
    </row>
    <row r="66" spans="15:31" x14ac:dyDescent="0.25">
      <c r="W66" s="133">
        <v>42496</v>
      </c>
      <c r="X66" s="10">
        <v>46.75</v>
      </c>
      <c r="Y66" s="10">
        <v>47.06</v>
      </c>
      <c r="Z66" s="10">
        <v>46.41</v>
      </c>
      <c r="AA66" s="10">
        <v>47.04</v>
      </c>
      <c r="AB66" s="95">
        <v>5507300</v>
      </c>
      <c r="AC66" s="10">
        <v>46.85</v>
      </c>
      <c r="AD66" s="2">
        <f t="shared" si="0"/>
        <v>0.65000000000000568</v>
      </c>
      <c r="AE66" s="138">
        <f t="shared" si="1"/>
        <v>2.7825342465754854E-3</v>
      </c>
    </row>
    <row r="67" spans="15:31" x14ac:dyDescent="0.25">
      <c r="W67" s="133">
        <v>42495</v>
      </c>
      <c r="X67" s="10">
        <v>46.63</v>
      </c>
      <c r="Y67" s="10">
        <v>47.2</v>
      </c>
      <c r="Z67" s="10">
        <v>46.41</v>
      </c>
      <c r="AA67" s="10">
        <v>46.91</v>
      </c>
      <c r="AB67" s="95">
        <v>5608600</v>
      </c>
      <c r="AC67" s="10">
        <v>46.72</v>
      </c>
      <c r="AD67" s="2">
        <f>Y67-Z67</f>
        <v>0.79000000000000625</v>
      </c>
      <c r="AE67" s="138">
        <f>AC67/AC68-1</f>
        <v>4.9473004947300225E-3</v>
      </c>
    </row>
    <row r="68" spans="15:31" x14ac:dyDescent="0.25">
      <c r="W68" s="133">
        <v>42494</v>
      </c>
      <c r="X68" s="10">
        <v>46.34</v>
      </c>
      <c r="Y68" s="10">
        <v>46.81</v>
      </c>
      <c r="Z68" s="10">
        <v>46.07</v>
      </c>
      <c r="AA68" s="10">
        <v>46.68</v>
      </c>
      <c r="AB68" s="95">
        <v>3541500</v>
      </c>
      <c r="AC68" s="10">
        <v>46.49</v>
      </c>
      <c r="AD68" s="2">
        <f>Y68-Z68</f>
        <v>0.74000000000000199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5" priority="33">
      <formula>F25&gt;0</formula>
    </cfRule>
    <cfRule type="expression" dxfId="234" priority="34">
      <formula>F25&lt;0</formula>
    </cfRule>
  </conditionalFormatting>
  <conditionalFormatting sqref="H25:H27">
    <cfRule type="expression" dxfId="233" priority="31">
      <formula>H25&gt;0</formula>
    </cfRule>
    <cfRule type="expression" dxfId="232" priority="32">
      <formula>H25&lt;0</formula>
    </cfRule>
  </conditionalFormatting>
  <conditionalFormatting sqref="H28">
    <cfRule type="expression" dxfId="231" priority="29">
      <formula>H28&gt;0</formula>
    </cfRule>
    <cfRule type="expression" dxfId="230" priority="30">
      <formula>H28&lt;0</formula>
    </cfRule>
  </conditionalFormatting>
  <conditionalFormatting sqref="H29">
    <cfRule type="expression" dxfId="229" priority="27">
      <formula>H29&gt;0</formula>
    </cfRule>
    <cfRule type="expression" dxfId="228" priority="28">
      <formula>H29&lt;0</formula>
    </cfRule>
  </conditionalFormatting>
  <conditionalFormatting sqref="H30:H34">
    <cfRule type="expression" dxfId="227" priority="25">
      <formula>H30&gt;0</formula>
    </cfRule>
    <cfRule type="expression" dxfId="226" priority="26">
      <formula>H30&lt;0</formula>
    </cfRule>
  </conditionalFormatting>
  <conditionalFormatting sqref="F21:F24">
    <cfRule type="expression" dxfId="225" priority="23">
      <formula>F21&gt;0</formula>
    </cfRule>
    <cfRule type="expression" dxfId="224" priority="24">
      <formula>F21&lt;0</formula>
    </cfRule>
  </conditionalFormatting>
  <conditionalFormatting sqref="H21:H24">
    <cfRule type="expression" dxfId="223" priority="21">
      <formula>H21&gt;0</formula>
    </cfRule>
    <cfRule type="expression" dxfId="222" priority="22">
      <formula>H21&lt;0</formula>
    </cfRule>
  </conditionalFormatting>
  <conditionalFormatting sqref="F30:F31">
    <cfRule type="expression" dxfId="221" priority="17">
      <formula>F30&gt;0</formula>
    </cfRule>
    <cfRule type="expression" dxfId="220" priority="18">
      <formula>F30&lt;0</formula>
    </cfRule>
  </conditionalFormatting>
  <conditionalFormatting sqref="I25:I27">
    <cfRule type="expression" dxfId="219" priority="15">
      <formula>I25&gt;0</formula>
    </cfRule>
    <cfRule type="expression" dxfId="218" priority="16">
      <formula>I25&lt;0</formula>
    </cfRule>
  </conditionalFormatting>
  <conditionalFormatting sqref="I28">
    <cfRule type="expression" dxfId="217" priority="13">
      <formula>I28&gt;0</formula>
    </cfRule>
    <cfRule type="expression" dxfId="216" priority="14">
      <formula>I28&lt;0</formula>
    </cfRule>
  </conditionalFormatting>
  <conditionalFormatting sqref="I29">
    <cfRule type="expression" dxfId="215" priority="11">
      <formula>I29&gt;0</formula>
    </cfRule>
    <cfRule type="expression" dxfId="214" priority="12">
      <formula>I29&lt;0</formula>
    </cfRule>
  </conditionalFormatting>
  <conditionalFormatting sqref="I30:I34">
    <cfRule type="expression" dxfId="213" priority="9">
      <formula>I30&gt;0</formula>
    </cfRule>
    <cfRule type="expression" dxfId="212" priority="10">
      <formula>I30&lt;0</formula>
    </cfRule>
  </conditionalFormatting>
  <conditionalFormatting sqref="I21:I24">
    <cfRule type="expression" dxfId="211" priority="7">
      <formula>I21&gt;0</formula>
    </cfRule>
    <cfRule type="expression" dxfId="210" priority="8">
      <formula>I21&lt;0</formula>
    </cfRule>
  </conditionalFormatting>
  <conditionalFormatting sqref="F32">
    <cfRule type="expression" dxfId="209" priority="5">
      <formula>F32&gt;0</formula>
    </cfRule>
    <cfRule type="expression" dxfId="208" priority="6">
      <formula>F32&lt;0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42587</v>
      </c>
      <c r="X2" s="10">
        <v>49.89</v>
      </c>
      <c r="Y2" s="10">
        <v>50.73</v>
      </c>
      <c r="Z2" s="10">
        <v>49.81</v>
      </c>
      <c r="AA2" s="10">
        <v>50.41</v>
      </c>
      <c r="AB2" s="95">
        <v>2632800</v>
      </c>
      <c r="AC2" s="10">
        <v>50.41</v>
      </c>
      <c r="AD2" s="2">
        <f>Y2-Z2</f>
        <v>0.9199999999999946</v>
      </c>
      <c r="AE2" s="138">
        <f>AC2/AC3-1</f>
        <v>1.4898328971209907E-2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50.27</v>
      </c>
      <c r="T3" s="1">
        <v>42312</v>
      </c>
      <c r="U3" t="s">
        <v>152</v>
      </c>
      <c r="W3" s="133">
        <v>42586</v>
      </c>
      <c r="X3" s="10">
        <v>49.26</v>
      </c>
      <c r="Y3" s="10">
        <v>50.66</v>
      </c>
      <c r="Z3" s="10">
        <v>49.26</v>
      </c>
      <c r="AA3" s="10">
        <v>49.67</v>
      </c>
      <c r="AB3" s="95">
        <v>3187300</v>
      </c>
      <c r="AC3" s="10">
        <v>49.67</v>
      </c>
      <c r="AD3" s="2">
        <f t="shared" ref="AD3:AD66" si="0">Y3-Z3</f>
        <v>1.3999999999999986</v>
      </c>
      <c r="AE3" s="138">
        <f t="shared" ref="AE3:AE66" si="1">AC3/AC4-1</f>
        <v>1.3259893920848587E-2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50.27</v>
      </c>
      <c r="W4" s="133">
        <v>42585</v>
      </c>
      <c r="X4" s="10">
        <v>47.64</v>
      </c>
      <c r="Y4" s="10">
        <v>49.29</v>
      </c>
      <c r="Z4" s="10">
        <v>46.5</v>
      </c>
      <c r="AA4" s="10">
        <v>49.02</v>
      </c>
      <c r="AB4" s="95">
        <v>5508500</v>
      </c>
      <c r="AC4" s="10">
        <v>49.02</v>
      </c>
      <c r="AD4" s="2">
        <f t="shared" si="0"/>
        <v>2.7899999999999991</v>
      </c>
      <c r="AE4" s="138">
        <f t="shared" si="1"/>
        <v>-2.5834658187599335E-2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42584</v>
      </c>
      <c r="X5" s="10">
        <v>52.65</v>
      </c>
      <c r="Y5" s="10">
        <v>53.17</v>
      </c>
      <c r="Z5" s="10">
        <v>50.32</v>
      </c>
      <c r="AA5" s="10">
        <v>50.32</v>
      </c>
      <c r="AB5" s="95">
        <v>3288900</v>
      </c>
      <c r="AC5" s="10">
        <v>50.32</v>
      </c>
      <c r="AD5" s="2">
        <f t="shared" si="0"/>
        <v>2.8500000000000014</v>
      </c>
      <c r="AE5" s="138">
        <f t="shared" si="1"/>
        <v>-4.8771266540642677E-2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42583</v>
      </c>
      <c r="X6" s="10">
        <v>51.8</v>
      </c>
      <c r="Y6" s="10">
        <v>53.29</v>
      </c>
      <c r="Z6" s="10">
        <v>51.52</v>
      </c>
      <c r="AA6" s="10">
        <v>52.9</v>
      </c>
      <c r="AB6" s="95">
        <v>3140400</v>
      </c>
      <c r="AC6" s="10">
        <v>52.9</v>
      </c>
      <c r="AD6" s="2">
        <f t="shared" si="0"/>
        <v>1.769999999999996</v>
      </c>
      <c r="AE6" s="138">
        <f t="shared" si="1"/>
        <v>2.2815158546017011E-2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188</v>
      </c>
      <c r="Q7" s="2">
        <f>Q10+Q8</f>
        <v>745.43999999999505</v>
      </c>
      <c r="R7">
        <v>0</v>
      </c>
      <c r="W7" s="133">
        <v>42580</v>
      </c>
      <c r="X7" s="10">
        <v>51.86</v>
      </c>
      <c r="Y7" s="10">
        <v>51.97</v>
      </c>
      <c r="Z7" s="10">
        <v>51.27</v>
      </c>
      <c r="AA7" s="10">
        <v>51.72</v>
      </c>
      <c r="AB7" s="95">
        <v>1623400</v>
      </c>
      <c r="AC7" s="10">
        <v>51.72</v>
      </c>
      <c r="AD7" s="2">
        <f t="shared" si="0"/>
        <v>0.69999999999999574</v>
      </c>
      <c r="AE7" s="138">
        <f t="shared" si="1"/>
        <v>-6.5309258547829874E-3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52.23</v>
      </c>
      <c r="Y8" s="10">
        <v>52.36</v>
      </c>
      <c r="Z8" s="10">
        <v>51.78</v>
      </c>
      <c r="AA8" s="10">
        <v>52.06</v>
      </c>
      <c r="AB8" s="95">
        <v>1736800</v>
      </c>
      <c r="AC8" s="10">
        <v>52.06</v>
      </c>
      <c r="AD8" s="2">
        <f t="shared" si="0"/>
        <v>0.57999999999999829</v>
      </c>
      <c r="AE8" s="138">
        <f t="shared" si="1"/>
        <v>-5.1595643034587635E-3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52.16</v>
      </c>
      <c r="Y9" s="10">
        <v>52.85</v>
      </c>
      <c r="Z9" s="10">
        <v>51.93</v>
      </c>
      <c r="AA9" s="10">
        <v>52.33</v>
      </c>
      <c r="AB9" s="95">
        <v>2900000</v>
      </c>
      <c r="AC9" s="10">
        <v>52.33</v>
      </c>
      <c r="AD9" s="2">
        <f t="shared" si="0"/>
        <v>0.92000000000000171</v>
      </c>
      <c r="AE9" s="138">
        <f t="shared" si="1"/>
        <v>3.2592024539876974E-3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230</v>
      </c>
      <c r="P10" s="34"/>
      <c r="Q10" s="2">
        <f>M35</f>
        <v>745.43999999999505</v>
      </c>
      <c r="W10" s="133">
        <v>42577</v>
      </c>
      <c r="X10" s="10">
        <v>51.68</v>
      </c>
      <c r="Y10" s="10">
        <v>52.97</v>
      </c>
      <c r="Z10" s="10">
        <v>51.56</v>
      </c>
      <c r="AA10" s="10">
        <v>52.16</v>
      </c>
      <c r="AB10" s="95">
        <v>2510800</v>
      </c>
      <c r="AC10" s="10">
        <v>52.16</v>
      </c>
      <c r="AD10" s="2">
        <f t="shared" si="0"/>
        <v>1.4099999999999966</v>
      </c>
      <c r="AE10" s="138">
        <f t="shared" si="1"/>
        <v>9.2879256965943124E-3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42576</v>
      </c>
      <c r="X11" s="10">
        <v>50.95</v>
      </c>
      <c r="Y11" s="10">
        <v>51.88</v>
      </c>
      <c r="Z11" s="10">
        <v>50.64</v>
      </c>
      <c r="AA11" s="10">
        <v>51.68</v>
      </c>
      <c r="AB11" s="95">
        <v>1772000</v>
      </c>
      <c r="AC11" s="10">
        <v>51.68</v>
      </c>
      <c r="AD11" s="2">
        <f t="shared" si="0"/>
        <v>1.240000000000002</v>
      </c>
      <c r="AE11" s="138">
        <f t="shared" si="1"/>
        <v>4.6656298600311619E-3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42573</v>
      </c>
      <c r="X12" s="10">
        <v>51.22</v>
      </c>
      <c r="Y12" s="10">
        <v>51.6</v>
      </c>
      <c r="Z12" s="10">
        <v>50.45</v>
      </c>
      <c r="AA12" s="10">
        <v>51.44</v>
      </c>
      <c r="AB12" s="95">
        <v>1900900</v>
      </c>
      <c r="AC12" s="10">
        <v>51.44</v>
      </c>
      <c r="AD12" s="2">
        <f t="shared" si="0"/>
        <v>1.1499999999999986</v>
      </c>
      <c r="AE12" s="138">
        <f t="shared" si="1"/>
        <v>1.7526777020446804E-3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42572</v>
      </c>
      <c r="X13" s="10">
        <v>51.5</v>
      </c>
      <c r="Y13" s="10">
        <v>52.21</v>
      </c>
      <c r="Z13" s="10">
        <v>51.26</v>
      </c>
      <c r="AA13" s="10">
        <v>51.35</v>
      </c>
      <c r="AB13" s="95">
        <v>2001500</v>
      </c>
      <c r="AC13" s="10">
        <v>51.35</v>
      </c>
      <c r="AD13" s="2">
        <f t="shared" si="0"/>
        <v>0.95000000000000284</v>
      </c>
      <c r="AE13" s="138">
        <f t="shared" si="1"/>
        <v>-4.6520643535569173E-3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42571</v>
      </c>
      <c r="X14" s="10">
        <v>51.16</v>
      </c>
      <c r="Y14" s="10">
        <v>51.67</v>
      </c>
      <c r="Z14" s="10">
        <v>50.89</v>
      </c>
      <c r="AA14" s="10">
        <v>51.59</v>
      </c>
      <c r="AB14" s="95">
        <v>1470300</v>
      </c>
      <c r="AC14" s="10">
        <v>51.59</v>
      </c>
      <c r="AD14" s="2">
        <f t="shared" si="0"/>
        <v>0.78000000000000114</v>
      </c>
      <c r="AE14" s="138">
        <f t="shared" si="1"/>
        <v>7.8140261769878983E-3</v>
      </c>
    </row>
    <row r="15" spans="1:43" x14ac:dyDescent="0.25">
      <c r="W15" s="133">
        <v>42570</v>
      </c>
      <c r="X15" s="10">
        <v>51.6</v>
      </c>
      <c r="Y15" s="10">
        <v>51.96</v>
      </c>
      <c r="Z15" s="10">
        <v>50.72</v>
      </c>
      <c r="AA15" s="10">
        <v>51.19</v>
      </c>
      <c r="AB15" s="95">
        <v>2120900</v>
      </c>
      <c r="AC15" s="10">
        <v>51.19</v>
      </c>
      <c r="AD15" s="2">
        <f t="shared" si="0"/>
        <v>1.240000000000002</v>
      </c>
      <c r="AE15" s="138">
        <f t="shared" si="1"/>
        <v>-1.5576923076923155E-2</v>
      </c>
    </row>
    <row r="16" spans="1:43" x14ac:dyDescent="0.25">
      <c r="W16" s="133">
        <v>42569</v>
      </c>
      <c r="X16" s="10">
        <v>51.64</v>
      </c>
      <c r="Y16" s="10">
        <v>52.7</v>
      </c>
      <c r="Z16" s="10">
        <v>51.48</v>
      </c>
      <c r="AA16" s="10">
        <v>52</v>
      </c>
      <c r="AB16" s="95">
        <v>1678100</v>
      </c>
      <c r="AC16" s="10">
        <v>52</v>
      </c>
      <c r="AD16" s="2">
        <f t="shared" si="0"/>
        <v>1.220000000000006</v>
      </c>
      <c r="AE16" s="138">
        <f t="shared" si="1"/>
        <v>6.9713400464754827E-3</v>
      </c>
    </row>
    <row r="17" spans="1:31" x14ac:dyDescent="0.25">
      <c r="B17" s="1"/>
      <c r="C17" s="4"/>
      <c r="W17" s="133">
        <v>42566</v>
      </c>
      <c r="X17" s="10">
        <v>51.84</v>
      </c>
      <c r="Y17" s="10">
        <v>51.85</v>
      </c>
      <c r="Z17" s="10">
        <v>51.37</v>
      </c>
      <c r="AA17" s="10">
        <v>51.64</v>
      </c>
      <c r="AB17" s="95">
        <v>1226800</v>
      </c>
      <c r="AC17" s="10">
        <v>51.64</v>
      </c>
      <c r="AD17" s="2">
        <f t="shared" si="0"/>
        <v>0.48000000000000398</v>
      </c>
      <c r="AE17" s="138">
        <f t="shared" si="1"/>
        <v>1.3573783207290191E-3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42565</v>
      </c>
      <c r="X18" s="10">
        <v>51.91</v>
      </c>
      <c r="Y18" s="10">
        <v>51.98</v>
      </c>
      <c r="Z18" s="10">
        <v>51.49</v>
      </c>
      <c r="AA18" s="10">
        <v>51.57</v>
      </c>
      <c r="AB18" s="95">
        <v>1748200</v>
      </c>
      <c r="AC18" s="10">
        <v>51.57</v>
      </c>
      <c r="AD18" s="2">
        <f t="shared" si="0"/>
        <v>0.48999999999999488</v>
      </c>
      <c r="AE18" s="138">
        <f t="shared" si="1"/>
        <v>-2.9002320185614883E-3</v>
      </c>
    </row>
    <row r="19" spans="1:31" x14ac:dyDescent="0.25">
      <c r="G19" s="2"/>
      <c r="W19" s="133">
        <v>42564</v>
      </c>
      <c r="X19" s="10">
        <v>51.84</v>
      </c>
      <c r="Y19" s="10">
        <v>52</v>
      </c>
      <c r="Z19" s="10">
        <v>51.35</v>
      </c>
      <c r="AA19" s="10">
        <v>51.72</v>
      </c>
      <c r="AB19" s="95">
        <v>1631300</v>
      </c>
      <c r="AC19" s="10">
        <v>51.72</v>
      </c>
      <c r="AD19" s="2">
        <f t="shared" si="0"/>
        <v>0.64999999999999858</v>
      </c>
      <c r="AE19" s="138">
        <f t="shared" si="1"/>
        <v>-3.6601810826429881E-3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42563</v>
      </c>
      <c r="X20" s="10">
        <v>51.54</v>
      </c>
      <c r="Y20" s="10">
        <v>52.11</v>
      </c>
      <c r="Z20" s="10">
        <v>51.41</v>
      </c>
      <c r="AA20" s="10">
        <v>51.91</v>
      </c>
      <c r="AB20" s="95">
        <v>2286900</v>
      </c>
      <c r="AC20" s="10">
        <v>51.91</v>
      </c>
      <c r="AD20" s="2">
        <f t="shared" si="0"/>
        <v>0.70000000000000284</v>
      </c>
      <c r="AE20" s="138">
        <f t="shared" si="1"/>
        <v>1.5851272015655393E-2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42562</v>
      </c>
      <c r="X21" s="10">
        <v>50.4</v>
      </c>
      <c r="Y21" s="10">
        <v>51.63</v>
      </c>
      <c r="Z21" s="10">
        <v>50.27</v>
      </c>
      <c r="AA21" s="10">
        <v>51.1</v>
      </c>
      <c r="AB21" s="95">
        <v>2990800</v>
      </c>
      <c r="AC21" s="10">
        <v>51.1</v>
      </c>
      <c r="AD21" s="2">
        <f t="shared" si="0"/>
        <v>1.3599999999999994</v>
      </c>
      <c r="AE21" s="138">
        <f t="shared" si="1"/>
        <v>1.7320326498108773E-2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42559</v>
      </c>
      <c r="X22" s="10">
        <v>49.69</v>
      </c>
      <c r="Y22" s="10">
        <v>50.33</v>
      </c>
      <c r="Z22" s="10">
        <v>49.48</v>
      </c>
      <c r="AA22" s="10">
        <v>50.23</v>
      </c>
      <c r="AB22" s="95">
        <v>2876800</v>
      </c>
      <c r="AC22" s="10">
        <v>50.23</v>
      </c>
      <c r="AD22" s="2">
        <f t="shared" si="0"/>
        <v>0.85000000000000142</v>
      </c>
      <c r="AE22" s="138">
        <f t="shared" si="1"/>
        <v>2.4057084607543411E-2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42558</v>
      </c>
      <c r="X23" s="10">
        <v>48.58</v>
      </c>
      <c r="Y23" s="10">
        <v>49.84</v>
      </c>
      <c r="Z23" s="10">
        <v>48.48</v>
      </c>
      <c r="AA23" s="10">
        <v>49.05</v>
      </c>
      <c r="AB23" s="95">
        <v>3622300</v>
      </c>
      <c r="AC23" s="10">
        <v>49.05</v>
      </c>
      <c r="AD23" s="2">
        <f t="shared" si="0"/>
        <v>1.3600000000000065</v>
      </c>
      <c r="AE23" s="138">
        <f t="shared" si="1"/>
        <v>1.0506798516687121E-2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42557</v>
      </c>
      <c r="X24" s="10">
        <v>49</v>
      </c>
      <c r="Y24" s="10">
        <v>49.02</v>
      </c>
      <c r="Z24" s="10">
        <v>48</v>
      </c>
      <c r="AA24" s="10">
        <v>48.54</v>
      </c>
      <c r="AB24" s="95">
        <v>4745700</v>
      </c>
      <c r="AC24" s="10">
        <v>48.54</v>
      </c>
      <c r="AD24" s="2">
        <f t="shared" si="0"/>
        <v>1.0200000000000031</v>
      </c>
      <c r="AE24" s="138">
        <f t="shared" si="1"/>
        <v>-1.2611879576891694E-2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42556</v>
      </c>
      <c r="X25" s="10">
        <v>49.66</v>
      </c>
      <c r="Y25" s="10">
        <v>49.84</v>
      </c>
      <c r="Z25" s="10">
        <v>48.63</v>
      </c>
      <c r="AA25" s="10">
        <v>49.16</v>
      </c>
      <c r="AB25" s="95">
        <v>2755500</v>
      </c>
      <c r="AC25" s="10">
        <v>49.16</v>
      </c>
      <c r="AD25" s="2">
        <f t="shared" si="0"/>
        <v>1.2100000000000009</v>
      </c>
      <c r="AE25" s="138">
        <f t="shared" si="1"/>
        <v>-1.8370607028754038E-2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42552</v>
      </c>
      <c r="X26" s="10">
        <v>49.53</v>
      </c>
      <c r="Y26" s="10">
        <v>50.26</v>
      </c>
      <c r="Z26" s="10">
        <v>49.16</v>
      </c>
      <c r="AA26" s="10">
        <v>50.08</v>
      </c>
      <c r="AB26" s="95">
        <v>1870100</v>
      </c>
      <c r="AC26" s="10">
        <v>50.08</v>
      </c>
      <c r="AD26" s="2">
        <f t="shared" si="0"/>
        <v>1.1000000000000014</v>
      </c>
      <c r="AE26" s="138">
        <f t="shared" si="1"/>
        <v>1.2126111560226471E-2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42551</v>
      </c>
      <c r="X27" s="10">
        <v>48.47</v>
      </c>
      <c r="Y27" s="10">
        <v>49.48</v>
      </c>
      <c r="Z27" s="10">
        <v>48.02</v>
      </c>
      <c r="AA27" s="10">
        <v>49.48</v>
      </c>
      <c r="AB27" s="95">
        <v>2675100</v>
      </c>
      <c r="AC27" s="10">
        <v>49.48</v>
      </c>
      <c r="AD27" s="2">
        <f t="shared" si="0"/>
        <v>1.4599999999999937</v>
      </c>
      <c r="AE27" s="138">
        <f t="shared" si="1"/>
        <v>2.1891780256092508E-2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42550</v>
      </c>
      <c r="X28" s="10">
        <v>48.01</v>
      </c>
      <c r="Y28" s="10">
        <v>48.9</v>
      </c>
      <c r="Z28" s="10">
        <v>47.78</v>
      </c>
      <c r="AA28" s="10">
        <v>48.42</v>
      </c>
      <c r="AB28" s="95">
        <v>2968600</v>
      </c>
      <c r="AC28" s="10">
        <v>48.42</v>
      </c>
      <c r="AD28" s="2">
        <f t="shared" si="0"/>
        <v>1.1199999999999974</v>
      </c>
      <c r="AE28" s="138">
        <f t="shared" si="1"/>
        <v>2.0657672849915709E-2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42549</v>
      </c>
      <c r="X29" s="10">
        <v>46.8</v>
      </c>
      <c r="Y29" s="10">
        <v>47.57</v>
      </c>
      <c r="Z29" s="10">
        <v>46.77</v>
      </c>
      <c r="AA29" s="10">
        <v>47.44</v>
      </c>
      <c r="AB29" s="95">
        <v>2575200</v>
      </c>
      <c r="AC29" s="10">
        <v>47.44</v>
      </c>
      <c r="AD29" s="2">
        <f t="shared" si="0"/>
        <v>0.79999999999999716</v>
      </c>
      <c r="AE29" s="138">
        <f t="shared" si="1"/>
        <v>2.7062134661182125E-2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42548</v>
      </c>
      <c r="X30" s="10">
        <v>47.14</v>
      </c>
      <c r="Y30" s="10">
        <v>47.19</v>
      </c>
      <c r="Z30" s="10">
        <v>45.26</v>
      </c>
      <c r="AA30" s="10">
        <v>46.19</v>
      </c>
      <c r="AB30" s="95">
        <v>3293400</v>
      </c>
      <c r="AC30" s="10">
        <v>46.19</v>
      </c>
      <c r="AD30" s="2">
        <f t="shared" si="0"/>
        <v>1.9299999999999997</v>
      </c>
      <c r="AE30" s="138">
        <f t="shared" si="1"/>
        <v>-2.9825666876706625E-2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42545</v>
      </c>
      <c r="X31" s="10">
        <v>48.4</v>
      </c>
      <c r="Y31" s="10">
        <v>49.2</v>
      </c>
      <c r="Z31" s="10">
        <v>47.5</v>
      </c>
      <c r="AA31" s="10">
        <v>47.61</v>
      </c>
      <c r="AB31" s="95">
        <v>5684500</v>
      </c>
      <c r="AC31" s="10">
        <v>47.61</v>
      </c>
      <c r="AD31" s="2">
        <f t="shared" si="0"/>
        <v>1.7000000000000028</v>
      </c>
      <c r="AE31" s="138">
        <f t="shared" si="1"/>
        <v>-6.3164108618654069E-2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42544</v>
      </c>
      <c r="X32" s="10">
        <v>51.37</v>
      </c>
      <c r="Y32" s="10">
        <v>51.58</v>
      </c>
      <c r="Z32" s="10">
        <v>50.58</v>
      </c>
      <c r="AA32" s="10">
        <v>50.82</v>
      </c>
      <c r="AB32" s="95">
        <v>3150500</v>
      </c>
      <c r="AC32" s="10">
        <v>50.82</v>
      </c>
      <c r="AD32" s="2">
        <f t="shared" si="0"/>
        <v>1</v>
      </c>
      <c r="AE32" s="138">
        <f t="shared" si="1"/>
        <v>3.9370078740152969E-4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42543</v>
      </c>
      <c r="X33" s="10">
        <v>50.4</v>
      </c>
      <c r="Y33" s="10">
        <v>51.49</v>
      </c>
      <c r="Z33" s="10">
        <v>50.31</v>
      </c>
      <c r="AA33" s="10">
        <v>50.8</v>
      </c>
      <c r="AB33" s="95">
        <v>3417300</v>
      </c>
      <c r="AC33" s="10">
        <v>50.8</v>
      </c>
      <c r="AD33" s="2">
        <f t="shared" si="0"/>
        <v>1.1799999999999997</v>
      </c>
      <c r="AE33" s="138">
        <f t="shared" si="1"/>
        <v>2.7635215159889093E-3</v>
      </c>
    </row>
    <row r="34" spans="1:31" x14ac:dyDescent="0.25">
      <c r="W34" s="133">
        <v>42542</v>
      </c>
      <c r="X34" s="10">
        <v>50.33</v>
      </c>
      <c r="Y34" s="10">
        <v>50.74</v>
      </c>
      <c r="Z34" s="10">
        <v>49.89</v>
      </c>
      <c r="AA34" s="10">
        <v>50.66</v>
      </c>
      <c r="AB34" s="95">
        <v>2973100</v>
      </c>
      <c r="AC34" s="10">
        <v>50.66</v>
      </c>
      <c r="AD34" s="2">
        <f t="shared" si="0"/>
        <v>0.85000000000000142</v>
      </c>
      <c r="AE34" s="138">
        <f t="shared" si="1"/>
        <v>1.2390087929656124E-2</v>
      </c>
    </row>
    <row r="35" spans="1:31" x14ac:dyDescent="0.25">
      <c r="L35" t="s">
        <v>230</v>
      </c>
      <c r="M35" s="2">
        <f>M51+K51-F51</f>
        <v>745.43999999999505</v>
      </c>
      <c r="W35" s="133">
        <v>42541</v>
      </c>
      <c r="X35" s="10">
        <v>50.89</v>
      </c>
      <c r="Y35" s="10">
        <v>51.08</v>
      </c>
      <c r="Z35" s="10">
        <v>50.01</v>
      </c>
      <c r="AA35" s="10">
        <v>50.04</v>
      </c>
      <c r="AB35" s="95">
        <v>2350100</v>
      </c>
      <c r="AC35" s="10">
        <v>50.04</v>
      </c>
      <c r="AD35" s="2">
        <f t="shared" si="0"/>
        <v>1.0700000000000003</v>
      </c>
      <c r="AE35" s="138">
        <f t="shared" si="1"/>
        <v>1.4008405043026695E-3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42538</v>
      </c>
      <c r="X36" s="10">
        <v>49.1</v>
      </c>
      <c r="Y36" s="10">
        <v>50.09</v>
      </c>
      <c r="Z36" s="10">
        <v>48.85</v>
      </c>
      <c r="AA36" s="10">
        <v>49.97</v>
      </c>
      <c r="AB36" s="95">
        <v>2793100</v>
      </c>
      <c r="AC36" s="10">
        <v>49.97</v>
      </c>
      <c r="AD36" s="2">
        <f t="shared" si="0"/>
        <v>1.240000000000002</v>
      </c>
      <c r="AE36" s="138">
        <f t="shared" si="1"/>
        <v>1.7926257893664532E-2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42537</v>
      </c>
      <c r="X37" s="10">
        <v>49.63</v>
      </c>
      <c r="Y37" s="10">
        <v>49.94</v>
      </c>
      <c r="Z37" s="10">
        <v>48.85</v>
      </c>
      <c r="AA37" s="10">
        <v>49.09</v>
      </c>
      <c r="AB37" s="95">
        <v>2786800</v>
      </c>
      <c r="AC37" s="10">
        <v>49.09</v>
      </c>
      <c r="AD37" s="2">
        <f t="shared" si="0"/>
        <v>1.0899999999999963</v>
      </c>
      <c r="AE37" s="138">
        <f t="shared" si="1"/>
        <v>-1.5838011226944615E-2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42536</v>
      </c>
      <c r="X38" s="10">
        <v>49.73</v>
      </c>
      <c r="Y38" s="10">
        <v>50.92</v>
      </c>
      <c r="Z38" s="10">
        <v>49.69</v>
      </c>
      <c r="AA38" s="10">
        <v>49.88</v>
      </c>
      <c r="AB38" s="95">
        <v>2861800</v>
      </c>
      <c r="AC38" s="10">
        <v>49.88</v>
      </c>
      <c r="AD38" s="2">
        <f t="shared" si="0"/>
        <v>1.230000000000004</v>
      </c>
      <c r="AE38" s="138">
        <f t="shared" si="1"/>
        <v>9.3079724807769715E-3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42535</v>
      </c>
      <c r="X39" s="10">
        <v>49.28</v>
      </c>
      <c r="Y39" s="10">
        <v>49.97</v>
      </c>
      <c r="Z39" s="10">
        <v>48.77</v>
      </c>
      <c r="AA39" s="10">
        <v>49.42</v>
      </c>
      <c r="AB39" s="95">
        <v>3996000</v>
      </c>
      <c r="AC39" s="10">
        <v>49.42</v>
      </c>
      <c r="AD39" s="2">
        <f t="shared" si="0"/>
        <v>1.1999999999999957</v>
      </c>
      <c r="AE39" s="138">
        <f t="shared" si="1"/>
        <v>-5.0332192470303738E-3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42534</v>
      </c>
      <c r="X40" s="10">
        <v>49.65</v>
      </c>
      <c r="Y40" s="10">
        <v>50.16</v>
      </c>
      <c r="Z40" s="10">
        <v>49.5</v>
      </c>
      <c r="AA40" s="10">
        <v>49.67</v>
      </c>
      <c r="AB40" s="95">
        <v>4274000</v>
      </c>
      <c r="AC40" s="10">
        <v>49.67</v>
      </c>
      <c r="AD40" s="2">
        <f t="shared" si="0"/>
        <v>0.65999999999999659</v>
      </c>
      <c r="AE40" s="138">
        <f t="shared" si="1"/>
        <v>-3.4109149277689044E-3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42531</v>
      </c>
      <c r="X41" s="10">
        <v>50</v>
      </c>
      <c r="Y41" s="10">
        <v>50.49</v>
      </c>
      <c r="Z41" s="10">
        <v>49.76</v>
      </c>
      <c r="AA41" s="10">
        <v>49.84</v>
      </c>
      <c r="AB41" s="95">
        <v>3804500</v>
      </c>
      <c r="AC41" s="10">
        <v>49.84</v>
      </c>
      <c r="AD41" s="2">
        <f t="shared" si="0"/>
        <v>0.73000000000000398</v>
      </c>
      <c r="AE41" s="138">
        <f t="shared" si="1"/>
        <v>-1.7737485218762283E-2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42530</v>
      </c>
      <c r="X42" s="10">
        <v>50.33</v>
      </c>
      <c r="Y42" s="10">
        <v>50.87</v>
      </c>
      <c r="Z42" s="10">
        <v>49.8</v>
      </c>
      <c r="AA42" s="10">
        <v>50.74</v>
      </c>
      <c r="AB42" s="95">
        <v>4610400</v>
      </c>
      <c r="AC42" s="10">
        <v>50.74</v>
      </c>
      <c r="AD42" s="2">
        <f t="shared" si="0"/>
        <v>1.0700000000000003</v>
      </c>
      <c r="AE42" s="138">
        <f t="shared" si="1"/>
        <v>1.38148805999605E-3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55.297000000000011</v>
      </c>
      <c r="T43" s="128" t="s">
        <v>98</v>
      </c>
      <c r="U43" s="98">
        <v>49.67</v>
      </c>
      <c r="W43" s="133">
        <v>42529</v>
      </c>
      <c r="X43" s="10">
        <v>50.86</v>
      </c>
      <c r="Y43" s="10">
        <v>50.9</v>
      </c>
      <c r="Z43" s="10">
        <v>50.3</v>
      </c>
      <c r="AA43" s="10">
        <v>50.67</v>
      </c>
      <c r="AB43" s="95">
        <v>6388800</v>
      </c>
      <c r="AC43" s="10">
        <v>50.67</v>
      </c>
      <c r="AD43" s="2">
        <f t="shared" si="0"/>
        <v>0.60000000000000142</v>
      </c>
      <c r="AE43" s="138">
        <f t="shared" si="1"/>
        <v>-3.5398230088495852E-3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54.794300000000007</v>
      </c>
      <c r="T44" s="93" t="s">
        <v>99</v>
      </c>
      <c r="U44" s="88">
        <v>49.89</v>
      </c>
      <c r="W44" s="133">
        <v>42528</v>
      </c>
      <c r="X44" s="10">
        <v>49.17</v>
      </c>
      <c r="Y44" s="10">
        <v>50.97</v>
      </c>
      <c r="Z44" s="10">
        <v>49.16</v>
      </c>
      <c r="AA44" s="10">
        <v>50.85</v>
      </c>
      <c r="AB44" s="95">
        <v>6035200</v>
      </c>
      <c r="AC44" s="10">
        <v>50.85</v>
      </c>
      <c r="AD44" s="2">
        <f t="shared" si="0"/>
        <v>1.8100000000000023</v>
      </c>
      <c r="AE44" s="138">
        <f t="shared" si="1"/>
        <v>2.5408348457350183E-2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54.29160000000001</v>
      </c>
      <c r="R45" s="34"/>
      <c r="T45" s="93" t="s">
        <v>100</v>
      </c>
      <c r="U45" s="88" t="s">
        <v>421</v>
      </c>
      <c r="W45" s="133">
        <v>42527</v>
      </c>
      <c r="X45" s="10">
        <v>48.45</v>
      </c>
      <c r="Y45" s="10">
        <v>49.88</v>
      </c>
      <c r="Z45" s="10">
        <v>48.16</v>
      </c>
      <c r="AA45" s="10">
        <v>49.59</v>
      </c>
      <c r="AB45" s="95">
        <v>5458400</v>
      </c>
      <c r="AC45" s="10">
        <v>49.59</v>
      </c>
      <c r="AD45" s="2">
        <f t="shared" si="0"/>
        <v>1.720000000000006</v>
      </c>
      <c r="AE45" s="138">
        <f t="shared" si="1"/>
        <v>2.3529411764705799E-2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53.788900000000005</v>
      </c>
      <c r="Q46" s="34"/>
      <c r="R46" s="34"/>
      <c r="T46" s="93" t="s">
        <v>101</v>
      </c>
      <c r="U46" s="88" t="s">
        <v>422</v>
      </c>
      <c r="W46" s="133">
        <v>42524</v>
      </c>
      <c r="X46" s="10">
        <v>46.88</v>
      </c>
      <c r="Y46" s="10">
        <v>49.02</v>
      </c>
      <c r="Z46" s="10">
        <v>46.88</v>
      </c>
      <c r="AA46" s="10">
        <v>48.45</v>
      </c>
      <c r="AB46" s="95">
        <v>7149700</v>
      </c>
      <c r="AC46" s="10">
        <v>48.45</v>
      </c>
      <c r="AD46" s="2">
        <f t="shared" si="0"/>
        <v>2.1400000000000006</v>
      </c>
      <c r="AE46" s="138">
        <f t="shared" si="1"/>
        <v>1.9785308356135678E-2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53.286200000000008</v>
      </c>
      <c r="Q47" s="34"/>
      <c r="R47" s="34"/>
      <c r="T47" s="93" t="s">
        <v>102</v>
      </c>
      <c r="U47" s="88">
        <v>56.18</v>
      </c>
      <c r="W47" s="133">
        <v>42523</v>
      </c>
      <c r="X47" s="10">
        <v>45.42</v>
      </c>
      <c r="Y47" s="10">
        <v>47.83</v>
      </c>
      <c r="Z47" s="10">
        <v>45.3</v>
      </c>
      <c r="AA47" s="10">
        <v>47.51</v>
      </c>
      <c r="AB47" s="95">
        <v>9374100</v>
      </c>
      <c r="AC47" s="10">
        <v>47.51</v>
      </c>
      <c r="AD47" s="2">
        <f t="shared" si="0"/>
        <v>2.5300000000000011</v>
      </c>
      <c r="AE47" s="138">
        <f t="shared" si="1"/>
        <v>4.3029637760702455E-2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52.783500000000004</v>
      </c>
      <c r="Q48" s="34"/>
      <c r="R48" s="34"/>
      <c r="T48" s="93" t="s">
        <v>103</v>
      </c>
      <c r="U48" s="88">
        <v>7.9588000000000006E-2</v>
      </c>
      <c r="W48" s="133">
        <v>42522</v>
      </c>
      <c r="X48" s="10">
        <v>42.72</v>
      </c>
      <c r="Y48" s="10">
        <v>46</v>
      </c>
      <c r="Z48" s="10">
        <v>42.72</v>
      </c>
      <c r="AA48" s="10">
        <v>45.55</v>
      </c>
      <c r="AB48" s="95">
        <v>16533400</v>
      </c>
      <c r="AC48" s="10">
        <v>45.55</v>
      </c>
      <c r="AD48" s="2">
        <f t="shared" si="0"/>
        <v>3.2800000000000011</v>
      </c>
      <c r="AE48" s="138">
        <f t="shared" si="1"/>
        <v>6.6245318352059934E-2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52.280800000000006</v>
      </c>
      <c r="Q49" s="34"/>
      <c r="R49" s="34"/>
      <c r="T49" s="93" t="s">
        <v>104</v>
      </c>
      <c r="U49" s="88" t="s">
        <v>334</v>
      </c>
      <c r="W49" s="133">
        <v>42521</v>
      </c>
      <c r="X49" s="10">
        <v>41.66</v>
      </c>
      <c r="Y49" s="10">
        <v>42.93</v>
      </c>
      <c r="Z49" s="10">
        <v>41.41</v>
      </c>
      <c r="AA49" s="10">
        <v>42.72</v>
      </c>
      <c r="AB49" s="95">
        <v>10067900</v>
      </c>
      <c r="AC49" s="10">
        <v>42.72</v>
      </c>
      <c r="AD49" s="2">
        <f t="shared" si="0"/>
        <v>1.5200000000000031</v>
      </c>
      <c r="AE49" s="138">
        <f t="shared" si="1"/>
        <v>2.2254127781766053E-2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51.778100000000002</v>
      </c>
      <c r="Q50" s="83"/>
      <c r="R50" s="34"/>
      <c r="T50" s="93"/>
      <c r="U50" s="88"/>
      <c r="W50" s="133">
        <v>42517</v>
      </c>
      <c r="X50" s="10">
        <v>41.94</v>
      </c>
      <c r="Y50" s="10">
        <v>42.08</v>
      </c>
      <c r="Z50" s="10">
        <v>41.55</v>
      </c>
      <c r="AA50" s="10">
        <v>41.79</v>
      </c>
      <c r="AB50" s="95">
        <v>2944600</v>
      </c>
      <c r="AC50" s="10">
        <v>41.79</v>
      </c>
      <c r="AD50" s="2">
        <f t="shared" si="0"/>
        <v>0.53000000000000114</v>
      </c>
      <c r="AE50" s="138">
        <f t="shared" si="1"/>
        <v>-7.1736011477763206E-4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51.275400000000005</v>
      </c>
      <c r="Q51" s="83"/>
      <c r="R51" s="34"/>
      <c r="T51" s="93" t="s">
        <v>105</v>
      </c>
      <c r="U51" s="88" t="s">
        <v>423</v>
      </c>
      <c r="W51" s="133">
        <v>42516</v>
      </c>
      <c r="X51" s="10">
        <v>42.34</v>
      </c>
      <c r="Y51" s="10">
        <v>42.6</v>
      </c>
      <c r="Z51" s="10">
        <v>41.48</v>
      </c>
      <c r="AA51" s="10">
        <v>41.82</v>
      </c>
      <c r="AB51" s="95">
        <v>2992400</v>
      </c>
      <c r="AC51" s="10">
        <v>41.82</v>
      </c>
      <c r="AD51" s="2">
        <f t="shared" si="0"/>
        <v>1.1200000000000045</v>
      </c>
      <c r="AE51" s="138">
        <f t="shared" si="1"/>
        <v>4.7846889952163352E-4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50.7727</v>
      </c>
      <c r="Q52" s="83"/>
      <c r="R52" s="34"/>
      <c r="T52" s="93" t="s">
        <v>106</v>
      </c>
      <c r="U52" s="88" t="s">
        <v>244</v>
      </c>
      <c r="W52" s="133">
        <v>42515</v>
      </c>
      <c r="X52" s="10">
        <v>41.06</v>
      </c>
      <c r="Y52" s="10">
        <v>41.89</v>
      </c>
      <c r="Z52" s="10">
        <v>40.99</v>
      </c>
      <c r="AA52" s="10">
        <v>41.8</v>
      </c>
      <c r="AB52" s="95">
        <v>2735500</v>
      </c>
      <c r="AC52" s="10">
        <v>41.8</v>
      </c>
      <c r="AD52" s="2">
        <f t="shared" si="0"/>
        <v>0.89999999999999858</v>
      </c>
      <c r="AE52" s="138">
        <f t="shared" si="1"/>
        <v>5.7747834456207681E-3</v>
      </c>
    </row>
    <row r="53" spans="1:31" x14ac:dyDescent="0.25">
      <c r="O53" s="83">
        <v>1</v>
      </c>
      <c r="P53" s="83">
        <f t="shared" si="7"/>
        <v>50.27</v>
      </c>
      <c r="Q53" s="83"/>
      <c r="R53" s="34"/>
      <c r="T53" s="93" t="s">
        <v>107</v>
      </c>
      <c r="U53" s="90">
        <v>2644986</v>
      </c>
      <c r="W53" s="133">
        <v>42514</v>
      </c>
      <c r="X53" s="10">
        <v>41.51</v>
      </c>
      <c r="Y53" s="10">
        <v>41.93</v>
      </c>
      <c r="Z53" s="10">
        <v>40.72</v>
      </c>
      <c r="AA53" s="10">
        <v>41.56</v>
      </c>
      <c r="AB53" s="95">
        <v>3967300</v>
      </c>
      <c r="AC53" s="10">
        <v>41.56</v>
      </c>
      <c r="AD53" s="2">
        <f t="shared" si="0"/>
        <v>1.2100000000000009</v>
      </c>
      <c r="AE53" s="138">
        <f t="shared" si="1"/>
        <v>1.2045290291498034E-3</v>
      </c>
    </row>
    <row r="54" spans="1:31" x14ac:dyDescent="0.25">
      <c r="O54" s="83">
        <v>0.99</v>
      </c>
      <c r="P54" s="83">
        <f t="shared" si="7"/>
        <v>49.767300000000006</v>
      </c>
      <c r="Q54" s="83"/>
      <c r="R54" s="34"/>
      <c r="T54" s="93" t="s">
        <v>110</v>
      </c>
      <c r="U54" s="90">
        <v>3905300</v>
      </c>
      <c r="W54" s="133">
        <v>42513</v>
      </c>
      <c r="X54" s="10">
        <v>41.87</v>
      </c>
      <c r="Y54" s="10">
        <v>42.74</v>
      </c>
      <c r="Z54" s="10">
        <v>41.49</v>
      </c>
      <c r="AA54" s="10">
        <v>41.51</v>
      </c>
      <c r="AB54" s="95">
        <v>3709800</v>
      </c>
      <c r="AC54" s="10">
        <v>41.51</v>
      </c>
      <c r="AD54" s="2">
        <f t="shared" si="0"/>
        <v>1.25</v>
      </c>
      <c r="AE54" s="138">
        <f t="shared" si="1"/>
        <v>-9.6269554753303233E-4</v>
      </c>
    </row>
    <row r="55" spans="1:31" x14ac:dyDescent="0.25">
      <c r="O55" s="83">
        <v>0.98</v>
      </c>
      <c r="P55" s="83">
        <f t="shared" si="7"/>
        <v>49.264600000000002</v>
      </c>
      <c r="Q55" s="83"/>
      <c r="R55" s="34"/>
      <c r="T55" s="93" t="s">
        <v>108</v>
      </c>
      <c r="U55" s="88" t="s">
        <v>424</v>
      </c>
      <c r="W55" s="133">
        <v>42510</v>
      </c>
      <c r="X55" s="10">
        <v>40.840000000000003</v>
      </c>
      <c r="Y55" s="10">
        <v>41.64</v>
      </c>
      <c r="Z55" s="10">
        <v>40.81</v>
      </c>
      <c r="AA55" s="10">
        <v>41.55</v>
      </c>
      <c r="AB55" s="95">
        <v>2747900</v>
      </c>
      <c r="AC55" s="10">
        <v>41.55</v>
      </c>
      <c r="AD55" s="2">
        <f t="shared" si="0"/>
        <v>0.82999999999999829</v>
      </c>
      <c r="AE55" s="138">
        <f t="shared" si="1"/>
        <v>2.0884520884520752E-2</v>
      </c>
    </row>
    <row r="56" spans="1:31" x14ac:dyDescent="0.25">
      <c r="O56" s="83">
        <v>0.97</v>
      </c>
      <c r="P56" s="83">
        <f t="shared" si="7"/>
        <v>48.761900000000004</v>
      </c>
      <c r="Q56" s="83"/>
      <c r="R56" s="34"/>
      <c r="T56" s="93" t="s">
        <v>111</v>
      </c>
      <c r="U56" s="88">
        <v>11.35</v>
      </c>
      <c r="W56" s="133">
        <v>42509</v>
      </c>
      <c r="X56" s="10">
        <v>40.659999999999997</v>
      </c>
      <c r="Y56" s="10">
        <v>41.46</v>
      </c>
      <c r="Z56" s="10">
        <v>40.36</v>
      </c>
      <c r="AA56" s="10">
        <v>40.700000000000003</v>
      </c>
      <c r="AB56" s="95">
        <v>3620700</v>
      </c>
      <c r="AC56" s="10">
        <v>40.700000000000003</v>
      </c>
      <c r="AD56" s="2">
        <f t="shared" si="0"/>
        <v>1.1000000000000014</v>
      </c>
      <c r="AE56" s="138">
        <f t="shared" si="1"/>
        <v>-1.2269938650305567E-3</v>
      </c>
    </row>
    <row r="57" spans="1:31" x14ac:dyDescent="0.25">
      <c r="O57" s="83">
        <v>0.96</v>
      </c>
      <c r="P57" s="83">
        <f t="shared" si="7"/>
        <v>48.2592</v>
      </c>
      <c r="Q57" s="83"/>
      <c r="R57" s="34"/>
      <c r="T57" s="93" t="s">
        <v>112</v>
      </c>
      <c r="U57" s="88">
        <v>4.4400000000000004</v>
      </c>
      <c r="W57" s="133">
        <v>42508</v>
      </c>
      <c r="X57" s="10">
        <v>41.38</v>
      </c>
      <c r="Y57" s="10">
        <v>41.98</v>
      </c>
      <c r="Z57" s="10">
        <v>40.450000000000003</v>
      </c>
      <c r="AA57" s="10">
        <v>40.75</v>
      </c>
      <c r="AB57" s="95">
        <v>3144200</v>
      </c>
      <c r="AC57" s="10">
        <v>40.75</v>
      </c>
      <c r="AD57" s="2">
        <f t="shared" si="0"/>
        <v>1.529999999999994</v>
      </c>
      <c r="AE57" s="138">
        <f t="shared" si="1"/>
        <v>-2.1138601969733384E-2</v>
      </c>
    </row>
    <row r="58" spans="1:31" x14ac:dyDescent="0.25">
      <c r="O58" s="83">
        <v>0.95</v>
      </c>
      <c r="P58" s="83">
        <f t="shared" si="7"/>
        <v>47.756500000000003</v>
      </c>
      <c r="Q58" s="83"/>
      <c r="R58" s="34"/>
      <c r="T58" s="93" t="s">
        <v>109</v>
      </c>
      <c r="U58" s="88" t="s">
        <v>124</v>
      </c>
      <c r="W58" s="133">
        <v>42507</v>
      </c>
      <c r="X58" s="10">
        <v>41.43</v>
      </c>
      <c r="Y58" s="10">
        <v>42.35</v>
      </c>
      <c r="Z58" s="10">
        <v>40.74</v>
      </c>
      <c r="AA58" s="10">
        <v>41.63</v>
      </c>
      <c r="AB58" s="95">
        <v>4735400</v>
      </c>
      <c r="AC58" s="10">
        <v>41.63</v>
      </c>
      <c r="AD58" s="2">
        <f t="shared" si="0"/>
        <v>1.6099999999999994</v>
      </c>
      <c r="AE58" s="138">
        <f t="shared" si="1"/>
        <v>4.1003376748673936E-3</v>
      </c>
    </row>
    <row r="59" spans="1:31" x14ac:dyDescent="0.25">
      <c r="O59" s="83">
        <v>0.94</v>
      </c>
      <c r="P59" s="83">
        <f t="shared" si="7"/>
        <v>47.253799999999998</v>
      </c>
      <c r="Q59" s="83"/>
      <c r="W59" s="133">
        <v>42506</v>
      </c>
      <c r="X59" s="10">
        <v>41.86</v>
      </c>
      <c r="Y59" s="10">
        <v>41.98</v>
      </c>
      <c r="Z59" s="10">
        <v>40.99</v>
      </c>
      <c r="AA59" s="10">
        <v>41.46</v>
      </c>
      <c r="AB59" s="95">
        <v>3053500</v>
      </c>
      <c r="AC59" s="10">
        <v>41.46</v>
      </c>
      <c r="AD59" s="2">
        <f t="shared" si="0"/>
        <v>0.98999999999999488</v>
      </c>
      <c r="AE59" s="138">
        <f t="shared" si="1"/>
        <v>-1.0737294201860981E-2</v>
      </c>
    </row>
    <row r="60" spans="1:31" x14ac:dyDescent="0.25">
      <c r="O60" s="83">
        <v>0.93</v>
      </c>
      <c r="P60" s="83">
        <f t="shared" si="7"/>
        <v>46.751100000000008</v>
      </c>
      <c r="Q60" s="83"/>
      <c r="W60" s="133">
        <v>42503</v>
      </c>
      <c r="X60" s="10">
        <v>43.07</v>
      </c>
      <c r="Y60" s="10">
        <v>43.1</v>
      </c>
      <c r="Z60" s="10">
        <v>40.81</v>
      </c>
      <c r="AA60" s="10">
        <v>41.91</v>
      </c>
      <c r="AB60" s="95">
        <v>9170500</v>
      </c>
      <c r="AC60" s="10">
        <v>41.91</v>
      </c>
      <c r="AD60" s="2">
        <f t="shared" si="0"/>
        <v>2.2899999999999991</v>
      </c>
      <c r="AE60" s="138">
        <f t="shared" si="1"/>
        <v>-4.2932176295958024E-2</v>
      </c>
    </row>
    <row r="61" spans="1:31" x14ac:dyDescent="0.25">
      <c r="O61" s="83">
        <v>0.92</v>
      </c>
      <c r="P61" s="83">
        <f t="shared" si="7"/>
        <v>46.248400000000004</v>
      </c>
      <c r="Q61" s="83"/>
      <c r="W61" s="133">
        <v>42502</v>
      </c>
      <c r="X61" s="10">
        <v>44.34</v>
      </c>
      <c r="Y61" s="10">
        <v>44.44</v>
      </c>
      <c r="Z61" s="10">
        <v>43.06</v>
      </c>
      <c r="AA61" s="10">
        <v>43.79</v>
      </c>
      <c r="AB61" s="95">
        <v>5586300</v>
      </c>
      <c r="AC61" s="10">
        <v>43.79</v>
      </c>
      <c r="AD61" s="2">
        <f t="shared" si="0"/>
        <v>1.3799999999999955</v>
      </c>
      <c r="AE61" s="138">
        <f t="shared" si="1"/>
        <v>-4.9988638945693831E-3</v>
      </c>
    </row>
    <row r="62" spans="1:31" x14ac:dyDescent="0.25">
      <c r="O62" s="83">
        <v>0.91</v>
      </c>
      <c r="P62" s="83">
        <f t="shared" si="7"/>
        <v>45.745700000000006</v>
      </c>
      <c r="Q62" s="83"/>
      <c r="W62" s="133">
        <v>42501</v>
      </c>
      <c r="X62" s="10">
        <v>46.23</v>
      </c>
      <c r="Y62" s="10">
        <v>46.67</v>
      </c>
      <c r="Z62" s="10">
        <v>43.54</v>
      </c>
      <c r="AA62" s="10">
        <v>44.01</v>
      </c>
      <c r="AB62" s="95">
        <v>15023300</v>
      </c>
      <c r="AC62" s="10">
        <v>44.01</v>
      </c>
      <c r="AD62" s="2">
        <f t="shared" si="0"/>
        <v>3.1300000000000026</v>
      </c>
      <c r="AE62" s="138">
        <f t="shared" si="1"/>
        <v>-0.11803607214428857</v>
      </c>
    </row>
    <row r="63" spans="1:31" x14ac:dyDescent="0.25">
      <c r="O63" s="83">
        <v>0.9</v>
      </c>
      <c r="P63" s="83">
        <f t="shared" si="7"/>
        <v>45.243000000000002</v>
      </c>
      <c r="Q63" s="83"/>
      <c r="W63" s="133">
        <v>42500</v>
      </c>
      <c r="X63" s="10">
        <v>50.69</v>
      </c>
      <c r="Y63" s="10">
        <v>50.72</v>
      </c>
      <c r="Z63" s="10">
        <v>49.19</v>
      </c>
      <c r="AA63" s="10">
        <v>49.9</v>
      </c>
      <c r="AB63" s="95">
        <v>3615900</v>
      </c>
      <c r="AC63" s="10">
        <v>49.9</v>
      </c>
      <c r="AD63" s="2">
        <f t="shared" si="0"/>
        <v>1.5300000000000011</v>
      </c>
      <c r="AE63" s="138">
        <f t="shared" si="1"/>
        <v>-1.5390686661404862E-2</v>
      </c>
    </row>
    <row r="64" spans="1:31" x14ac:dyDescent="0.25">
      <c r="Q64" s="83"/>
      <c r="W64" s="133">
        <v>42499</v>
      </c>
      <c r="X64" s="10">
        <v>50.56</v>
      </c>
      <c r="Y64" s="10">
        <v>51.38</v>
      </c>
      <c r="Z64" s="10">
        <v>50.39</v>
      </c>
      <c r="AA64" s="10">
        <v>50.68</v>
      </c>
      <c r="AB64" s="95">
        <v>2028000</v>
      </c>
      <c r="AC64" s="10">
        <v>50.68</v>
      </c>
      <c r="AD64" s="2">
        <f t="shared" si="0"/>
        <v>0.99000000000000199</v>
      </c>
      <c r="AE64" s="138">
        <f t="shared" si="1"/>
        <v>-3.7350108118733294E-3</v>
      </c>
    </row>
    <row r="65" spans="15:31" x14ac:dyDescent="0.25">
      <c r="Q65" s="83"/>
      <c r="W65" s="133">
        <v>42496</v>
      </c>
      <c r="X65" s="10">
        <v>50.18</v>
      </c>
      <c r="Y65" s="10">
        <v>51.13</v>
      </c>
      <c r="Z65" s="10">
        <v>49.67</v>
      </c>
      <c r="AA65" s="10">
        <v>50.87</v>
      </c>
      <c r="AB65" s="95">
        <v>1987400</v>
      </c>
      <c r="AC65" s="10">
        <v>50.87</v>
      </c>
      <c r="AD65" s="2">
        <f t="shared" si="0"/>
        <v>1.4600000000000009</v>
      </c>
      <c r="AE65" s="138">
        <f t="shared" si="1"/>
        <v>1.3750498206456685E-2</v>
      </c>
    </row>
    <row r="66" spans="15:31" x14ac:dyDescent="0.25">
      <c r="Q66" s="83"/>
      <c r="W66" s="133">
        <v>42495</v>
      </c>
      <c r="X66" s="10">
        <v>51.08</v>
      </c>
      <c r="Y66" s="10">
        <v>51.34</v>
      </c>
      <c r="Z66" s="10">
        <v>50.11</v>
      </c>
      <c r="AA66" s="10">
        <v>50.18</v>
      </c>
      <c r="AB66" s="95">
        <v>2283600</v>
      </c>
      <c r="AC66" s="10">
        <v>50.18</v>
      </c>
      <c r="AD66" s="2">
        <f t="shared" si="0"/>
        <v>1.230000000000004</v>
      </c>
      <c r="AE66" s="138">
        <f t="shared" si="1"/>
        <v>-2.2022997466380922E-2</v>
      </c>
    </row>
    <row r="67" spans="15:31" x14ac:dyDescent="0.25">
      <c r="Q67" s="83"/>
      <c r="W67" s="133">
        <v>42494</v>
      </c>
      <c r="X67" s="10">
        <v>52.11</v>
      </c>
      <c r="Y67" s="10">
        <v>52.66</v>
      </c>
      <c r="Z67" s="10">
        <v>51.08</v>
      </c>
      <c r="AA67" s="10">
        <v>51.31</v>
      </c>
      <c r="AB67" s="95">
        <v>1645300</v>
      </c>
      <c r="AC67" s="10">
        <v>51.31</v>
      </c>
      <c r="AD67" s="2">
        <f>Y67-Z67</f>
        <v>1.5799999999999983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3" priority="19">
      <formula>F31&gt;0</formula>
    </cfRule>
    <cfRule type="expression" dxfId="202" priority="20">
      <formula>F31&lt;0</formula>
    </cfRule>
  </conditionalFormatting>
  <conditionalFormatting sqref="H31:H33">
    <cfRule type="expression" dxfId="201" priority="11">
      <formula>H31&gt;0</formula>
    </cfRule>
    <cfRule type="expression" dxfId="200" priority="12">
      <formula>H31&lt;0</formula>
    </cfRule>
  </conditionalFormatting>
  <conditionalFormatting sqref="F21:F30">
    <cfRule type="expression" dxfId="199" priority="7">
      <formula>F21&gt;0</formula>
    </cfRule>
    <cfRule type="expression" dxfId="198" priority="8">
      <formula>F21&lt;0</formula>
    </cfRule>
  </conditionalFormatting>
  <conditionalFormatting sqref="H21:H30">
    <cfRule type="expression" dxfId="197" priority="5">
      <formula>H21&gt;0</formula>
    </cfRule>
    <cfRule type="expression" dxfId="196" priority="6">
      <formula>H21&lt;0</formula>
    </cfRule>
  </conditionalFormatting>
  <conditionalFormatting sqref="Q8">
    <cfRule type="expression" dxfId="195" priority="1">
      <formula>Q8&gt;0</formula>
    </cfRule>
    <cfRule type="expression" dxfId="194" priority="2">
      <formula>Q8&lt;0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42587</v>
      </c>
      <c r="Y2" s="9">
        <v>68.72</v>
      </c>
      <c r="Z2" s="9">
        <v>68.97</v>
      </c>
      <c r="AA2" s="9">
        <v>68.5</v>
      </c>
      <c r="AB2" s="9">
        <v>68.84</v>
      </c>
      <c r="AC2" s="104">
        <v>1613900</v>
      </c>
      <c r="AD2" s="9">
        <v>68.84</v>
      </c>
      <c r="AE2" s="2">
        <f>Z2-AA2</f>
        <v>0.46999999999999886</v>
      </c>
      <c r="AF2" s="138">
        <f>AD2/AD3-1</f>
        <v>3.206062372486107E-3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69.17</v>
      </c>
      <c r="T3" s="85"/>
      <c r="X3" s="110">
        <v>42586</v>
      </c>
      <c r="Y3" s="9">
        <v>67.989999999999995</v>
      </c>
      <c r="Z3" s="9">
        <v>69.239999999999995</v>
      </c>
      <c r="AA3" s="9">
        <v>67.989999999999995</v>
      </c>
      <c r="AB3" s="9">
        <v>68.62</v>
      </c>
      <c r="AC3" s="104">
        <v>2149800</v>
      </c>
      <c r="AD3" s="9">
        <v>68.62</v>
      </c>
      <c r="AE3" s="2">
        <f t="shared" ref="AE3:AE66" si="0">Z3-AA3</f>
        <v>1.25</v>
      </c>
      <c r="AF3" s="138">
        <f t="shared" ref="AF3:AF66" si="1">AD3/AD4-1</f>
        <v>-1.4570887367026941E-4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69.17</v>
      </c>
      <c r="X4" s="110">
        <v>42585</v>
      </c>
      <c r="Y4" s="9">
        <v>68.28</v>
      </c>
      <c r="Z4" s="9">
        <v>68.709999999999994</v>
      </c>
      <c r="AA4" s="9">
        <v>68.180000000000007</v>
      </c>
      <c r="AB4" s="9">
        <v>68.63</v>
      </c>
      <c r="AC4" s="104">
        <v>2032700</v>
      </c>
      <c r="AD4" s="9">
        <v>68.63</v>
      </c>
      <c r="AE4" s="2">
        <f t="shared" si="0"/>
        <v>0.52999999999998693</v>
      </c>
      <c r="AF4" s="138">
        <f t="shared" si="1"/>
        <v>7.6347085596828457E-3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42584</v>
      </c>
      <c r="Y5" s="9">
        <v>68.33</v>
      </c>
      <c r="Z5" s="9">
        <v>68.55</v>
      </c>
      <c r="AA5" s="9">
        <v>68.03</v>
      </c>
      <c r="AB5" s="9">
        <v>68.11</v>
      </c>
      <c r="AC5" s="104">
        <v>1344400</v>
      </c>
      <c r="AD5" s="9">
        <v>68.11</v>
      </c>
      <c r="AE5" s="2">
        <f t="shared" si="0"/>
        <v>0.51999999999999602</v>
      </c>
      <c r="AF5" s="138">
        <f t="shared" si="1"/>
        <v>-4.0941658137154668E-3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42583</v>
      </c>
      <c r="Y6" s="9">
        <v>68.44</v>
      </c>
      <c r="Z6" s="9">
        <v>68.569999999999993</v>
      </c>
      <c r="AA6" s="9">
        <v>68.03</v>
      </c>
      <c r="AB6" s="9">
        <v>68.39</v>
      </c>
      <c r="AC6" s="104">
        <v>1728900</v>
      </c>
      <c r="AD6" s="9">
        <v>68.39</v>
      </c>
      <c r="AE6" s="2">
        <f t="shared" si="0"/>
        <v>0.53999999999999204</v>
      </c>
      <c r="AF6" s="138">
        <f t="shared" si="1"/>
        <v>8.7809161422502946E-4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188</v>
      </c>
      <c r="Q7" s="2">
        <f>Q10+Q8</f>
        <v>523.61999999999898</v>
      </c>
      <c r="R7">
        <v>0</v>
      </c>
      <c r="T7" s="85"/>
      <c r="X7" s="110">
        <v>42580</v>
      </c>
      <c r="Y7" s="9">
        <v>68.91</v>
      </c>
      <c r="Z7" s="9">
        <v>68.98</v>
      </c>
      <c r="AA7" s="9">
        <v>68.099999999999994</v>
      </c>
      <c r="AB7" s="9">
        <v>68.33</v>
      </c>
      <c r="AC7" s="104">
        <v>2614600</v>
      </c>
      <c r="AD7" s="9">
        <v>68.33</v>
      </c>
      <c r="AE7" s="2">
        <f t="shared" si="0"/>
        <v>0.88000000000000966</v>
      </c>
      <c r="AF7" s="138">
        <f t="shared" si="1"/>
        <v>-1.2143993060575453E-2</v>
      </c>
    </row>
    <row r="8" spans="1:32" x14ac:dyDescent="0.25">
      <c r="O8" s="11" t="s">
        <v>192</v>
      </c>
      <c r="P8" s="34"/>
      <c r="Q8" s="2">
        <f>K18+M18-F18+Q2*Q4</f>
        <v>0</v>
      </c>
      <c r="R8" s="165"/>
      <c r="T8" s="85"/>
      <c r="X8" s="110">
        <v>42579</v>
      </c>
      <c r="Y8" s="9">
        <v>68.84</v>
      </c>
      <c r="Z8" s="9">
        <v>69.37</v>
      </c>
      <c r="AA8" s="9">
        <v>68.64</v>
      </c>
      <c r="AB8" s="9">
        <v>69.17</v>
      </c>
      <c r="AC8" s="104">
        <v>903600</v>
      </c>
      <c r="AD8" s="9">
        <v>69.17</v>
      </c>
      <c r="AE8" s="2">
        <f t="shared" si="0"/>
        <v>0.73000000000000398</v>
      </c>
      <c r="AF8" s="138">
        <f t="shared" si="1"/>
        <v>4.5018878884692803E-3</v>
      </c>
    </row>
    <row r="9" spans="1:32" x14ac:dyDescent="0.25">
      <c r="O9" s="11" t="s">
        <v>231</v>
      </c>
      <c r="Q9" s="138">
        <f>IF(Q2=0, 0, Q8/Q6)</f>
        <v>0</v>
      </c>
      <c r="X9" s="110">
        <v>42578</v>
      </c>
      <c r="Y9" s="9">
        <v>68.94</v>
      </c>
      <c r="Z9" s="9">
        <v>69.17</v>
      </c>
      <c r="AA9" s="9">
        <v>68.7</v>
      </c>
      <c r="AB9" s="9">
        <v>68.86</v>
      </c>
      <c r="AC9" s="104">
        <v>1321600</v>
      </c>
      <c r="AD9" s="9">
        <v>68.86</v>
      </c>
      <c r="AE9" s="2">
        <f t="shared" si="0"/>
        <v>0.46999999999999886</v>
      </c>
      <c r="AF9" s="138">
        <f t="shared" si="1"/>
        <v>-2.6071842410197998E-3</v>
      </c>
    </row>
    <row r="10" spans="1:32" x14ac:dyDescent="0.25">
      <c r="O10" s="11" t="s">
        <v>230</v>
      </c>
      <c r="P10" s="34"/>
      <c r="Q10" s="2">
        <f>M40</f>
        <v>523.61999999999898</v>
      </c>
      <c r="T10" s="121"/>
      <c r="U10" s="68"/>
      <c r="X10" s="110">
        <v>42577</v>
      </c>
      <c r="Y10" s="9">
        <v>69.27</v>
      </c>
      <c r="Z10" s="9">
        <v>69.5</v>
      </c>
      <c r="AA10" s="9">
        <v>68.86</v>
      </c>
      <c r="AB10" s="9">
        <v>69.040000000000006</v>
      </c>
      <c r="AC10" s="104">
        <v>905700</v>
      </c>
      <c r="AD10" s="9">
        <v>69.040000000000006</v>
      </c>
      <c r="AE10" s="2">
        <f t="shared" si="0"/>
        <v>0.64000000000000057</v>
      </c>
      <c r="AF10" s="138">
        <f t="shared" si="1"/>
        <v>-2.6004045073677595E-3</v>
      </c>
    </row>
    <row r="11" spans="1:32" x14ac:dyDescent="0.25">
      <c r="O11" s="11" t="s">
        <v>184</v>
      </c>
      <c r="P11" s="34"/>
      <c r="Q11" s="138">
        <f>VALUE(TRIM(CLEAN(MID(U55, FIND("(", U55)+1, 5))))</f>
        <v>1.9199999999999998E-2</v>
      </c>
      <c r="T11" s="121"/>
      <c r="U11" s="68"/>
      <c r="X11" s="110">
        <v>42576</v>
      </c>
      <c r="Y11" s="9">
        <v>69.16</v>
      </c>
      <c r="Z11" s="9">
        <v>69.3</v>
      </c>
      <c r="AA11" s="9">
        <v>69</v>
      </c>
      <c r="AB11" s="9">
        <v>69.22</v>
      </c>
      <c r="AC11" s="104">
        <v>1011700</v>
      </c>
      <c r="AD11" s="9">
        <v>69.22</v>
      </c>
      <c r="AE11" s="2">
        <f t="shared" si="0"/>
        <v>0.29999999999999716</v>
      </c>
      <c r="AF11" s="138">
        <f t="shared" si="1"/>
        <v>2.8901734104036514E-4</v>
      </c>
    </row>
    <row r="12" spans="1:32" x14ac:dyDescent="0.25">
      <c r="X12" s="110">
        <v>42573</v>
      </c>
      <c r="Y12" s="9">
        <v>69.069999999999993</v>
      </c>
      <c r="Z12" s="9">
        <v>69.31</v>
      </c>
      <c r="AA12" s="9">
        <v>68.98</v>
      </c>
      <c r="AB12" s="9">
        <v>69.2</v>
      </c>
      <c r="AC12" s="104">
        <v>1185600</v>
      </c>
      <c r="AD12" s="9">
        <v>69.2</v>
      </c>
      <c r="AE12" s="2">
        <f t="shared" si="0"/>
        <v>0.32999999999999829</v>
      </c>
      <c r="AF12" s="138">
        <f t="shared" si="1"/>
        <v>4.499927420525518E-3</v>
      </c>
    </row>
    <row r="13" spans="1:32" x14ac:dyDescent="0.25">
      <c r="Q13" s="2"/>
      <c r="X13" s="110">
        <v>42572</v>
      </c>
      <c r="Y13" s="9">
        <v>69.069999999999993</v>
      </c>
      <c r="Z13" s="9">
        <v>69.12</v>
      </c>
      <c r="AA13" s="9">
        <v>68.8</v>
      </c>
      <c r="AB13" s="9">
        <v>68.89</v>
      </c>
      <c r="AC13" s="104">
        <v>1041300</v>
      </c>
      <c r="AD13" s="9">
        <v>68.89</v>
      </c>
      <c r="AE13" s="2">
        <f t="shared" si="0"/>
        <v>0.32000000000000739</v>
      </c>
      <c r="AF13" s="138">
        <f t="shared" si="1"/>
        <v>-3.0390738060780409E-3</v>
      </c>
    </row>
    <row r="14" spans="1:32" x14ac:dyDescent="0.25">
      <c r="X14" s="110">
        <v>42571</v>
      </c>
      <c r="Y14" s="9">
        <v>69.27</v>
      </c>
      <c r="Z14" s="9">
        <v>69.3</v>
      </c>
      <c r="AA14" s="9">
        <v>68.989999999999995</v>
      </c>
      <c r="AB14" s="9">
        <v>69.099999999999994</v>
      </c>
      <c r="AC14" s="104">
        <v>865400</v>
      </c>
      <c r="AD14" s="9">
        <v>69.099999999999994</v>
      </c>
      <c r="AE14" s="2">
        <f t="shared" si="0"/>
        <v>0.31000000000000227</v>
      </c>
      <c r="AF14" s="138">
        <f t="shared" si="1"/>
        <v>-2.893518518519711E-4</v>
      </c>
    </row>
    <row r="15" spans="1:32" x14ac:dyDescent="0.25">
      <c r="X15" s="110">
        <v>42570</v>
      </c>
      <c r="Y15" s="9">
        <v>69.06</v>
      </c>
      <c r="Z15" s="9">
        <v>69.22</v>
      </c>
      <c r="AA15" s="9">
        <v>68.97</v>
      </c>
      <c r="AB15" s="9">
        <v>69.12</v>
      </c>
      <c r="AC15" s="104">
        <v>869400</v>
      </c>
      <c r="AD15" s="9">
        <v>69.12</v>
      </c>
      <c r="AE15" s="2">
        <f t="shared" si="0"/>
        <v>0.25</v>
      </c>
      <c r="AF15" s="138">
        <f t="shared" si="1"/>
        <v>-3.3165104542175472E-3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42569</v>
      </c>
      <c r="Y16" s="9">
        <v>69.59</v>
      </c>
      <c r="Z16" s="9">
        <v>69.75</v>
      </c>
      <c r="AA16" s="9">
        <v>69.28</v>
      </c>
      <c r="AB16" s="9">
        <v>69.349999999999994</v>
      </c>
      <c r="AC16" s="104">
        <v>1280400</v>
      </c>
      <c r="AD16" s="9">
        <v>69.349999999999994</v>
      </c>
      <c r="AE16" s="2">
        <f t="shared" si="0"/>
        <v>0.46999999999999886</v>
      </c>
      <c r="AF16" s="138">
        <f t="shared" si="1"/>
        <v>-2.0146783709886762E-3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42566</v>
      </c>
      <c r="Y17" s="9">
        <v>69.459999999999994</v>
      </c>
      <c r="Z17" s="9">
        <v>69.7</v>
      </c>
      <c r="AA17" s="9">
        <v>69.349999999999994</v>
      </c>
      <c r="AB17" s="9">
        <v>69.489999999999995</v>
      </c>
      <c r="AC17" s="104">
        <v>1490000</v>
      </c>
      <c r="AD17" s="9">
        <v>69.489999999999995</v>
      </c>
      <c r="AE17" s="2">
        <f t="shared" si="0"/>
        <v>0.35000000000000853</v>
      </c>
      <c r="AF17" s="138">
        <f t="shared" si="1"/>
        <v>2.5970278459095386E-3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42565</v>
      </c>
      <c r="Y18" s="9">
        <v>69.62</v>
      </c>
      <c r="Z18" s="9">
        <v>69.92</v>
      </c>
      <c r="AA18" s="9">
        <v>69.25</v>
      </c>
      <c r="AB18" s="9">
        <v>69.31</v>
      </c>
      <c r="AC18" s="104">
        <v>1454400</v>
      </c>
      <c r="AD18" s="9">
        <v>69.31</v>
      </c>
      <c r="AE18" s="2">
        <f t="shared" si="0"/>
        <v>0.67000000000000171</v>
      </c>
      <c r="AF18" s="138">
        <f t="shared" si="1"/>
        <v>4.3302540415712798E-4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42564</v>
      </c>
      <c r="Y19" s="9">
        <v>69.709999999999994</v>
      </c>
      <c r="Z19" s="9">
        <v>69.75</v>
      </c>
      <c r="AA19" s="9">
        <v>69.22</v>
      </c>
      <c r="AB19" s="9">
        <v>69.28</v>
      </c>
      <c r="AC19" s="104">
        <v>2002600</v>
      </c>
      <c r="AD19" s="9">
        <v>69.28</v>
      </c>
      <c r="AE19" s="2">
        <f t="shared" si="0"/>
        <v>0.53000000000000114</v>
      </c>
      <c r="AF19" s="138">
        <f t="shared" si="1"/>
        <v>-4.5977011494251485E-3</v>
      </c>
    </row>
    <row r="20" spans="1:32" x14ac:dyDescent="0.25">
      <c r="X20" s="110">
        <v>42563</v>
      </c>
      <c r="Y20" s="9">
        <v>70.25</v>
      </c>
      <c r="Z20" s="9">
        <v>70.38</v>
      </c>
      <c r="AA20" s="9">
        <v>69.58</v>
      </c>
      <c r="AB20" s="9">
        <v>69.599999999999994</v>
      </c>
      <c r="AC20" s="104">
        <v>2316900</v>
      </c>
      <c r="AD20" s="9">
        <v>69.599999999999994</v>
      </c>
      <c r="AE20" s="2">
        <f t="shared" si="0"/>
        <v>0.79999999999999716</v>
      </c>
      <c r="AF20" s="138">
        <f t="shared" si="1"/>
        <v>-4.8613096940235412E-3</v>
      </c>
    </row>
    <row r="21" spans="1:32" x14ac:dyDescent="0.25">
      <c r="X21" s="110">
        <v>42562</v>
      </c>
      <c r="Y21" s="9">
        <v>69.66</v>
      </c>
      <c r="Z21" s="9">
        <v>70.12</v>
      </c>
      <c r="AA21" s="9">
        <v>69.510000000000005</v>
      </c>
      <c r="AB21" s="9">
        <v>69.94</v>
      </c>
      <c r="AC21" s="104">
        <v>1698200</v>
      </c>
      <c r="AD21" s="9">
        <v>69.94</v>
      </c>
      <c r="AE21" s="2">
        <f t="shared" si="0"/>
        <v>0.60999999999999943</v>
      </c>
      <c r="AF21" s="138">
        <f t="shared" si="1"/>
        <v>4.0195233993682855E-3</v>
      </c>
    </row>
    <row r="22" spans="1:32" x14ac:dyDescent="0.25">
      <c r="X22" s="110">
        <v>42559</v>
      </c>
      <c r="Y22" s="9">
        <v>69.680000000000007</v>
      </c>
      <c r="Z22" s="9">
        <v>69.69</v>
      </c>
      <c r="AA22" s="9">
        <v>69.06</v>
      </c>
      <c r="AB22" s="9">
        <v>69.66</v>
      </c>
      <c r="AC22" s="104">
        <v>1675600</v>
      </c>
      <c r="AD22" s="9">
        <v>69.66</v>
      </c>
      <c r="AE22" s="2">
        <f t="shared" si="0"/>
        <v>0.62999999999999545</v>
      </c>
      <c r="AF22" s="138">
        <f t="shared" si="1"/>
        <v>1.0443864229765065E-2</v>
      </c>
    </row>
    <row r="23" spans="1:32" x14ac:dyDescent="0.25">
      <c r="X23" s="110">
        <v>42558</v>
      </c>
      <c r="Y23" s="9">
        <v>69.45</v>
      </c>
      <c r="Z23" s="9">
        <v>69.77</v>
      </c>
      <c r="AA23" s="9">
        <v>68.790000000000006</v>
      </c>
      <c r="AB23" s="9">
        <v>68.94</v>
      </c>
      <c r="AC23" s="104">
        <v>1928200</v>
      </c>
      <c r="AD23" s="9">
        <v>68.94</v>
      </c>
      <c r="AE23" s="2">
        <f t="shared" si="0"/>
        <v>0.97999999999998977</v>
      </c>
      <c r="AF23" s="138">
        <f t="shared" si="1"/>
        <v>-7.4863230636337263E-3</v>
      </c>
    </row>
    <row r="24" spans="1:32" x14ac:dyDescent="0.25">
      <c r="X24" s="110">
        <v>42557</v>
      </c>
      <c r="Y24" s="9">
        <v>69.12</v>
      </c>
      <c r="Z24" s="9">
        <v>69.680000000000007</v>
      </c>
      <c r="AA24" s="9">
        <v>69.05</v>
      </c>
      <c r="AB24" s="9">
        <v>69.459999999999994</v>
      </c>
      <c r="AC24" s="104">
        <v>2210300</v>
      </c>
      <c r="AD24" s="9">
        <v>69.459999999999994</v>
      </c>
      <c r="AE24" s="2">
        <f t="shared" si="0"/>
        <v>0.63000000000000966</v>
      </c>
      <c r="AF24" s="138">
        <f t="shared" si="1"/>
        <v>2.1641898715911712E-3</v>
      </c>
    </row>
    <row r="25" spans="1:32" x14ac:dyDescent="0.25">
      <c r="X25" s="110">
        <v>42556</v>
      </c>
      <c r="Y25" s="9">
        <v>69.290000000000006</v>
      </c>
      <c r="Z25" s="9">
        <v>69.75</v>
      </c>
      <c r="AA25" s="9">
        <v>69.040000000000006</v>
      </c>
      <c r="AB25" s="9">
        <v>69.31</v>
      </c>
      <c r="AC25" s="104">
        <v>2234900</v>
      </c>
      <c r="AD25" s="9">
        <v>69.31</v>
      </c>
      <c r="AE25" s="2">
        <f t="shared" si="0"/>
        <v>0.70999999999999375</v>
      </c>
      <c r="AF25" s="138">
        <f t="shared" si="1"/>
        <v>-3.5940195514663209E-3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42552</v>
      </c>
      <c r="Y26" s="9">
        <v>69.95</v>
      </c>
      <c r="Z26" s="9">
        <v>69.95</v>
      </c>
      <c r="AA26" s="9">
        <v>69.48</v>
      </c>
      <c r="AB26" s="9">
        <v>69.56</v>
      </c>
      <c r="AC26" s="104">
        <v>1971600</v>
      </c>
      <c r="AD26" s="9">
        <v>69.56</v>
      </c>
      <c r="AE26" s="2">
        <f t="shared" si="0"/>
        <v>0.46999999999999886</v>
      </c>
      <c r="AF26" s="138">
        <f t="shared" si="1"/>
        <v>-5.5754110078627406E-3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42551</v>
      </c>
      <c r="Y27" s="9">
        <v>68.540000000000006</v>
      </c>
      <c r="Z27" s="9">
        <v>69.95</v>
      </c>
      <c r="AA27" s="9">
        <v>68.52</v>
      </c>
      <c r="AB27" s="9">
        <v>69.95</v>
      </c>
      <c r="AC27" s="104">
        <v>2638000</v>
      </c>
      <c r="AD27" s="9">
        <v>69.95</v>
      </c>
      <c r="AE27" s="2">
        <f t="shared" si="0"/>
        <v>1.4300000000000068</v>
      </c>
      <c r="AF27" s="138">
        <f t="shared" si="1"/>
        <v>2.1615305973418986E-2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42550</v>
      </c>
      <c r="Y28" s="9">
        <v>67.989999999999995</v>
      </c>
      <c r="Z28" s="9">
        <v>68.53</v>
      </c>
      <c r="AA28" s="9">
        <v>67.53</v>
      </c>
      <c r="AB28" s="9">
        <v>68.47</v>
      </c>
      <c r="AC28" s="104">
        <v>3098300</v>
      </c>
      <c r="AD28" s="9">
        <v>68.47</v>
      </c>
      <c r="AE28" s="2">
        <f t="shared" si="0"/>
        <v>1</v>
      </c>
      <c r="AF28" s="138">
        <f t="shared" si="1"/>
        <v>1.0925734534179776E-2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42549</v>
      </c>
      <c r="Y29" s="9">
        <v>66.650000000000006</v>
      </c>
      <c r="Z29" s="9">
        <v>67.739999999999995</v>
      </c>
      <c r="AA29" s="9">
        <v>66.33</v>
      </c>
      <c r="AB29" s="9">
        <v>67.73</v>
      </c>
      <c r="AC29" s="104">
        <v>3001500</v>
      </c>
      <c r="AD29" s="9">
        <v>67.73</v>
      </c>
      <c r="AE29" s="2">
        <f t="shared" si="0"/>
        <v>1.4099999999999966</v>
      </c>
      <c r="AF29" s="138">
        <f t="shared" si="1"/>
        <v>2.5280048440811331E-2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42548</v>
      </c>
      <c r="Y30" s="9">
        <v>65.739999999999995</v>
      </c>
      <c r="Z30" s="9">
        <v>66.290000000000006</v>
      </c>
      <c r="AA30" s="9">
        <v>65.27</v>
      </c>
      <c r="AB30" s="9">
        <v>66.06</v>
      </c>
      <c r="AC30" s="104">
        <v>3104100</v>
      </c>
      <c r="AD30" s="9">
        <v>66.06</v>
      </c>
      <c r="AE30" s="2">
        <f t="shared" si="0"/>
        <v>1.0200000000000102</v>
      </c>
      <c r="AF30" s="138">
        <f t="shared" si="1"/>
        <v>-3.018412315122343E-3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42545</v>
      </c>
      <c r="Y31" s="9">
        <v>65.58</v>
      </c>
      <c r="Z31" s="9">
        <v>66.98</v>
      </c>
      <c r="AA31" s="9">
        <v>65.319999999999993</v>
      </c>
      <c r="AB31" s="9">
        <v>66.260000000000005</v>
      </c>
      <c r="AC31" s="104">
        <v>3908800</v>
      </c>
      <c r="AD31" s="9">
        <v>66.260000000000005</v>
      </c>
      <c r="AE31" s="2">
        <f t="shared" si="0"/>
        <v>1.6600000000000108</v>
      </c>
      <c r="AF31" s="138">
        <f t="shared" si="1"/>
        <v>-2.357795461243728E-2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42544</v>
      </c>
      <c r="Y32" s="9">
        <v>67.61</v>
      </c>
      <c r="Z32" s="9">
        <v>67.86</v>
      </c>
      <c r="AA32" s="9">
        <v>67.42</v>
      </c>
      <c r="AB32" s="9">
        <v>67.86</v>
      </c>
      <c r="AC32" s="104">
        <v>2030600</v>
      </c>
      <c r="AD32" s="9">
        <v>67.86</v>
      </c>
      <c r="AE32" s="2">
        <f t="shared" si="0"/>
        <v>0.43999999999999773</v>
      </c>
      <c r="AF32" s="138">
        <f t="shared" si="1"/>
        <v>1.2533572068039511E-2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42543</v>
      </c>
      <c r="Y33" s="9">
        <v>66.900000000000006</v>
      </c>
      <c r="Z33" s="9">
        <v>67.44</v>
      </c>
      <c r="AA33" s="9">
        <v>66.760000000000005</v>
      </c>
      <c r="AB33" s="9">
        <v>67.02</v>
      </c>
      <c r="AC33" s="104">
        <v>1153300</v>
      </c>
      <c r="AD33" s="9">
        <v>67.02</v>
      </c>
      <c r="AE33" s="2">
        <f t="shared" si="0"/>
        <v>0.67999999999999261</v>
      </c>
      <c r="AF33" s="138">
        <f t="shared" si="1"/>
        <v>3.2934131736526151E-3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42542</v>
      </c>
      <c r="Y34" s="9">
        <v>66.83</v>
      </c>
      <c r="Z34" s="9">
        <v>67</v>
      </c>
      <c r="AA34" s="9">
        <v>66.569999999999993</v>
      </c>
      <c r="AB34" s="9">
        <v>66.8</v>
      </c>
      <c r="AC34" s="104">
        <v>1306200</v>
      </c>
      <c r="AD34" s="9">
        <v>66.8</v>
      </c>
      <c r="AE34" s="2">
        <f t="shared" si="0"/>
        <v>0.43000000000000682</v>
      </c>
      <c r="AF34" s="138">
        <f t="shared" si="1"/>
        <v>3.4550097641581345E-3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525" t="s">
        <v>78</v>
      </c>
      <c r="P35" s="525"/>
      <c r="X35" s="110">
        <v>42541</v>
      </c>
      <c r="Y35" s="9">
        <v>67.05</v>
      </c>
      <c r="Z35" s="9">
        <v>67.290000000000006</v>
      </c>
      <c r="AA35" s="9">
        <v>66.55</v>
      </c>
      <c r="AB35" s="9">
        <v>66.569999999999993</v>
      </c>
      <c r="AC35" s="104">
        <v>1120200</v>
      </c>
      <c r="AD35" s="9">
        <v>66.569999999999993</v>
      </c>
      <c r="AE35" s="2">
        <f t="shared" si="0"/>
        <v>0.74000000000000909</v>
      </c>
      <c r="AF35" s="138">
        <f t="shared" si="1"/>
        <v>2.258355916892274E-3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76.087000000000003</v>
      </c>
      <c r="Q36" s="2"/>
      <c r="X36" s="110">
        <v>42538</v>
      </c>
      <c r="Y36" s="9">
        <v>66.44</v>
      </c>
      <c r="Z36" s="9">
        <v>66.540000000000006</v>
      </c>
      <c r="AA36" s="9">
        <v>66.03</v>
      </c>
      <c r="AB36" s="9">
        <v>66.42</v>
      </c>
      <c r="AC36" s="104">
        <v>1858900</v>
      </c>
      <c r="AD36" s="9">
        <v>66.42</v>
      </c>
      <c r="AE36" s="2">
        <f t="shared" si="0"/>
        <v>0.51000000000000512</v>
      </c>
      <c r="AF36" s="138">
        <f t="shared" si="1"/>
        <v>-7.5221904618616442E-4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75.395300000000006</v>
      </c>
      <c r="Q37" s="2"/>
      <c r="X37" s="110">
        <v>42537</v>
      </c>
      <c r="Y37" s="9">
        <v>65.489999999999995</v>
      </c>
      <c r="Z37" s="9">
        <v>66.569999999999993</v>
      </c>
      <c r="AA37" s="9">
        <v>65.45</v>
      </c>
      <c r="AB37" s="9">
        <v>66.47</v>
      </c>
      <c r="AC37" s="104">
        <v>1564800</v>
      </c>
      <c r="AD37" s="9">
        <v>66.47</v>
      </c>
      <c r="AE37" s="2">
        <f t="shared" si="0"/>
        <v>1.1199999999999903</v>
      </c>
      <c r="AF37" s="138">
        <f t="shared" si="1"/>
        <v>9.1088507666614582E-3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74.703600000000009</v>
      </c>
      <c r="Q38" s="2"/>
      <c r="X38" s="110">
        <v>42536</v>
      </c>
      <c r="Y38" s="9">
        <v>66.75</v>
      </c>
      <c r="Z38" s="9">
        <v>66.95</v>
      </c>
      <c r="AA38" s="9">
        <v>65.81</v>
      </c>
      <c r="AB38" s="9">
        <v>65.87</v>
      </c>
      <c r="AC38" s="104">
        <v>1991000</v>
      </c>
      <c r="AD38" s="9">
        <v>65.87</v>
      </c>
      <c r="AE38" s="2">
        <f t="shared" si="0"/>
        <v>1.1400000000000006</v>
      </c>
      <c r="AF38" s="138">
        <f t="shared" si="1"/>
        <v>-1.2295696506222753E-2</v>
      </c>
    </row>
    <row r="39" spans="1:32" ht="20.25" thickBot="1" x14ac:dyDescent="0.35">
      <c r="O39" s="83">
        <v>1.07</v>
      </c>
      <c r="P39" s="83">
        <f t="shared" si="3"/>
        <v>74.011900000000011</v>
      </c>
      <c r="Q39" s="2"/>
      <c r="T39" s="112" t="s">
        <v>92</v>
      </c>
      <c r="U39" s="2"/>
      <c r="X39" s="110">
        <v>42535</v>
      </c>
      <c r="Y39" s="9">
        <v>66.83</v>
      </c>
      <c r="Z39" s="9">
        <v>67.040000000000006</v>
      </c>
      <c r="AA39" s="9">
        <v>66.42</v>
      </c>
      <c r="AB39" s="9">
        <v>66.69</v>
      </c>
      <c r="AC39" s="104">
        <v>1464500</v>
      </c>
      <c r="AD39" s="9">
        <v>66.69</v>
      </c>
      <c r="AE39" s="2">
        <f t="shared" si="0"/>
        <v>0.62000000000000455</v>
      </c>
      <c r="AF39" s="138">
        <f t="shared" si="1"/>
        <v>-2.8409090909090606E-3</v>
      </c>
    </row>
    <row r="40" spans="1:32" ht="15.75" thickTop="1" x14ac:dyDescent="0.25">
      <c r="L40" t="s">
        <v>230</v>
      </c>
      <c r="M40" s="2">
        <f>K56+M56-F56</f>
        <v>523.61999999999898</v>
      </c>
      <c r="O40" s="83">
        <v>1.06</v>
      </c>
      <c r="P40" s="83">
        <f t="shared" si="3"/>
        <v>73.3202</v>
      </c>
      <c r="Q40" s="2"/>
      <c r="T40" s="113" t="s">
        <v>98</v>
      </c>
      <c r="U40" s="106">
        <v>68.62</v>
      </c>
      <c r="X40" s="110">
        <v>42534</v>
      </c>
      <c r="Y40" s="9">
        <v>67.44</v>
      </c>
      <c r="Z40" s="9">
        <v>67.87</v>
      </c>
      <c r="AA40" s="9">
        <v>66.86</v>
      </c>
      <c r="AB40" s="9">
        <v>66.88</v>
      </c>
      <c r="AC40" s="104">
        <v>1761400</v>
      </c>
      <c r="AD40" s="9">
        <v>66.88</v>
      </c>
      <c r="AE40" s="2">
        <f t="shared" si="0"/>
        <v>1.0100000000000051</v>
      </c>
      <c r="AF40" s="138">
        <f t="shared" si="1"/>
        <v>-8.5976875185295176E-3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72.628500000000003</v>
      </c>
      <c r="Q41" s="2"/>
      <c r="T41" s="113" t="s">
        <v>99</v>
      </c>
      <c r="U41" s="106">
        <v>68.72</v>
      </c>
      <c r="X41" s="110">
        <v>42531</v>
      </c>
      <c r="Y41" s="9">
        <v>67.17</v>
      </c>
      <c r="Z41" s="9">
        <v>67.86</v>
      </c>
      <c r="AA41" s="9">
        <v>67.13</v>
      </c>
      <c r="AB41" s="9">
        <v>67.459999999999994</v>
      </c>
      <c r="AC41" s="104">
        <v>1636600</v>
      </c>
      <c r="AD41" s="9">
        <v>67.459999999999994</v>
      </c>
      <c r="AE41" s="2">
        <f t="shared" si="0"/>
        <v>0.73000000000000398</v>
      </c>
      <c r="AF41" s="138">
        <f t="shared" si="1"/>
        <v>-4.8679746275264169E-3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71.936800000000005</v>
      </c>
      <c r="Q42" s="2"/>
      <c r="T42" s="113" t="s">
        <v>100</v>
      </c>
      <c r="U42" s="106" t="s">
        <v>425</v>
      </c>
      <c r="X42" s="110">
        <v>42530</v>
      </c>
      <c r="Y42" s="9">
        <v>67.489999999999995</v>
      </c>
      <c r="Z42" s="9">
        <v>67.959999999999994</v>
      </c>
      <c r="AA42" s="9">
        <v>67.37</v>
      </c>
      <c r="AB42" s="9">
        <v>67.790000000000006</v>
      </c>
      <c r="AC42" s="104">
        <v>1456700</v>
      </c>
      <c r="AD42" s="9">
        <v>67.790000000000006</v>
      </c>
      <c r="AE42" s="2">
        <f t="shared" si="0"/>
        <v>0.5899999999999892</v>
      </c>
      <c r="AF42" s="138">
        <f t="shared" si="1"/>
        <v>1.6252955082742826E-3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71.245100000000008</v>
      </c>
      <c r="Q43" s="2"/>
      <c r="T43" s="113" t="s">
        <v>101</v>
      </c>
      <c r="U43" s="106" t="s">
        <v>426</v>
      </c>
      <c r="X43" s="110">
        <v>42529</v>
      </c>
      <c r="Y43" s="9">
        <v>67.209999999999994</v>
      </c>
      <c r="Z43" s="9">
        <v>67.88</v>
      </c>
      <c r="AA43" s="9">
        <v>67.11</v>
      </c>
      <c r="AB43" s="9">
        <v>67.680000000000007</v>
      </c>
      <c r="AC43" s="104">
        <v>1645500</v>
      </c>
      <c r="AD43" s="9">
        <v>67.680000000000007</v>
      </c>
      <c r="AE43" s="2">
        <f t="shared" si="0"/>
        <v>0.76999999999999602</v>
      </c>
      <c r="AF43" s="138">
        <f t="shared" si="1"/>
        <v>3.7075485688862209E-3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70.553399999999996</v>
      </c>
      <c r="Q44" s="2"/>
      <c r="T44" s="113" t="s">
        <v>102</v>
      </c>
      <c r="U44" s="106">
        <v>74.239999999999995</v>
      </c>
      <c r="X44" s="110">
        <v>42528</v>
      </c>
      <c r="Y44" s="9">
        <v>67.72</v>
      </c>
      <c r="Z44" s="9">
        <v>67.88</v>
      </c>
      <c r="AA44" s="9">
        <v>67.319999999999993</v>
      </c>
      <c r="AB44" s="9">
        <v>67.430000000000007</v>
      </c>
      <c r="AC44" s="104">
        <v>1484100</v>
      </c>
      <c r="AD44" s="9">
        <v>67.430000000000007</v>
      </c>
      <c r="AE44" s="2">
        <f t="shared" si="0"/>
        <v>0.56000000000000227</v>
      </c>
      <c r="AF44" s="138">
        <f t="shared" si="1"/>
        <v>-2.8098195800059234E-3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69.861699999999999</v>
      </c>
      <c r="Q45" s="2"/>
      <c r="T45" s="113" t="s">
        <v>103</v>
      </c>
      <c r="U45" s="106">
        <v>1.0180199999999999</v>
      </c>
      <c r="X45" s="110">
        <v>42527</v>
      </c>
      <c r="Y45" s="9">
        <v>67.53</v>
      </c>
      <c r="Z45" s="9">
        <v>68.02</v>
      </c>
      <c r="AA45" s="9">
        <v>67.42</v>
      </c>
      <c r="AB45" s="9">
        <v>67.62</v>
      </c>
      <c r="AC45" s="104">
        <v>1959600</v>
      </c>
      <c r="AD45" s="9">
        <v>67.62</v>
      </c>
      <c r="AE45" s="2">
        <f t="shared" si="0"/>
        <v>0.59999999999999432</v>
      </c>
      <c r="AF45" s="138">
        <f t="shared" si="1"/>
        <v>2.8177369123534302E-3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69.17</v>
      </c>
      <c r="Q46" s="2"/>
      <c r="T46" s="113" t="s">
        <v>104</v>
      </c>
      <c r="U46" s="106" t="s">
        <v>427</v>
      </c>
      <c r="X46" s="110">
        <v>42524</v>
      </c>
      <c r="Y46" s="9">
        <v>67.02</v>
      </c>
      <c r="Z46" s="9">
        <v>67.709999999999994</v>
      </c>
      <c r="AA46" s="9">
        <v>66.64</v>
      </c>
      <c r="AB46" s="9">
        <v>67.430000000000007</v>
      </c>
      <c r="AC46" s="104">
        <v>1625700</v>
      </c>
      <c r="AD46" s="9">
        <v>67.430000000000007</v>
      </c>
      <c r="AE46" s="2">
        <f t="shared" si="0"/>
        <v>1.0699999999999932</v>
      </c>
      <c r="AF46" s="138">
        <f t="shared" si="1"/>
        <v>-1.4827995255028981E-4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68.478300000000004</v>
      </c>
      <c r="Q47" s="2"/>
      <c r="T47" s="113"/>
      <c r="U47" s="106"/>
      <c r="X47" s="110">
        <v>42523</v>
      </c>
      <c r="Y47" s="9">
        <v>67.290000000000006</v>
      </c>
      <c r="Z47" s="9">
        <v>67.44</v>
      </c>
      <c r="AA47" s="9">
        <v>67.11</v>
      </c>
      <c r="AB47" s="9">
        <v>67.44</v>
      </c>
      <c r="AC47" s="104">
        <v>1153100</v>
      </c>
      <c r="AD47" s="9">
        <v>67.44</v>
      </c>
      <c r="AE47" s="2">
        <f t="shared" si="0"/>
        <v>0.32999999999999829</v>
      </c>
      <c r="AF47" s="138">
        <f t="shared" si="1"/>
        <v>0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67.786600000000007</v>
      </c>
      <c r="Q48" s="2"/>
      <c r="T48" s="113" t="s">
        <v>105</v>
      </c>
      <c r="U48" s="106" t="s">
        <v>428</v>
      </c>
      <c r="X48" s="110">
        <v>42522</v>
      </c>
      <c r="Y48" s="9">
        <v>67.180000000000007</v>
      </c>
      <c r="Z48" s="9">
        <v>67.5</v>
      </c>
      <c r="AA48" s="9">
        <v>66.67</v>
      </c>
      <c r="AB48" s="9">
        <v>67.44</v>
      </c>
      <c r="AC48" s="104">
        <v>1498400</v>
      </c>
      <c r="AD48" s="9">
        <v>67.44</v>
      </c>
      <c r="AE48" s="2">
        <f t="shared" si="0"/>
        <v>0.82999999999999829</v>
      </c>
      <c r="AF48" s="138" t="e">
        <f t="shared" si="1"/>
        <v>#DIV/0!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67.094899999999996</v>
      </c>
      <c r="T49" s="113" t="s">
        <v>106</v>
      </c>
      <c r="U49" s="106" t="s">
        <v>296</v>
      </c>
      <c r="X49" s="110">
        <v>42522</v>
      </c>
      <c r="Y49" s="9" t="s">
        <v>250</v>
      </c>
      <c r="Z49" s="9"/>
      <c r="AA49" s="9"/>
      <c r="AB49" s="9"/>
      <c r="AC49" s="104"/>
      <c r="AD49" s="9"/>
      <c r="AE49" s="2">
        <f t="shared" si="0"/>
        <v>0</v>
      </c>
      <c r="AF49" s="138">
        <f t="shared" si="1"/>
        <v>-1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66.403199999999998</v>
      </c>
      <c r="T50" s="113" t="s">
        <v>107</v>
      </c>
      <c r="U50" s="107">
        <v>1620169</v>
      </c>
      <c r="X50" s="110">
        <v>42521</v>
      </c>
      <c r="Y50" s="9">
        <v>67.75</v>
      </c>
      <c r="Z50" s="9">
        <v>67.959999999999994</v>
      </c>
      <c r="AA50" s="9">
        <v>67.17</v>
      </c>
      <c r="AB50" s="9">
        <v>67.510000000000005</v>
      </c>
      <c r="AC50" s="104">
        <v>3554400</v>
      </c>
      <c r="AD50" s="9">
        <v>67.180000000000007</v>
      </c>
      <c r="AE50" s="2">
        <f t="shared" si="0"/>
        <v>0.78999999999999204</v>
      </c>
      <c r="AF50" s="138">
        <f t="shared" si="1"/>
        <v>-2.5241276911653898E-3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65.711500000000001</v>
      </c>
      <c r="T51" s="113" t="s">
        <v>110</v>
      </c>
      <c r="U51" s="107">
        <v>1811900</v>
      </c>
      <c r="X51" s="110">
        <v>42517</v>
      </c>
      <c r="Y51" s="9">
        <v>67.56</v>
      </c>
      <c r="Z51" s="9">
        <v>67.87</v>
      </c>
      <c r="AA51" s="9">
        <v>67.459999999999994</v>
      </c>
      <c r="AB51" s="9">
        <v>67.680000000000007</v>
      </c>
      <c r="AC51" s="104">
        <v>839800</v>
      </c>
      <c r="AD51" s="9">
        <v>67.349999999999994</v>
      </c>
      <c r="AE51" s="2">
        <f t="shared" si="0"/>
        <v>0.4100000000000108</v>
      </c>
      <c r="AF51" s="138">
        <f t="shared" si="1"/>
        <v>2.5305150342362914E-3</v>
      </c>
    </row>
    <row r="52" spans="1:32" x14ac:dyDescent="0.25">
      <c r="O52" s="83">
        <v>0.94</v>
      </c>
      <c r="P52" s="83">
        <f t="shared" si="3"/>
        <v>65.019800000000004</v>
      </c>
      <c r="T52" s="113" t="s">
        <v>108</v>
      </c>
      <c r="U52" s="106" t="s">
        <v>429</v>
      </c>
      <c r="X52" s="110">
        <v>42516</v>
      </c>
      <c r="Y52" s="9">
        <v>67.28</v>
      </c>
      <c r="Z52" s="9">
        <v>67.58</v>
      </c>
      <c r="AA52" s="9">
        <v>67.150000000000006</v>
      </c>
      <c r="AB52" s="9">
        <v>67.510000000000005</v>
      </c>
      <c r="AC52" s="104">
        <v>1229800</v>
      </c>
      <c r="AD52" s="9">
        <v>67.180000000000007</v>
      </c>
      <c r="AE52" s="2">
        <f t="shared" si="0"/>
        <v>0.42999999999999261</v>
      </c>
      <c r="AF52" s="138">
        <f t="shared" si="1"/>
        <v>3.4353995519045277E-3</v>
      </c>
    </row>
    <row r="53" spans="1:32" x14ac:dyDescent="0.25">
      <c r="O53" s="83">
        <v>0.93</v>
      </c>
      <c r="P53" s="83">
        <f t="shared" si="3"/>
        <v>64.328100000000006</v>
      </c>
      <c r="T53" s="113" t="s">
        <v>111</v>
      </c>
      <c r="U53" s="106">
        <v>16.8</v>
      </c>
      <c r="X53" s="110">
        <v>42515</v>
      </c>
      <c r="Y53" s="9">
        <v>67.680000000000007</v>
      </c>
      <c r="Z53" s="9">
        <v>67.83</v>
      </c>
      <c r="AA53" s="9">
        <v>67.209999999999994</v>
      </c>
      <c r="AB53" s="9">
        <v>67.28</v>
      </c>
      <c r="AC53" s="104">
        <v>1715500</v>
      </c>
      <c r="AD53" s="9">
        <v>66.95</v>
      </c>
      <c r="AE53" s="2">
        <f t="shared" si="0"/>
        <v>0.62000000000000455</v>
      </c>
      <c r="AF53" s="138">
        <f t="shared" si="1"/>
        <v>-2.3841454328713541E-3</v>
      </c>
    </row>
    <row r="54" spans="1:32" x14ac:dyDescent="0.25">
      <c r="O54" s="83">
        <v>0.92</v>
      </c>
      <c r="P54" s="83">
        <f t="shared" si="3"/>
        <v>63.636400000000002</v>
      </c>
      <c r="T54" s="113" t="s">
        <v>112</v>
      </c>
      <c r="U54" s="106">
        <v>4.0999999999999996</v>
      </c>
      <c r="X54" s="110">
        <v>42514</v>
      </c>
      <c r="Y54" s="9">
        <v>67.27</v>
      </c>
      <c r="Z54" s="9">
        <v>67.75</v>
      </c>
      <c r="AA54" s="9">
        <v>66.989999999999995</v>
      </c>
      <c r="AB54" s="9">
        <v>67.44</v>
      </c>
      <c r="AC54" s="104">
        <v>1840000</v>
      </c>
      <c r="AD54" s="9">
        <v>67.11</v>
      </c>
      <c r="AE54" s="2">
        <f t="shared" si="0"/>
        <v>0.76000000000000512</v>
      </c>
      <c r="AF54" s="138">
        <f t="shared" si="1"/>
        <v>8.4147257700977196E-3</v>
      </c>
    </row>
    <row r="55" spans="1:32" x14ac:dyDescent="0.25">
      <c r="O55" s="83">
        <v>0.91</v>
      </c>
      <c r="P55" s="83">
        <f t="shared" si="3"/>
        <v>62.944700000000005</v>
      </c>
      <c r="T55" s="113" t="s">
        <v>109</v>
      </c>
      <c r="U55" s="106" t="s">
        <v>430</v>
      </c>
      <c r="X55" s="110">
        <v>42513</v>
      </c>
      <c r="Y55" s="9">
        <v>67.09</v>
      </c>
      <c r="Z55" s="9">
        <v>67.209999999999994</v>
      </c>
      <c r="AA55" s="9">
        <v>66.680000000000007</v>
      </c>
      <c r="AB55" s="9">
        <v>66.88</v>
      </c>
      <c r="AC55" s="104">
        <v>1331300</v>
      </c>
      <c r="AD55" s="9">
        <v>66.55</v>
      </c>
      <c r="AE55" s="2">
        <f t="shared" si="0"/>
        <v>0.52999999999998693</v>
      </c>
      <c r="AF55" s="138">
        <f t="shared" si="1"/>
        <v>-4.0407063753367112E-3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62.253</v>
      </c>
      <c r="X56" s="110">
        <v>42510</v>
      </c>
      <c r="Y56" s="9">
        <v>67.11</v>
      </c>
      <c r="Z56" s="9">
        <v>67.709999999999994</v>
      </c>
      <c r="AA56" s="9">
        <v>66.959999999999994</v>
      </c>
      <c r="AB56" s="9">
        <v>67.150000000000006</v>
      </c>
      <c r="AC56" s="104">
        <v>1889000</v>
      </c>
      <c r="AD56" s="9">
        <v>66.819999999999993</v>
      </c>
      <c r="AE56" s="2">
        <f t="shared" si="0"/>
        <v>0.75</v>
      </c>
      <c r="AF56" s="138">
        <f t="shared" si="1"/>
        <v>4.660953240114063E-3</v>
      </c>
    </row>
    <row r="57" spans="1:32" x14ac:dyDescent="0.25">
      <c r="X57" s="110">
        <v>42509</v>
      </c>
      <c r="Y57" s="9">
        <v>66.98</v>
      </c>
      <c r="Z57" s="9">
        <v>67.25</v>
      </c>
      <c r="AA57" s="9">
        <v>66.59</v>
      </c>
      <c r="AB57" s="9">
        <v>66.84</v>
      </c>
      <c r="AC57" s="104">
        <v>2160700</v>
      </c>
      <c r="AD57" s="9">
        <v>66.510000000000005</v>
      </c>
      <c r="AE57" s="2">
        <f t="shared" si="0"/>
        <v>0.65999999999999659</v>
      </c>
      <c r="AF57" s="138">
        <f t="shared" si="1"/>
        <v>-7.7577204236908281E-3</v>
      </c>
    </row>
    <row r="58" spans="1:32" x14ac:dyDescent="0.25">
      <c r="X58" s="110">
        <v>42508</v>
      </c>
      <c r="Y58" s="9">
        <v>66.84</v>
      </c>
      <c r="Z58" s="9">
        <v>67.59</v>
      </c>
      <c r="AA58" s="9">
        <v>66.760000000000005</v>
      </c>
      <c r="AB58" s="9">
        <v>67.36</v>
      </c>
      <c r="AC58" s="104">
        <v>2444500</v>
      </c>
      <c r="AD58" s="9">
        <v>67.03</v>
      </c>
      <c r="AE58" s="2">
        <f t="shared" si="0"/>
        <v>0.82999999999999829</v>
      </c>
      <c r="AF58" s="138">
        <f t="shared" si="1"/>
        <v>3.8939643552493575E-3</v>
      </c>
    </row>
    <row r="59" spans="1:32" x14ac:dyDescent="0.25">
      <c r="X59" s="110">
        <v>42507</v>
      </c>
      <c r="Y59" s="9">
        <v>67.510000000000005</v>
      </c>
      <c r="Z59" s="9">
        <v>67.709999999999994</v>
      </c>
      <c r="AA59" s="9">
        <v>66.89</v>
      </c>
      <c r="AB59" s="9">
        <v>67.099999999999994</v>
      </c>
      <c r="AC59" s="104">
        <v>2015400</v>
      </c>
      <c r="AD59" s="9">
        <v>66.77</v>
      </c>
      <c r="AE59" s="2">
        <f t="shared" si="0"/>
        <v>0.81999999999999318</v>
      </c>
      <c r="AF59" s="138">
        <f t="shared" si="1"/>
        <v>-6.6944361797084406E-3</v>
      </c>
    </row>
    <row r="60" spans="1:32" x14ac:dyDescent="0.25">
      <c r="X60" s="110">
        <v>42506</v>
      </c>
      <c r="Y60" s="9">
        <v>67.19</v>
      </c>
      <c r="Z60" s="9">
        <v>67.790000000000006</v>
      </c>
      <c r="AA60" s="9">
        <v>67.13</v>
      </c>
      <c r="AB60" s="9">
        <v>67.55</v>
      </c>
      <c r="AC60" s="104">
        <v>2019800</v>
      </c>
      <c r="AD60" s="9">
        <v>67.22</v>
      </c>
      <c r="AE60" s="2">
        <f t="shared" si="0"/>
        <v>0.6600000000000108</v>
      </c>
      <c r="AF60" s="138">
        <f t="shared" si="1"/>
        <v>2.5354213273676152E-3</v>
      </c>
    </row>
    <row r="61" spans="1:32" x14ac:dyDescent="0.25">
      <c r="X61" s="110">
        <v>42503</v>
      </c>
      <c r="Y61" s="9">
        <v>67.650000000000006</v>
      </c>
      <c r="Z61" s="9">
        <v>67.78</v>
      </c>
      <c r="AA61" s="9">
        <v>67.28</v>
      </c>
      <c r="AB61" s="9">
        <v>67.38</v>
      </c>
      <c r="AC61" s="104">
        <v>1736100</v>
      </c>
      <c r="AD61" s="9">
        <v>67.05</v>
      </c>
      <c r="AE61" s="2">
        <f t="shared" si="0"/>
        <v>0.5</v>
      </c>
      <c r="AF61" s="138">
        <f t="shared" si="1"/>
        <v>-2.3805981252789099E-3</v>
      </c>
    </row>
    <row r="62" spans="1:32" x14ac:dyDescent="0.25">
      <c r="X62" s="110">
        <v>42502</v>
      </c>
      <c r="Y62" s="9">
        <v>67.569999999999993</v>
      </c>
      <c r="Z62" s="9">
        <v>67.77</v>
      </c>
      <c r="AA62" s="9">
        <v>67.08</v>
      </c>
      <c r="AB62" s="9">
        <v>67.540000000000006</v>
      </c>
      <c r="AC62" s="104">
        <v>2517300</v>
      </c>
      <c r="AD62" s="9">
        <v>67.209999999999994</v>
      </c>
      <c r="AE62" s="2">
        <f t="shared" si="0"/>
        <v>0.68999999999999773</v>
      </c>
      <c r="AF62" s="138">
        <f t="shared" si="1"/>
        <v>2.8349746344373816E-3</v>
      </c>
    </row>
    <row r="63" spans="1:32" x14ac:dyDescent="0.25">
      <c r="X63" s="110">
        <v>42501</v>
      </c>
      <c r="Y63" s="9">
        <v>67.680000000000007</v>
      </c>
      <c r="Z63" s="9">
        <v>67.97</v>
      </c>
      <c r="AA63" s="9">
        <v>67.319999999999993</v>
      </c>
      <c r="AB63" s="9">
        <v>67.349999999999994</v>
      </c>
      <c r="AC63" s="104">
        <v>2056700</v>
      </c>
      <c r="AD63" s="9">
        <v>67.02</v>
      </c>
      <c r="AE63" s="2">
        <f t="shared" si="0"/>
        <v>0.65000000000000568</v>
      </c>
      <c r="AF63" s="138">
        <f t="shared" si="1"/>
        <v>-9.3126385809314538E-3</v>
      </c>
    </row>
    <row r="64" spans="1:32" x14ac:dyDescent="0.25">
      <c r="X64" s="110">
        <v>42500</v>
      </c>
      <c r="Y64" s="9">
        <v>67.58</v>
      </c>
      <c r="Z64" s="9">
        <v>68</v>
      </c>
      <c r="AA64" s="9">
        <v>67.349999999999994</v>
      </c>
      <c r="AB64" s="9">
        <v>67.98</v>
      </c>
      <c r="AC64" s="104">
        <v>2248800</v>
      </c>
      <c r="AD64" s="9">
        <v>67.650000000000006</v>
      </c>
      <c r="AE64" s="2">
        <f t="shared" si="0"/>
        <v>0.65000000000000568</v>
      </c>
      <c r="AF64" s="138">
        <f t="shared" si="1"/>
        <v>1.1513157894736947E-2</v>
      </c>
    </row>
    <row r="65" spans="24:32" x14ac:dyDescent="0.25">
      <c r="X65" s="110">
        <v>42499</v>
      </c>
      <c r="Y65" s="9">
        <v>67.099999999999994</v>
      </c>
      <c r="Z65" s="9">
        <v>67.650000000000006</v>
      </c>
      <c r="AA65" s="9">
        <v>66.87</v>
      </c>
      <c r="AB65" s="9">
        <v>67.209999999999994</v>
      </c>
      <c r="AC65" s="104">
        <v>1836100</v>
      </c>
      <c r="AD65" s="9">
        <v>66.88</v>
      </c>
      <c r="AE65" s="2">
        <f t="shared" si="0"/>
        <v>0.78000000000000114</v>
      </c>
      <c r="AF65" s="138">
        <f t="shared" si="1"/>
        <v>1.6474464579900872E-3</v>
      </c>
    </row>
    <row r="66" spans="24:32" x14ac:dyDescent="0.25">
      <c r="X66" s="110">
        <v>42496</v>
      </c>
      <c r="Y66" s="9">
        <v>67.5</v>
      </c>
      <c r="Z66" s="9">
        <v>67.55</v>
      </c>
      <c r="AA66" s="9">
        <v>66.58</v>
      </c>
      <c r="AB66" s="9">
        <v>67.099999999999994</v>
      </c>
      <c r="AC66" s="104">
        <v>2213600</v>
      </c>
      <c r="AD66" s="9">
        <v>66.77</v>
      </c>
      <c r="AE66" s="2">
        <f t="shared" si="0"/>
        <v>0.96999999999999886</v>
      </c>
      <c r="AF66" s="138">
        <f t="shared" si="1"/>
        <v>-1.1400651465798162E-2</v>
      </c>
    </row>
    <row r="67" spans="24:32" x14ac:dyDescent="0.25">
      <c r="X67" s="110">
        <v>42495</v>
      </c>
      <c r="Y67" s="9">
        <v>68.09</v>
      </c>
      <c r="Z67" s="9">
        <v>69.239999999999995</v>
      </c>
      <c r="AA67" s="9">
        <v>67.05</v>
      </c>
      <c r="AB67" s="9">
        <v>67.87</v>
      </c>
      <c r="AC67" s="104">
        <v>4521600</v>
      </c>
      <c r="AD67" s="9">
        <v>67.540000000000006</v>
      </c>
      <c r="AE67" s="2">
        <f>Z67-AA67</f>
        <v>2.1899999999999977</v>
      </c>
      <c r="AF67" s="138" t="e">
        <f>AD67/#REF!-1</f>
        <v>#REF!</v>
      </c>
    </row>
    <row r="68" spans="24:32" x14ac:dyDescent="0.25">
      <c r="X68" s="110">
        <v>42494</v>
      </c>
      <c r="Y68" s="9">
        <v>64.819999999999993</v>
      </c>
      <c r="Z68" s="9">
        <v>65.55</v>
      </c>
      <c r="AA68" s="9">
        <v>64.59</v>
      </c>
      <c r="AB68" s="9">
        <v>65.28</v>
      </c>
      <c r="AC68" s="104">
        <v>2936100</v>
      </c>
      <c r="AD68" s="9">
        <v>64.959999999999994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1" priority="19">
      <formula>F27&gt;0</formula>
    </cfRule>
    <cfRule type="expression" dxfId="190" priority="20">
      <formula>F27&lt;0</formula>
    </cfRule>
  </conditionalFormatting>
  <conditionalFormatting sqref="F37:F38">
    <cfRule type="expression" dxfId="189" priority="17">
      <formula>F37&gt;0</formula>
    </cfRule>
    <cfRule type="expression" dxfId="188" priority="18">
      <formula>F37&lt;0</formula>
    </cfRule>
  </conditionalFormatting>
  <conditionalFormatting sqref="H27:H32">
    <cfRule type="expression" dxfId="187" priority="15">
      <formula>H27&gt;0</formula>
    </cfRule>
    <cfRule type="expression" dxfId="186" priority="16">
      <formula>H27&lt;0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42587</v>
      </c>
      <c r="X2" s="40">
        <v>88.16</v>
      </c>
      <c r="Y2" s="40">
        <v>89.38</v>
      </c>
      <c r="Z2" s="40">
        <v>87.61</v>
      </c>
      <c r="AA2" s="40">
        <v>88.88</v>
      </c>
      <c r="AB2" s="95">
        <v>1461200</v>
      </c>
      <c r="AC2" s="40">
        <v>88.88</v>
      </c>
      <c r="AD2" s="2">
        <f>Y2-Z2</f>
        <v>1.769999999999996</v>
      </c>
      <c r="AE2" s="138">
        <f>AC2/AC3-1</f>
        <v>1.4496062093368289E-2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89.52</v>
      </c>
      <c r="W3" s="157">
        <v>42586</v>
      </c>
      <c r="X3" s="40">
        <v>87.57</v>
      </c>
      <c r="Y3" s="40">
        <v>88.31</v>
      </c>
      <c r="Z3" s="40">
        <v>86.88</v>
      </c>
      <c r="AA3" s="40">
        <v>87.61</v>
      </c>
      <c r="AB3" s="95">
        <v>1684800</v>
      </c>
      <c r="AC3" s="40">
        <v>87.61</v>
      </c>
      <c r="AD3" s="2">
        <f t="shared" ref="AD3:AD66" si="1">Y3-Z3</f>
        <v>1.4300000000000068</v>
      </c>
      <c r="AE3" s="138" t="e">
        <f t="shared" ref="AE3:AE66" si="2">AC3/AC4-1</f>
        <v>#DIV/0!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89.52</v>
      </c>
      <c r="W4" s="157">
        <v>42586</v>
      </c>
      <c r="X4" s="40" t="s">
        <v>141</v>
      </c>
      <c r="Y4" s="40"/>
      <c r="Z4" s="40"/>
      <c r="AA4" s="40"/>
      <c r="AB4" s="95"/>
      <c r="AC4" s="40"/>
      <c r="AD4" s="2">
        <f t="shared" si="1"/>
        <v>0</v>
      </c>
      <c r="AE4" s="138">
        <f t="shared" si="2"/>
        <v>-1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42585</v>
      </c>
      <c r="X5" s="40">
        <v>87.09</v>
      </c>
      <c r="Y5" s="40">
        <v>88.53</v>
      </c>
      <c r="Z5" s="40">
        <v>87</v>
      </c>
      <c r="AA5" s="40">
        <v>88.33</v>
      </c>
      <c r="AB5" s="95">
        <v>1424000</v>
      </c>
      <c r="AC5" s="40">
        <v>87.74</v>
      </c>
      <c r="AD5" s="2">
        <f t="shared" si="1"/>
        <v>1.5300000000000011</v>
      </c>
      <c r="AE5" s="138">
        <f t="shared" si="2"/>
        <v>1.328097932786676E-2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42584</v>
      </c>
      <c r="X6" s="40">
        <v>88.25</v>
      </c>
      <c r="Y6" s="40">
        <v>88.52</v>
      </c>
      <c r="Z6" s="40">
        <v>86.91</v>
      </c>
      <c r="AA6" s="40">
        <v>87.17</v>
      </c>
      <c r="AB6" s="95">
        <v>1002400</v>
      </c>
      <c r="AC6" s="40">
        <v>86.59</v>
      </c>
      <c r="AD6" s="2">
        <f t="shared" si="1"/>
        <v>1.6099999999999994</v>
      </c>
      <c r="AE6" s="138">
        <f t="shared" si="2"/>
        <v>-1.5575261482491887E-2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188</v>
      </c>
      <c r="Q7" s="2">
        <f>Q10+Q8</f>
        <v>-168.6200000000008</v>
      </c>
      <c r="R7">
        <v>0</v>
      </c>
      <c r="W7" s="157">
        <v>42583</v>
      </c>
      <c r="X7" s="40">
        <v>89.67</v>
      </c>
      <c r="Y7" s="40">
        <v>89.67</v>
      </c>
      <c r="Z7" s="40">
        <v>88.28</v>
      </c>
      <c r="AA7" s="40">
        <v>88.55</v>
      </c>
      <c r="AB7" s="95">
        <v>1639500</v>
      </c>
      <c r="AC7" s="40">
        <v>87.96</v>
      </c>
      <c r="AD7" s="2">
        <f t="shared" si="1"/>
        <v>1.3900000000000006</v>
      </c>
      <c r="AE7" s="138">
        <f t="shared" si="2"/>
        <v>-1.3680197353666879E-2</v>
      </c>
    </row>
    <row r="8" spans="1:31" x14ac:dyDescent="0.25">
      <c r="H8" s="72"/>
      <c r="O8" s="11" t="s">
        <v>192</v>
      </c>
      <c r="P8" s="34"/>
      <c r="Q8" s="2">
        <f>K18+M18-F18+Q2*Q4</f>
        <v>-168.6200000000008</v>
      </c>
      <c r="W8" s="157">
        <v>42580</v>
      </c>
      <c r="X8" s="40">
        <v>89.73</v>
      </c>
      <c r="Y8" s="40">
        <v>90.31</v>
      </c>
      <c r="Z8" s="40">
        <v>89.1</v>
      </c>
      <c r="AA8" s="40">
        <v>89.78</v>
      </c>
      <c r="AB8" s="95">
        <v>1218800</v>
      </c>
      <c r="AC8" s="40">
        <v>89.18</v>
      </c>
      <c r="AD8" s="2">
        <f t="shared" si="1"/>
        <v>1.210000000000008</v>
      </c>
      <c r="AE8" s="138">
        <f t="shared" si="2"/>
        <v>-2.6839633191678702E-3</v>
      </c>
    </row>
    <row r="9" spans="1:31" x14ac:dyDescent="0.25">
      <c r="O9" s="11" t="s">
        <v>231</v>
      </c>
      <c r="Q9" s="138">
        <f>IF(Q2=0, 0, Q8/Q6)</f>
        <v>0</v>
      </c>
      <c r="W9" s="157">
        <v>42579</v>
      </c>
      <c r="X9" s="40">
        <v>89.75</v>
      </c>
      <c r="Y9" s="40">
        <v>91.03</v>
      </c>
      <c r="Z9" s="40">
        <v>88.88</v>
      </c>
      <c r="AA9" s="40">
        <v>90.02</v>
      </c>
      <c r="AB9" s="95">
        <v>1525900</v>
      </c>
      <c r="AC9" s="40">
        <v>89.42</v>
      </c>
      <c r="AD9" s="2">
        <f t="shared" si="1"/>
        <v>2.1500000000000057</v>
      </c>
      <c r="AE9" s="138">
        <f t="shared" si="2"/>
        <v>-1.3401831583650381E-3</v>
      </c>
    </row>
    <row r="10" spans="1:31" x14ac:dyDescent="0.25">
      <c r="O10" s="11" t="s">
        <v>230</v>
      </c>
      <c r="P10" s="34"/>
      <c r="Q10" s="2">
        <v>0</v>
      </c>
      <c r="W10" s="157">
        <v>42578</v>
      </c>
      <c r="X10" s="40">
        <v>92.44</v>
      </c>
      <c r="Y10" s="40">
        <v>92.5</v>
      </c>
      <c r="Z10" s="40">
        <v>89.18</v>
      </c>
      <c r="AA10" s="40">
        <v>90.14</v>
      </c>
      <c r="AB10" s="95">
        <v>2736400</v>
      </c>
      <c r="AC10" s="40">
        <v>89.54</v>
      </c>
      <c r="AD10" s="2">
        <f t="shared" si="1"/>
        <v>3.3199999999999932</v>
      </c>
      <c r="AE10" s="138">
        <f t="shared" si="2"/>
        <v>-2.8112449799196693E-2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2.6599999999999999E-2</v>
      </c>
      <c r="W11" s="157">
        <v>42577</v>
      </c>
      <c r="X11" s="40">
        <v>91.96</v>
      </c>
      <c r="Y11" s="40">
        <v>93.09</v>
      </c>
      <c r="Z11" s="40">
        <v>91.5</v>
      </c>
      <c r="AA11" s="40">
        <v>92.75</v>
      </c>
      <c r="AB11" s="95">
        <v>2141500</v>
      </c>
      <c r="AC11" s="40">
        <v>92.13</v>
      </c>
      <c r="AD11" s="2">
        <f t="shared" si="1"/>
        <v>1.5900000000000034</v>
      </c>
      <c r="AE11" s="138">
        <f t="shared" si="2"/>
        <v>8.5385878489327993E-3</v>
      </c>
    </row>
    <row r="12" spans="1:31" x14ac:dyDescent="0.25">
      <c r="W12" s="157">
        <v>42576</v>
      </c>
      <c r="X12" s="40">
        <v>92</v>
      </c>
      <c r="Y12" s="40">
        <v>92.73</v>
      </c>
      <c r="Z12" s="40">
        <v>90.97</v>
      </c>
      <c r="AA12" s="40">
        <v>91.96</v>
      </c>
      <c r="AB12" s="95">
        <v>1277500</v>
      </c>
      <c r="AC12" s="40">
        <v>91.35</v>
      </c>
      <c r="AD12" s="2">
        <f t="shared" si="1"/>
        <v>1.7600000000000051</v>
      </c>
      <c r="AE12" s="138">
        <f t="shared" si="2"/>
        <v>-5.47045951860059E-4</v>
      </c>
    </row>
    <row r="13" spans="1:31" x14ac:dyDescent="0.25">
      <c r="W13" s="157">
        <v>42573</v>
      </c>
      <c r="X13" s="40">
        <v>91.34</v>
      </c>
      <c r="Y13" s="40">
        <v>92.1</v>
      </c>
      <c r="Z13" s="40">
        <v>90.79</v>
      </c>
      <c r="AA13" s="40">
        <v>92.01</v>
      </c>
      <c r="AB13" s="95">
        <v>1047000</v>
      </c>
      <c r="AC13" s="40">
        <v>91.4</v>
      </c>
      <c r="AD13" s="2">
        <f t="shared" si="1"/>
        <v>1.3099999999999881</v>
      </c>
      <c r="AE13" s="138">
        <f t="shared" si="2"/>
        <v>4.947773501924102E-3</v>
      </c>
    </row>
    <row r="14" spans="1:31" x14ac:dyDescent="0.25">
      <c r="W14" s="157">
        <v>42572</v>
      </c>
      <c r="X14" s="40">
        <v>91.12</v>
      </c>
      <c r="Y14" s="40">
        <v>92.16</v>
      </c>
      <c r="Z14" s="40">
        <v>90.53</v>
      </c>
      <c r="AA14" s="40">
        <v>91.56</v>
      </c>
      <c r="AB14" s="95">
        <v>1453700</v>
      </c>
      <c r="AC14" s="40">
        <v>90.95</v>
      </c>
      <c r="AD14" s="2">
        <f t="shared" si="1"/>
        <v>1.6299999999999955</v>
      </c>
      <c r="AE14" s="138">
        <f t="shared" si="2"/>
        <v>-2.0847048496818177E-3</v>
      </c>
    </row>
    <row r="15" spans="1:31" x14ac:dyDescent="0.25">
      <c r="W15" s="157">
        <v>42571</v>
      </c>
      <c r="X15" s="40">
        <v>91.4</v>
      </c>
      <c r="Y15" s="40">
        <v>92.01</v>
      </c>
      <c r="Z15" s="40">
        <v>90.7</v>
      </c>
      <c r="AA15" s="40">
        <v>91.75</v>
      </c>
      <c r="AB15" s="95">
        <v>1371700</v>
      </c>
      <c r="AC15" s="40">
        <v>91.14</v>
      </c>
      <c r="AD15" s="2">
        <f t="shared" si="1"/>
        <v>1.3100000000000023</v>
      </c>
      <c r="AE15" s="138">
        <f t="shared" si="2"/>
        <v>3.8550501156513484E-3</v>
      </c>
    </row>
    <row r="16" spans="1:31" x14ac:dyDescent="0.25">
      <c r="W16" s="157">
        <v>42570</v>
      </c>
      <c r="X16" s="40">
        <v>91.05</v>
      </c>
      <c r="Y16" s="40">
        <v>91.78</v>
      </c>
      <c r="Z16" s="40">
        <v>90.86</v>
      </c>
      <c r="AA16" s="40">
        <v>91.4</v>
      </c>
      <c r="AB16" s="95">
        <v>1154700</v>
      </c>
      <c r="AC16" s="40">
        <v>90.79</v>
      </c>
      <c r="AD16" s="2">
        <f t="shared" si="1"/>
        <v>0.92000000000000171</v>
      </c>
      <c r="AE16" s="138">
        <f t="shared" si="2"/>
        <v>-2.3076923076922329E-3</v>
      </c>
    </row>
    <row r="17" spans="1:31" x14ac:dyDescent="0.25">
      <c r="W17" s="157">
        <v>42569</v>
      </c>
      <c r="X17" s="40">
        <v>91.28</v>
      </c>
      <c r="Y17" s="40">
        <v>91.72</v>
      </c>
      <c r="Z17" s="40">
        <v>90.9</v>
      </c>
      <c r="AA17" s="40">
        <v>91.61</v>
      </c>
      <c r="AB17" s="95">
        <v>895800</v>
      </c>
      <c r="AC17" s="40">
        <v>91</v>
      </c>
      <c r="AD17" s="2">
        <f t="shared" si="1"/>
        <v>0.81999999999999318</v>
      </c>
      <c r="AE17" s="138">
        <f t="shared" si="2"/>
        <v>1.320422535211252E-3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42566</v>
      </c>
      <c r="X18" s="40">
        <v>91.9</v>
      </c>
      <c r="Y18" s="40">
        <v>92.3</v>
      </c>
      <c r="Z18" s="40">
        <v>90.78</v>
      </c>
      <c r="AA18" s="40">
        <v>91.49</v>
      </c>
      <c r="AB18" s="95">
        <v>1204000</v>
      </c>
      <c r="AC18" s="40">
        <v>90.88</v>
      </c>
      <c r="AD18" s="2">
        <f t="shared" si="1"/>
        <v>1.519999999999996</v>
      </c>
      <c r="AE18" s="138">
        <f t="shared" si="2"/>
        <v>-3.2901952182496919E-3</v>
      </c>
    </row>
    <row r="19" spans="1:31" x14ac:dyDescent="0.25">
      <c r="W19" s="157">
        <v>42565</v>
      </c>
      <c r="X19" s="40">
        <v>91.25</v>
      </c>
      <c r="Y19" s="40">
        <v>92.64</v>
      </c>
      <c r="Z19" s="40">
        <v>90.85</v>
      </c>
      <c r="AA19" s="40">
        <v>91.79</v>
      </c>
      <c r="AB19" s="95">
        <v>2310800</v>
      </c>
      <c r="AC19" s="40">
        <v>91.18</v>
      </c>
      <c r="AD19" s="2">
        <f t="shared" si="1"/>
        <v>1.7900000000000063</v>
      </c>
      <c r="AE19" s="138">
        <f t="shared" si="2"/>
        <v>1.1313220940550206E-2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42564</v>
      </c>
      <c r="X20" s="40">
        <v>88.99</v>
      </c>
      <c r="Y20" s="40">
        <v>91.43</v>
      </c>
      <c r="Z20" s="40">
        <v>87.47</v>
      </c>
      <c r="AA20" s="40">
        <v>90.77</v>
      </c>
      <c r="AB20" s="95">
        <v>2658300</v>
      </c>
      <c r="AC20" s="40">
        <v>90.16</v>
      </c>
      <c r="AD20" s="2">
        <f t="shared" si="1"/>
        <v>3.960000000000008</v>
      </c>
      <c r="AE20" s="138">
        <f t="shared" si="2"/>
        <v>2.6528521006489836E-2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42563</v>
      </c>
      <c r="X21" s="40">
        <v>87.61</v>
      </c>
      <c r="Y21" s="40">
        <v>88.96</v>
      </c>
      <c r="Z21" s="40">
        <v>87.61</v>
      </c>
      <c r="AA21" s="40">
        <v>88.42</v>
      </c>
      <c r="AB21" s="95">
        <v>1491600</v>
      </c>
      <c r="AC21" s="40">
        <v>87.83</v>
      </c>
      <c r="AD21" s="2">
        <f t="shared" si="1"/>
        <v>1.3499999999999943</v>
      </c>
      <c r="AE21" s="138">
        <f t="shared" si="2"/>
        <v>1.6904017598703192E-2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42562</v>
      </c>
      <c r="X22" s="40">
        <v>86.65</v>
      </c>
      <c r="Y22" s="40">
        <v>87.47</v>
      </c>
      <c r="Z22" s="40">
        <v>86.64</v>
      </c>
      <c r="AA22" s="40">
        <v>86.95</v>
      </c>
      <c r="AB22" s="95">
        <v>1466300</v>
      </c>
      <c r="AC22" s="40">
        <v>86.37</v>
      </c>
      <c r="AD22" s="2">
        <f t="shared" si="1"/>
        <v>0.82999999999999829</v>
      </c>
      <c r="AE22" s="138">
        <f t="shared" si="2"/>
        <v>6.1742777260018755E-3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42559</v>
      </c>
      <c r="X23" s="40">
        <v>84.79</v>
      </c>
      <c r="Y23" s="40">
        <v>86.94</v>
      </c>
      <c r="Z23" s="40">
        <v>84.67</v>
      </c>
      <c r="AA23" s="40">
        <v>86.42</v>
      </c>
      <c r="AB23" s="95">
        <v>2131400</v>
      </c>
      <c r="AC23" s="40">
        <v>85.84</v>
      </c>
      <c r="AD23" s="2">
        <f t="shared" si="1"/>
        <v>2.269999999999996</v>
      </c>
      <c r="AE23" s="138">
        <f t="shared" si="2"/>
        <v>2.8270244369908992E-2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42558</v>
      </c>
      <c r="X24" s="40">
        <v>85.02</v>
      </c>
      <c r="Y24" s="40">
        <v>85.4</v>
      </c>
      <c r="Z24" s="40">
        <v>83.66</v>
      </c>
      <c r="AA24" s="40">
        <v>84.04</v>
      </c>
      <c r="AB24" s="95">
        <v>1452000</v>
      </c>
      <c r="AC24" s="40">
        <v>83.48</v>
      </c>
      <c r="AD24" s="2">
        <f t="shared" si="1"/>
        <v>1.7400000000000091</v>
      </c>
      <c r="AE24" s="138">
        <f t="shared" si="2"/>
        <v>-1.0666034605356645E-2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42557</v>
      </c>
      <c r="X25" s="40">
        <v>83.83</v>
      </c>
      <c r="Y25" s="40">
        <v>85.26</v>
      </c>
      <c r="Z25" s="40">
        <v>83.3</v>
      </c>
      <c r="AA25" s="40">
        <v>84.95</v>
      </c>
      <c r="AB25" s="95">
        <v>1839000</v>
      </c>
      <c r="AC25" s="40">
        <v>84.38</v>
      </c>
      <c r="AD25" s="2">
        <f t="shared" si="1"/>
        <v>1.960000000000008</v>
      </c>
      <c r="AE25" s="138">
        <f t="shared" si="2"/>
        <v>1.2479001679865487E-2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42556</v>
      </c>
      <c r="X26" s="40">
        <v>84.82</v>
      </c>
      <c r="Y26" s="40">
        <v>85.15</v>
      </c>
      <c r="Z26" s="40">
        <v>83.23</v>
      </c>
      <c r="AA26" s="40">
        <v>83.9</v>
      </c>
      <c r="AB26" s="95">
        <v>1406700</v>
      </c>
      <c r="AC26" s="40">
        <v>83.34</v>
      </c>
      <c r="AD26" s="2">
        <f t="shared" si="1"/>
        <v>1.9200000000000017</v>
      </c>
      <c r="AE26" s="138">
        <f t="shared" si="2"/>
        <v>-1.5242821694434472E-2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42552</v>
      </c>
      <c r="X27" s="40">
        <v>84.89</v>
      </c>
      <c r="Y27" s="40">
        <v>85.64</v>
      </c>
      <c r="Z27" s="40">
        <v>84.7</v>
      </c>
      <c r="AA27" s="40">
        <v>85.2</v>
      </c>
      <c r="AB27" s="95">
        <v>1239900</v>
      </c>
      <c r="AC27" s="40">
        <v>84.63</v>
      </c>
      <c r="AD27" s="2">
        <f t="shared" si="1"/>
        <v>0.93999999999999773</v>
      </c>
      <c r="AE27" s="138">
        <f t="shared" si="2"/>
        <v>8.2781456953640031E-4</v>
      </c>
    </row>
    <row r="28" spans="1:31" x14ac:dyDescent="0.25">
      <c r="W28" s="157">
        <v>42551</v>
      </c>
      <c r="X28" s="40">
        <v>84.16</v>
      </c>
      <c r="Y28" s="40">
        <v>85.13</v>
      </c>
      <c r="Z28" s="40">
        <v>83.23</v>
      </c>
      <c r="AA28" s="40">
        <v>85.13</v>
      </c>
      <c r="AB28" s="95">
        <v>1460800</v>
      </c>
      <c r="AC28" s="40">
        <v>84.56</v>
      </c>
      <c r="AD28" s="2">
        <f t="shared" si="1"/>
        <v>1.8999999999999915</v>
      </c>
      <c r="AE28" s="138">
        <f t="shared" si="2"/>
        <v>1.64683255198943E-2</v>
      </c>
    </row>
    <row r="29" spans="1:31" x14ac:dyDescent="0.25">
      <c r="W29" s="157">
        <v>42550</v>
      </c>
      <c r="X29" s="40">
        <v>83.02</v>
      </c>
      <c r="Y29" s="40">
        <v>84.19</v>
      </c>
      <c r="Z29" s="40">
        <v>82.91</v>
      </c>
      <c r="AA29" s="40">
        <v>83.75</v>
      </c>
      <c r="AB29" s="95">
        <v>951500</v>
      </c>
      <c r="AC29" s="40">
        <v>83.19</v>
      </c>
      <c r="AD29" s="2">
        <f t="shared" si="1"/>
        <v>1.2800000000000011</v>
      </c>
      <c r="AE29" s="138">
        <f t="shared" si="2"/>
        <v>1.8486777668951904E-2</v>
      </c>
    </row>
    <row r="30" spans="1:31" x14ac:dyDescent="0.25">
      <c r="W30" s="157">
        <v>42549</v>
      </c>
      <c r="X30" s="40">
        <v>80.78</v>
      </c>
      <c r="Y30" s="40">
        <v>82.45</v>
      </c>
      <c r="Z30" s="40">
        <v>80.42</v>
      </c>
      <c r="AA30" s="40">
        <v>82.23</v>
      </c>
      <c r="AB30" s="95">
        <v>1538100</v>
      </c>
      <c r="AC30" s="40">
        <v>81.680000000000007</v>
      </c>
      <c r="AD30" s="2">
        <f t="shared" si="1"/>
        <v>2.0300000000000011</v>
      </c>
      <c r="AE30" s="138">
        <f t="shared" si="2"/>
        <v>3.1964624131396002E-2</v>
      </c>
    </row>
    <row r="31" spans="1:31" x14ac:dyDescent="0.25">
      <c r="W31" s="157">
        <v>42548</v>
      </c>
      <c r="X31" s="40">
        <v>81.650000000000006</v>
      </c>
      <c r="Y31" s="40">
        <v>81.96</v>
      </c>
      <c r="Z31" s="40">
        <v>78.73</v>
      </c>
      <c r="AA31" s="40">
        <v>79.680000000000007</v>
      </c>
      <c r="AB31" s="95">
        <v>2009000</v>
      </c>
      <c r="AC31" s="40">
        <v>79.150000000000006</v>
      </c>
      <c r="AD31" s="2">
        <f t="shared" si="1"/>
        <v>3.2299999999999898</v>
      </c>
      <c r="AE31" s="138">
        <f t="shared" si="2"/>
        <v>-3.5814350103544834E-2</v>
      </c>
    </row>
    <row r="32" spans="1:31" x14ac:dyDescent="0.25">
      <c r="W32" s="157">
        <v>42545</v>
      </c>
      <c r="X32" s="40">
        <v>83.88</v>
      </c>
      <c r="Y32" s="40">
        <v>84.85</v>
      </c>
      <c r="Z32" s="40">
        <v>82.49</v>
      </c>
      <c r="AA32" s="40">
        <v>82.64</v>
      </c>
      <c r="AB32" s="95">
        <v>2196800</v>
      </c>
      <c r="AC32" s="40">
        <v>82.09</v>
      </c>
      <c r="AD32" s="2">
        <f t="shared" si="1"/>
        <v>2.3599999999999994</v>
      </c>
      <c r="AE32" s="138">
        <f t="shared" si="2"/>
        <v>-5.0104142559592613E-2</v>
      </c>
    </row>
    <row r="33" spans="15:31" x14ac:dyDescent="0.25">
      <c r="W33" s="157">
        <v>42544</v>
      </c>
      <c r="X33" s="40">
        <v>86.93</v>
      </c>
      <c r="Y33" s="40">
        <v>87.5</v>
      </c>
      <c r="Z33" s="40">
        <v>86.2</v>
      </c>
      <c r="AA33" s="40">
        <v>87</v>
      </c>
      <c r="AB33" s="95">
        <v>1291900</v>
      </c>
      <c r="AC33" s="40">
        <v>86.42</v>
      </c>
      <c r="AD33" s="2">
        <f t="shared" si="1"/>
        <v>1.2999999999999972</v>
      </c>
      <c r="AE33" s="138">
        <f t="shared" si="2"/>
        <v>1.099672437997179E-2</v>
      </c>
    </row>
    <row r="34" spans="15:31" x14ac:dyDescent="0.25">
      <c r="W34" s="157">
        <v>42543</v>
      </c>
      <c r="X34" s="40">
        <v>85.23</v>
      </c>
      <c r="Y34" s="40">
        <v>86.54</v>
      </c>
      <c r="Z34" s="40">
        <v>85.02</v>
      </c>
      <c r="AA34" s="40">
        <v>86.05</v>
      </c>
      <c r="AB34" s="95">
        <v>1488700</v>
      </c>
      <c r="AC34" s="40">
        <v>85.48</v>
      </c>
      <c r="AD34" s="2">
        <f t="shared" si="1"/>
        <v>1.5200000000000102</v>
      </c>
      <c r="AE34" s="138">
        <f t="shared" si="2"/>
        <v>1.2316437707247774E-2</v>
      </c>
    </row>
    <row r="35" spans="15:31" x14ac:dyDescent="0.25">
      <c r="W35" s="157">
        <v>42542</v>
      </c>
      <c r="X35" s="40">
        <v>84.32</v>
      </c>
      <c r="Y35" s="40">
        <v>85.54</v>
      </c>
      <c r="Z35" s="40">
        <v>84.32</v>
      </c>
      <c r="AA35" s="40">
        <v>85.01</v>
      </c>
      <c r="AB35" s="95">
        <v>1200500</v>
      </c>
      <c r="AC35" s="40">
        <v>84.44</v>
      </c>
      <c r="AD35" s="2">
        <f t="shared" si="1"/>
        <v>1.2200000000000131</v>
      </c>
      <c r="AE35" s="138">
        <f t="shared" si="2"/>
        <v>-7.5223319228960861E-3</v>
      </c>
    </row>
    <row r="36" spans="15:31" x14ac:dyDescent="0.25">
      <c r="W36" s="157">
        <v>42541</v>
      </c>
      <c r="X36" s="40">
        <v>86.21</v>
      </c>
      <c r="Y36" s="40">
        <v>86.99</v>
      </c>
      <c r="Z36" s="40">
        <v>85.48</v>
      </c>
      <c r="AA36" s="40">
        <v>85.65</v>
      </c>
      <c r="AB36" s="95">
        <v>1777000</v>
      </c>
      <c r="AC36" s="40">
        <v>85.08</v>
      </c>
      <c r="AD36" s="2">
        <f t="shared" si="1"/>
        <v>1.5099999999999909</v>
      </c>
      <c r="AE36" s="138">
        <f t="shared" si="2"/>
        <v>5.4360671236113323E-3</v>
      </c>
    </row>
    <row r="37" spans="15:31" x14ac:dyDescent="0.25">
      <c r="W37" s="157">
        <v>42538</v>
      </c>
      <c r="X37" s="40">
        <v>84.15</v>
      </c>
      <c r="Y37" s="40">
        <v>85.72</v>
      </c>
      <c r="Z37" s="40">
        <v>83.84</v>
      </c>
      <c r="AA37" s="40">
        <v>85.19</v>
      </c>
      <c r="AB37" s="95">
        <v>2195200</v>
      </c>
      <c r="AC37" s="40">
        <v>84.62</v>
      </c>
      <c r="AD37" s="2">
        <f t="shared" si="1"/>
        <v>1.8799999999999955</v>
      </c>
      <c r="AE37" s="138">
        <f t="shared" si="2"/>
        <v>1.1837857228267579E-2</v>
      </c>
    </row>
    <row r="38" spans="15:31" x14ac:dyDescent="0.25">
      <c r="W38" s="157">
        <v>42537</v>
      </c>
      <c r="X38" s="40">
        <v>83.03</v>
      </c>
      <c r="Y38" s="40">
        <v>84.5</v>
      </c>
      <c r="Z38" s="40">
        <v>82.28</v>
      </c>
      <c r="AA38" s="40">
        <v>84.19</v>
      </c>
      <c r="AB38" s="95">
        <v>1553700</v>
      </c>
      <c r="AC38" s="40">
        <v>83.63</v>
      </c>
      <c r="AD38" s="2">
        <f t="shared" si="1"/>
        <v>2.2199999999999989</v>
      </c>
      <c r="AE38" s="138">
        <f t="shared" si="2"/>
        <v>8.3192669399565489E-3</v>
      </c>
    </row>
    <row r="39" spans="15:31" x14ac:dyDescent="0.25">
      <c r="W39" s="157">
        <v>42536</v>
      </c>
      <c r="X39" s="40">
        <v>83.23</v>
      </c>
      <c r="Y39" s="40">
        <v>84.26</v>
      </c>
      <c r="Z39" s="40">
        <v>82.63</v>
      </c>
      <c r="AA39" s="40">
        <v>83.5</v>
      </c>
      <c r="AB39" s="95">
        <v>1774700</v>
      </c>
      <c r="AC39" s="40">
        <v>82.94</v>
      </c>
      <c r="AD39" s="2">
        <f t="shared" si="1"/>
        <v>1.6300000000000097</v>
      </c>
      <c r="AE39" s="138">
        <f t="shared" si="2"/>
        <v>8.3890577507599318E-3</v>
      </c>
    </row>
    <row r="40" spans="15:31" x14ac:dyDescent="0.25">
      <c r="W40" s="157">
        <v>42535</v>
      </c>
      <c r="X40" s="40">
        <v>83.23</v>
      </c>
      <c r="Y40" s="40">
        <v>84.25</v>
      </c>
      <c r="Z40" s="40">
        <v>82.58</v>
      </c>
      <c r="AA40" s="40">
        <v>82.8</v>
      </c>
      <c r="AB40" s="95">
        <v>1071000</v>
      </c>
      <c r="AC40" s="40">
        <v>82.25</v>
      </c>
      <c r="AD40" s="2">
        <f t="shared" si="1"/>
        <v>1.6700000000000017</v>
      </c>
      <c r="AE40" s="138">
        <f t="shared" si="2"/>
        <v>-5.0804403048264613E-3</v>
      </c>
    </row>
    <row r="41" spans="15:31" x14ac:dyDescent="0.25">
      <c r="W41" s="157">
        <v>42534</v>
      </c>
      <c r="X41" s="40">
        <v>84</v>
      </c>
      <c r="Y41" s="40">
        <v>84.4</v>
      </c>
      <c r="Z41" s="40">
        <v>83.21</v>
      </c>
      <c r="AA41" s="40">
        <v>83.23</v>
      </c>
      <c r="AB41" s="95">
        <v>1617000</v>
      </c>
      <c r="AC41" s="40">
        <v>82.67</v>
      </c>
      <c r="AD41" s="2">
        <f t="shared" si="1"/>
        <v>1.1900000000000119</v>
      </c>
      <c r="AE41" s="138">
        <f t="shared" si="2"/>
        <v>-1.029570214294262E-2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42531</v>
      </c>
      <c r="X42" s="40">
        <v>85.14</v>
      </c>
      <c r="Y42" s="40">
        <v>85.16</v>
      </c>
      <c r="Z42" s="40">
        <v>83.46</v>
      </c>
      <c r="AA42" s="40">
        <v>84.09</v>
      </c>
      <c r="AB42" s="95">
        <v>1168100</v>
      </c>
      <c r="AC42" s="40">
        <v>83.53</v>
      </c>
      <c r="AD42" s="2">
        <f t="shared" si="1"/>
        <v>1.7000000000000028</v>
      </c>
      <c r="AE42" s="138">
        <f t="shared" si="2"/>
        <v>-1.7640832647300986E-2</v>
      </c>
    </row>
    <row r="43" spans="15:31" ht="15.75" thickTop="1" x14ac:dyDescent="0.25">
      <c r="O43" s="83">
        <v>1.1000000000000001</v>
      </c>
      <c r="P43" s="83">
        <f t="shared" ref="P43:P63" si="3">O43*$Q$4</f>
        <v>98.472000000000008</v>
      </c>
      <c r="Q43" s="2"/>
      <c r="R43" s="34"/>
      <c r="T43" s="10" t="s">
        <v>98</v>
      </c>
      <c r="U43" s="88">
        <v>87.61</v>
      </c>
      <c r="W43" s="157">
        <v>42530</v>
      </c>
      <c r="X43" s="40">
        <v>85.29</v>
      </c>
      <c r="Y43" s="40">
        <v>85.74</v>
      </c>
      <c r="Z43" s="40">
        <v>83.82</v>
      </c>
      <c r="AA43" s="40">
        <v>85.6</v>
      </c>
      <c r="AB43" s="95">
        <v>1817600</v>
      </c>
      <c r="AC43" s="40">
        <v>85.03</v>
      </c>
      <c r="AD43" s="2">
        <f t="shared" si="1"/>
        <v>1.9200000000000017</v>
      </c>
      <c r="AE43" s="138">
        <f t="shared" si="2"/>
        <v>-4.0993206840008733E-3</v>
      </c>
    </row>
    <row r="44" spans="15:31" x14ac:dyDescent="0.25">
      <c r="O44" s="83">
        <v>1.0900000000000001</v>
      </c>
      <c r="P44" s="83">
        <f t="shared" si="3"/>
        <v>97.576800000000006</v>
      </c>
      <c r="Q44" s="2"/>
      <c r="R44" s="34"/>
      <c r="T44" s="10" t="s">
        <v>99</v>
      </c>
      <c r="U44" s="88">
        <v>88.16</v>
      </c>
      <c r="W44" s="157">
        <v>42529</v>
      </c>
      <c r="X44" s="40">
        <v>83.99</v>
      </c>
      <c r="Y44" s="40">
        <v>86.69</v>
      </c>
      <c r="Z44" s="40">
        <v>83.67</v>
      </c>
      <c r="AA44" s="40">
        <v>85.95</v>
      </c>
      <c r="AB44" s="95">
        <v>1862800</v>
      </c>
      <c r="AC44" s="40">
        <v>85.38</v>
      </c>
      <c r="AD44" s="2">
        <f t="shared" si="1"/>
        <v>3.019999999999996</v>
      </c>
      <c r="AE44" s="138">
        <f t="shared" si="2"/>
        <v>2.6448665544601901E-2</v>
      </c>
    </row>
    <row r="45" spans="15:31" x14ac:dyDescent="0.25">
      <c r="O45" s="83">
        <v>1.08</v>
      </c>
      <c r="P45" s="83">
        <f t="shared" si="3"/>
        <v>96.681600000000003</v>
      </c>
      <c r="Q45" s="2"/>
      <c r="R45" s="34"/>
      <c r="T45" s="10" t="s">
        <v>100</v>
      </c>
      <c r="U45" s="88" t="s">
        <v>396</v>
      </c>
      <c r="W45" s="157">
        <v>42528</v>
      </c>
      <c r="X45" s="40">
        <v>83.31</v>
      </c>
      <c r="Y45" s="40">
        <v>84.78</v>
      </c>
      <c r="Z45" s="40">
        <v>83.31</v>
      </c>
      <c r="AA45" s="40">
        <v>83.74</v>
      </c>
      <c r="AB45" s="95">
        <v>1139900</v>
      </c>
      <c r="AC45" s="40">
        <v>83.18</v>
      </c>
      <c r="AD45" s="2">
        <f t="shared" si="1"/>
        <v>1.4699999999999989</v>
      </c>
      <c r="AE45" s="138">
        <f t="shared" si="2"/>
        <v>5.6825051384357117E-3</v>
      </c>
    </row>
    <row r="46" spans="15:31" x14ac:dyDescent="0.25">
      <c r="O46" s="83">
        <v>1.07</v>
      </c>
      <c r="P46" s="83">
        <f t="shared" si="3"/>
        <v>95.7864</v>
      </c>
      <c r="Q46" s="2"/>
      <c r="R46" s="34"/>
      <c r="T46" s="10" t="s">
        <v>101</v>
      </c>
      <c r="U46" s="88" t="s">
        <v>397</v>
      </c>
      <c r="W46" s="157">
        <v>42527</v>
      </c>
      <c r="X46" s="40">
        <v>83.54</v>
      </c>
      <c r="Y46" s="40">
        <v>84.3</v>
      </c>
      <c r="Z46" s="40">
        <v>82.58</v>
      </c>
      <c r="AA46" s="40">
        <v>83.27</v>
      </c>
      <c r="AB46" s="95">
        <v>1493700</v>
      </c>
      <c r="AC46" s="40">
        <v>82.71</v>
      </c>
      <c r="AD46" s="2">
        <f t="shared" si="1"/>
        <v>1.7199999999999989</v>
      </c>
      <c r="AE46" s="138">
        <f t="shared" si="2"/>
        <v>1.938219261053975E-3</v>
      </c>
    </row>
    <row r="47" spans="15:31" x14ac:dyDescent="0.25">
      <c r="O47" s="83">
        <v>1.06</v>
      </c>
      <c r="P47" s="83">
        <f t="shared" si="3"/>
        <v>94.891199999999998</v>
      </c>
      <c r="Q47" s="2"/>
      <c r="R47" s="34"/>
      <c r="T47" s="10" t="s">
        <v>102</v>
      </c>
      <c r="U47" s="88">
        <v>91.62</v>
      </c>
      <c r="W47" s="157">
        <v>42524</v>
      </c>
      <c r="X47" s="40">
        <v>82.58</v>
      </c>
      <c r="Y47" s="40">
        <v>83.47</v>
      </c>
      <c r="Z47" s="40">
        <v>81.91</v>
      </c>
      <c r="AA47" s="40">
        <v>83.11</v>
      </c>
      <c r="AB47" s="95">
        <v>1554800</v>
      </c>
      <c r="AC47" s="40">
        <v>82.55</v>
      </c>
      <c r="AD47" s="2">
        <f t="shared" si="1"/>
        <v>1.5600000000000023</v>
      </c>
      <c r="AE47" s="138">
        <f t="shared" si="2"/>
        <v>-7.263043215107734E-4</v>
      </c>
    </row>
    <row r="48" spans="15:31" x14ac:dyDescent="0.25">
      <c r="O48" s="83">
        <v>1.05</v>
      </c>
      <c r="P48" s="83">
        <f t="shared" si="3"/>
        <v>93.995999999999995</v>
      </c>
      <c r="Q48" s="2"/>
      <c r="R48" s="34"/>
      <c r="T48" s="10" t="s">
        <v>103</v>
      </c>
      <c r="U48" s="88">
        <v>1.3119099999999999</v>
      </c>
      <c r="W48" s="157">
        <v>42523</v>
      </c>
      <c r="X48" s="40">
        <v>82.6</v>
      </c>
      <c r="Y48" s="40">
        <v>83.23</v>
      </c>
      <c r="Z48" s="40">
        <v>82.06</v>
      </c>
      <c r="AA48" s="40">
        <v>83.17</v>
      </c>
      <c r="AB48" s="95">
        <v>1003600</v>
      </c>
      <c r="AC48" s="40">
        <v>82.61</v>
      </c>
      <c r="AD48" s="2">
        <f t="shared" si="1"/>
        <v>1.1700000000000017</v>
      </c>
      <c r="AE48" s="138">
        <f t="shared" si="2"/>
        <v>1.8190637885036054E-3</v>
      </c>
    </row>
    <row r="49" spans="15:31" x14ac:dyDescent="0.25">
      <c r="O49" s="83">
        <v>1.04</v>
      </c>
      <c r="P49" s="83">
        <f t="shared" si="3"/>
        <v>93.100799999999992</v>
      </c>
      <c r="Q49" s="2"/>
      <c r="R49" s="34"/>
      <c r="T49" s="10" t="s">
        <v>123</v>
      </c>
      <c r="U49" s="88" t="s">
        <v>357</v>
      </c>
      <c r="W49" s="157">
        <v>42522</v>
      </c>
      <c r="X49" s="40">
        <v>83.3</v>
      </c>
      <c r="Y49" s="40">
        <v>83.41</v>
      </c>
      <c r="Z49" s="40">
        <v>81.790000000000006</v>
      </c>
      <c r="AA49" s="40">
        <v>83.01</v>
      </c>
      <c r="AB49" s="95">
        <v>1525700</v>
      </c>
      <c r="AC49" s="40">
        <v>82.46</v>
      </c>
      <c r="AD49" s="2">
        <f t="shared" si="1"/>
        <v>1.6199999999999903</v>
      </c>
      <c r="AE49" s="138">
        <f t="shared" si="2"/>
        <v>-1.2455089820359366E-2</v>
      </c>
    </row>
    <row r="50" spans="15:31" x14ac:dyDescent="0.25">
      <c r="O50" s="83">
        <v>1.03</v>
      </c>
      <c r="P50" s="83">
        <f t="shared" si="3"/>
        <v>92.205600000000004</v>
      </c>
      <c r="Q50" s="2"/>
      <c r="R50" s="34"/>
      <c r="T50" s="10"/>
      <c r="U50" s="88"/>
      <c r="W50" s="157">
        <v>42521</v>
      </c>
      <c r="X50" s="40">
        <v>83.97</v>
      </c>
      <c r="Y50" s="40">
        <v>85.65</v>
      </c>
      <c r="Z50" s="40">
        <v>83.16</v>
      </c>
      <c r="AA50" s="40">
        <v>84.06</v>
      </c>
      <c r="AB50" s="95">
        <v>1695000</v>
      </c>
      <c r="AC50" s="40">
        <v>83.5</v>
      </c>
      <c r="AD50" s="2">
        <f t="shared" si="1"/>
        <v>2.4900000000000091</v>
      </c>
      <c r="AE50" s="138">
        <f t="shared" si="2"/>
        <v>7.1907957813999168E-4</v>
      </c>
    </row>
    <row r="51" spans="15:31" x14ac:dyDescent="0.25">
      <c r="O51" s="83">
        <v>1.02</v>
      </c>
      <c r="P51" s="83">
        <f t="shared" si="3"/>
        <v>91.310400000000001</v>
      </c>
      <c r="Q51" s="2"/>
      <c r="R51" s="34"/>
      <c r="T51" s="10" t="s">
        <v>105</v>
      </c>
      <c r="U51" s="88" t="s">
        <v>398</v>
      </c>
      <c r="W51" s="157">
        <v>42517</v>
      </c>
      <c r="X51" s="40">
        <v>83.94</v>
      </c>
      <c r="Y51" s="40">
        <v>84.35</v>
      </c>
      <c r="Z51" s="40">
        <v>83.22</v>
      </c>
      <c r="AA51" s="40">
        <v>84</v>
      </c>
      <c r="AB51" s="95">
        <v>1000500</v>
      </c>
      <c r="AC51" s="40">
        <v>83.44</v>
      </c>
      <c r="AD51" s="2">
        <f t="shared" si="1"/>
        <v>1.1299999999999955</v>
      </c>
      <c r="AE51" s="138">
        <f t="shared" si="2"/>
        <v>2.0415515792002736E-3</v>
      </c>
    </row>
    <row r="52" spans="15:31" x14ac:dyDescent="0.25">
      <c r="O52" s="83">
        <v>1.01</v>
      </c>
      <c r="P52" s="83">
        <f t="shared" si="3"/>
        <v>90.415199999999999</v>
      </c>
      <c r="Q52" s="2"/>
      <c r="R52" s="34"/>
      <c r="T52" s="10" t="s">
        <v>106</v>
      </c>
      <c r="U52" s="88" t="s">
        <v>233</v>
      </c>
      <c r="W52" s="157">
        <v>42516</v>
      </c>
      <c r="X52" s="40">
        <v>83.46</v>
      </c>
      <c r="Y52" s="40">
        <v>84.28</v>
      </c>
      <c r="Z52" s="40">
        <v>82.85</v>
      </c>
      <c r="AA52" s="40">
        <v>83.83</v>
      </c>
      <c r="AB52" s="95">
        <v>1726400</v>
      </c>
      <c r="AC52" s="40">
        <v>83.27</v>
      </c>
      <c r="AD52" s="2">
        <f t="shared" si="1"/>
        <v>1.4300000000000068</v>
      </c>
      <c r="AE52" s="138">
        <f t="shared" si="2"/>
        <v>6.2839879154077405E-3</v>
      </c>
    </row>
    <row r="53" spans="15:31" x14ac:dyDescent="0.25">
      <c r="O53" s="83">
        <v>1</v>
      </c>
      <c r="P53" s="83">
        <f t="shared" si="3"/>
        <v>89.52</v>
      </c>
      <c r="Q53" s="2"/>
      <c r="R53" s="34"/>
      <c r="T53" s="10" t="s">
        <v>107</v>
      </c>
      <c r="U53" s="90">
        <v>1466888</v>
      </c>
      <c r="W53" s="157">
        <v>42515</v>
      </c>
      <c r="X53" s="40">
        <v>82.3</v>
      </c>
      <c r="Y53" s="40">
        <v>83.75</v>
      </c>
      <c r="Z53" s="40">
        <v>82.15</v>
      </c>
      <c r="AA53" s="40">
        <v>83.31</v>
      </c>
      <c r="AB53" s="95">
        <v>3812500</v>
      </c>
      <c r="AC53" s="40">
        <v>82.75</v>
      </c>
      <c r="AD53" s="2">
        <f t="shared" si="1"/>
        <v>1.5999999999999943</v>
      </c>
      <c r="AE53" s="138">
        <f t="shared" si="2"/>
        <v>1.3099902056807E-2</v>
      </c>
    </row>
    <row r="54" spans="15:31" x14ac:dyDescent="0.25">
      <c r="O54" s="83">
        <v>0.99</v>
      </c>
      <c r="P54" s="83">
        <f t="shared" si="3"/>
        <v>88.624799999999993</v>
      </c>
      <c r="Q54" s="2"/>
      <c r="R54" s="34"/>
      <c r="T54" s="10" t="s">
        <v>110</v>
      </c>
      <c r="U54" s="90">
        <v>1621230</v>
      </c>
      <c r="W54" s="157">
        <v>42514</v>
      </c>
      <c r="X54" s="40">
        <v>85</v>
      </c>
      <c r="Y54" s="40">
        <v>85.44</v>
      </c>
      <c r="Z54" s="40">
        <v>81.48</v>
      </c>
      <c r="AA54" s="40">
        <v>82.23</v>
      </c>
      <c r="AB54" s="95">
        <v>3320100</v>
      </c>
      <c r="AC54" s="40">
        <v>81.680000000000007</v>
      </c>
      <c r="AD54" s="2">
        <f t="shared" si="1"/>
        <v>3.9599999999999937</v>
      </c>
      <c r="AE54" s="138">
        <f t="shared" si="2"/>
        <v>-2.9006181645268581E-2</v>
      </c>
    </row>
    <row r="55" spans="15:31" x14ac:dyDescent="0.25">
      <c r="O55" s="83">
        <v>0.98</v>
      </c>
      <c r="P55" s="83">
        <f t="shared" si="3"/>
        <v>87.729599999999991</v>
      </c>
      <c r="Q55" s="2"/>
      <c r="R55" s="34"/>
      <c r="T55" s="10" t="s">
        <v>108</v>
      </c>
      <c r="U55" s="88" t="s">
        <v>399</v>
      </c>
      <c r="W55" s="157">
        <v>42513</v>
      </c>
      <c r="X55" s="40">
        <v>85.36</v>
      </c>
      <c r="Y55" s="40">
        <v>85.79</v>
      </c>
      <c r="Z55" s="40">
        <v>84.44</v>
      </c>
      <c r="AA55" s="40">
        <v>84.69</v>
      </c>
      <c r="AB55" s="95">
        <v>1669600</v>
      </c>
      <c r="AC55" s="40">
        <v>84.12</v>
      </c>
      <c r="AD55" s="2">
        <f t="shared" si="1"/>
        <v>1.3500000000000085</v>
      </c>
      <c r="AE55" s="138">
        <f t="shared" si="2"/>
        <v>-8.8370448921880618E-3</v>
      </c>
    </row>
    <row r="56" spans="15:31" x14ac:dyDescent="0.25">
      <c r="O56" s="83">
        <v>0.97</v>
      </c>
      <c r="P56" s="83">
        <f t="shared" si="3"/>
        <v>86.834399999999988</v>
      </c>
      <c r="T56" s="10" t="s">
        <v>111</v>
      </c>
      <c r="U56" s="88">
        <v>16.649999999999999</v>
      </c>
      <c r="W56" s="157">
        <v>42510</v>
      </c>
      <c r="X56" s="40">
        <v>84.79</v>
      </c>
      <c r="Y56" s="40">
        <v>85.75</v>
      </c>
      <c r="Z56" s="40">
        <v>84.54</v>
      </c>
      <c r="AA56" s="40">
        <v>85.44</v>
      </c>
      <c r="AB56" s="95">
        <v>1418800</v>
      </c>
      <c r="AC56" s="40">
        <v>84.87</v>
      </c>
      <c r="AD56" s="2">
        <f t="shared" si="1"/>
        <v>1.2099999999999937</v>
      </c>
      <c r="AE56" s="138">
        <f t="shared" si="2"/>
        <v>1.3131192551032678E-2</v>
      </c>
    </row>
    <row r="57" spans="15:31" x14ac:dyDescent="0.25">
      <c r="O57" s="83">
        <v>0.96</v>
      </c>
      <c r="P57" s="83">
        <f t="shared" si="3"/>
        <v>85.9392</v>
      </c>
      <c r="T57" s="10" t="s">
        <v>112</v>
      </c>
      <c r="U57" s="88">
        <v>5.34</v>
      </c>
      <c r="W57" s="157">
        <v>42509</v>
      </c>
      <c r="X57" s="40">
        <v>85.52</v>
      </c>
      <c r="Y57" s="40">
        <v>85.84</v>
      </c>
      <c r="Z57" s="40">
        <v>83.67</v>
      </c>
      <c r="AA57" s="40">
        <v>84.33</v>
      </c>
      <c r="AB57" s="95">
        <v>1624800</v>
      </c>
      <c r="AC57" s="40">
        <v>83.77</v>
      </c>
      <c r="AD57" s="2">
        <f t="shared" si="1"/>
        <v>2.1700000000000017</v>
      </c>
      <c r="AE57" s="138">
        <f t="shared" si="2"/>
        <v>-1.3774429008712064E-2</v>
      </c>
    </row>
    <row r="58" spans="15:31" x14ac:dyDescent="0.25">
      <c r="O58" s="83">
        <v>0.95</v>
      </c>
      <c r="P58" s="83">
        <f t="shared" si="3"/>
        <v>85.043999999999997</v>
      </c>
      <c r="T58" s="10" t="s">
        <v>109</v>
      </c>
      <c r="U58" s="88" t="s">
        <v>563</v>
      </c>
      <c r="W58" s="157">
        <v>42508</v>
      </c>
      <c r="X58" s="40">
        <v>85.65</v>
      </c>
      <c r="Y58" s="40">
        <v>87.77</v>
      </c>
      <c r="Z58" s="40">
        <v>84.6</v>
      </c>
      <c r="AA58" s="40">
        <v>85.51</v>
      </c>
      <c r="AB58" s="95">
        <v>2085200</v>
      </c>
      <c r="AC58" s="40">
        <v>84.94</v>
      </c>
      <c r="AD58" s="2">
        <f t="shared" si="1"/>
        <v>3.1700000000000017</v>
      </c>
      <c r="AE58" s="138">
        <f t="shared" si="2"/>
        <v>-4.1036463829289271E-3</v>
      </c>
    </row>
    <row r="59" spans="15:31" x14ac:dyDescent="0.25">
      <c r="O59" s="83">
        <v>0.94</v>
      </c>
      <c r="P59" s="83">
        <f t="shared" si="3"/>
        <v>84.148799999999994</v>
      </c>
      <c r="W59" s="157">
        <v>42507</v>
      </c>
      <c r="X59" s="40">
        <v>86.11</v>
      </c>
      <c r="Y59" s="40">
        <v>88</v>
      </c>
      <c r="Z59" s="40">
        <v>85.7</v>
      </c>
      <c r="AA59" s="40">
        <v>85.86</v>
      </c>
      <c r="AB59" s="95">
        <v>2171800</v>
      </c>
      <c r="AC59" s="40">
        <v>85.29</v>
      </c>
      <c r="AD59" s="2">
        <f t="shared" si="1"/>
        <v>2.2999999999999972</v>
      </c>
      <c r="AE59" s="138">
        <f t="shared" si="2"/>
        <v>-4.3194022881156702E-3</v>
      </c>
    </row>
    <row r="60" spans="15:31" x14ac:dyDescent="0.25">
      <c r="O60" s="83">
        <v>0.93</v>
      </c>
      <c r="P60" s="83">
        <f t="shared" si="3"/>
        <v>83.253600000000006</v>
      </c>
      <c r="W60" s="157">
        <v>42506</v>
      </c>
      <c r="X60" s="40">
        <v>86</v>
      </c>
      <c r="Y60" s="40">
        <v>87.63</v>
      </c>
      <c r="Z60" s="40">
        <v>86</v>
      </c>
      <c r="AA60" s="40">
        <v>86.24</v>
      </c>
      <c r="AB60" s="95">
        <v>1587900</v>
      </c>
      <c r="AC60" s="40">
        <v>85.66</v>
      </c>
      <c r="AD60" s="2">
        <f t="shared" si="1"/>
        <v>1.6299999999999955</v>
      </c>
      <c r="AE60" s="138">
        <f t="shared" si="2"/>
        <v>3.0444964871192415E-3</v>
      </c>
    </row>
    <row r="61" spans="15:31" x14ac:dyDescent="0.25">
      <c r="O61" s="83">
        <v>0.92</v>
      </c>
      <c r="P61" s="83">
        <f t="shared" si="3"/>
        <v>82.358400000000003</v>
      </c>
      <c r="W61" s="157">
        <v>42503</v>
      </c>
      <c r="X61" s="40">
        <v>87.81</v>
      </c>
      <c r="Y61" s="40">
        <v>88.63</v>
      </c>
      <c r="Z61" s="40">
        <v>85.29</v>
      </c>
      <c r="AA61" s="40">
        <v>85.97</v>
      </c>
      <c r="AB61" s="95">
        <v>1828400</v>
      </c>
      <c r="AC61" s="40">
        <v>85.4</v>
      </c>
      <c r="AD61" s="2">
        <f t="shared" si="1"/>
        <v>3.3399999999999892</v>
      </c>
      <c r="AE61" s="138">
        <f t="shared" si="2"/>
        <v>-2.5002854207101244E-2</v>
      </c>
    </row>
    <row r="62" spans="15:31" x14ac:dyDescent="0.25">
      <c r="O62" s="83">
        <v>0.91</v>
      </c>
      <c r="P62" s="83">
        <f t="shared" si="3"/>
        <v>81.463200000000001</v>
      </c>
      <c r="W62" s="157">
        <v>42502</v>
      </c>
      <c r="X62" s="40">
        <v>89.22</v>
      </c>
      <c r="Y62" s="40">
        <v>89.63</v>
      </c>
      <c r="Z62" s="40">
        <v>87.63</v>
      </c>
      <c r="AA62" s="40">
        <v>88.18</v>
      </c>
      <c r="AB62" s="95">
        <v>1313300</v>
      </c>
      <c r="AC62" s="40">
        <v>87.59</v>
      </c>
      <c r="AD62" s="2">
        <f t="shared" si="1"/>
        <v>2</v>
      </c>
      <c r="AE62" s="138">
        <f t="shared" si="2"/>
        <v>-7.253768559446927E-3</v>
      </c>
    </row>
    <row r="63" spans="15:31" x14ac:dyDescent="0.25">
      <c r="O63" s="83">
        <v>0.9</v>
      </c>
      <c r="P63" s="83">
        <f t="shared" si="3"/>
        <v>80.567999999999998</v>
      </c>
      <c r="W63" s="157">
        <v>42501</v>
      </c>
      <c r="X63" s="40">
        <v>90.07</v>
      </c>
      <c r="Y63" s="40">
        <v>90.5</v>
      </c>
      <c r="Z63" s="40">
        <v>88.8</v>
      </c>
      <c r="AA63" s="40">
        <v>88.82</v>
      </c>
      <c r="AB63" s="95">
        <v>1438000</v>
      </c>
      <c r="AC63" s="40">
        <v>88.23</v>
      </c>
      <c r="AD63" s="2">
        <f t="shared" si="1"/>
        <v>1.7000000000000028</v>
      </c>
      <c r="AE63" s="138">
        <f t="shared" si="2"/>
        <v>-1.6497603388696769E-2</v>
      </c>
    </row>
    <row r="64" spans="15:31" x14ac:dyDescent="0.25">
      <c r="W64" s="157">
        <v>42500</v>
      </c>
      <c r="X64" s="40">
        <v>88.72</v>
      </c>
      <c r="Y64" s="40">
        <v>90.7</v>
      </c>
      <c r="Z64" s="40">
        <v>88.29</v>
      </c>
      <c r="AA64" s="40">
        <v>90.31</v>
      </c>
      <c r="AB64" s="95">
        <v>1197200</v>
      </c>
      <c r="AC64" s="40">
        <v>89.71</v>
      </c>
      <c r="AD64" s="2">
        <f t="shared" si="1"/>
        <v>2.4099999999999966</v>
      </c>
      <c r="AE64" s="138">
        <f t="shared" si="2"/>
        <v>2.303569392176974E-2</v>
      </c>
    </row>
    <row r="65" spans="23:31" x14ac:dyDescent="0.25">
      <c r="W65" s="157">
        <v>42499</v>
      </c>
      <c r="X65" s="40">
        <v>89.17</v>
      </c>
      <c r="Y65" s="40">
        <v>89.79</v>
      </c>
      <c r="Z65" s="40">
        <v>87.99</v>
      </c>
      <c r="AA65" s="40">
        <v>88.28</v>
      </c>
      <c r="AB65" s="95">
        <v>1649600</v>
      </c>
      <c r="AC65" s="40">
        <v>87.69</v>
      </c>
      <c r="AD65" s="2">
        <f t="shared" si="1"/>
        <v>1.8000000000000114</v>
      </c>
      <c r="AE65" s="138">
        <f t="shared" si="2"/>
        <v>-1.5382887940714185E-2</v>
      </c>
    </row>
    <row r="66" spans="23:31" x14ac:dyDescent="0.25">
      <c r="W66" s="157">
        <v>42496</v>
      </c>
      <c r="X66" s="40">
        <v>87.96</v>
      </c>
      <c r="Y66" s="40">
        <v>89.94</v>
      </c>
      <c r="Z66" s="40">
        <v>87.82</v>
      </c>
      <c r="AA66" s="40">
        <v>89.66</v>
      </c>
      <c r="AB66" s="95">
        <v>1292500</v>
      </c>
      <c r="AC66" s="40">
        <v>89.06</v>
      </c>
      <c r="AD66" s="2">
        <f t="shared" si="1"/>
        <v>2.1200000000000045</v>
      </c>
      <c r="AE66" s="138">
        <f t="shared" si="2"/>
        <v>7.9221367134449938E-3</v>
      </c>
    </row>
    <row r="67" spans="23:31" x14ac:dyDescent="0.25">
      <c r="W67" s="157">
        <v>42495</v>
      </c>
      <c r="X67" s="40">
        <v>89.15</v>
      </c>
      <c r="Y67" s="40">
        <v>90.24</v>
      </c>
      <c r="Z67" s="40">
        <v>88.68</v>
      </c>
      <c r="AA67" s="40">
        <v>88.95</v>
      </c>
      <c r="AB67" s="95">
        <v>1217800</v>
      </c>
      <c r="AC67" s="40">
        <v>88.36</v>
      </c>
      <c r="AD67" s="2">
        <f>Y67-Z67</f>
        <v>1.5599999999999881</v>
      </c>
      <c r="AE67" s="138">
        <f>AC67/AC68-1</f>
        <v>9.0620752152248407E-4</v>
      </c>
    </row>
    <row r="68" spans="23:31" x14ac:dyDescent="0.25">
      <c r="W68" s="157">
        <v>42494</v>
      </c>
      <c r="X68" s="40">
        <v>87.98</v>
      </c>
      <c r="Y68" s="40">
        <v>89.48</v>
      </c>
      <c r="Z68" s="40">
        <v>87.98</v>
      </c>
      <c r="AA68" s="40">
        <v>88.87</v>
      </c>
      <c r="AB68" s="95">
        <v>1608000</v>
      </c>
      <c r="AC68" s="40">
        <v>88.28</v>
      </c>
      <c r="AD68" s="2">
        <f>Y68-Z68</f>
        <v>1.5</v>
      </c>
      <c r="AE68" s="138" t="e">
        <f>AC68/AC70-1</f>
        <v>#DIV/0!</v>
      </c>
    </row>
    <row r="69" spans="23:31" x14ac:dyDescent="0.25">
      <c r="W69" s="157">
        <v>42494</v>
      </c>
      <c r="X69" s="40" t="s">
        <v>141</v>
      </c>
      <c r="Y69" s="40"/>
      <c r="Z69" s="40"/>
      <c r="AA69" s="40"/>
      <c r="AB69" s="95"/>
      <c r="AC69" s="40"/>
      <c r="AD69" s="2">
        <f>Y70-Z70</f>
        <v>0</v>
      </c>
      <c r="AE69" s="138" t="e">
        <f>AC70/AC71-1</f>
        <v>#DIV/0!</v>
      </c>
    </row>
    <row r="70" spans="23:31" x14ac:dyDescent="0.25">
      <c r="W70" s="157" t="s">
        <v>122</v>
      </c>
      <c r="X70" s="40"/>
      <c r="Y70" s="40"/>
      <c r="Z70" s="40"/>
      <c r="AA70" s="40"/>
      <c r="AB70" s="95"/>
      <c r="AC70" s="40"/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1" priority="25">
      <formula>F24&gt;0</formula>
    </cfRule>
    <cfRule type="expression" dxfId="180" priority="26">
      <formula>F24&lt;0</formula>
    </cfRule>
  </conditionalFormatting>
  <conditionalFormatting sqref="H21:H27">
    <cfRule type="expression" dxfId="179" priority="19">
      <formula>H21&gt;0</formula>
    </cfRule>
    <cfRule type="expression" dxfId="178" priority="20">
      <formula>H21&lt;0</formula>
    </cfRule>
  </conditionalFormatting>
  <conditionalFormatting sqref="F21:F23">
    <cfRule type="expression" dxfId="177" priority="5">
      <formula>F21&gt;0</formula>
    </cfRule>
    <cfRule type="expression" dxfId="176" priority="6">
      <formula>F21&lt;0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42587</v>
      </c>
      <c r="X2" s="10">
        <v>167.95</v>
      </c>
      <c r="Y2" s="10">
        <v>170.2</v>
      </c>
      <c r="Z2" s="10">
        <v>167.23</v>
      </c>
      <c r="AA2" s="10">
        <v>170.12</v>
      </c>
      <c r="AB2" s="95">
        <v>2555100</v>
      </c>
      <c r="AC2" s="10">
        <v>170.12</v>
      </c>
      <c r="AD2" s="2">
        <f>Y2-Z2</f>
        <v>2.9699999999999989</v>
      </c>
      <c r="AE2" s="138">
        <f>AC2/AC3-1</f>
        <v>1.8743637343553443E-2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168.35</v>
      </c>
      <c r="T3" s="63"/>
      <c r="W3" s="133">
        <v>42586</v>
      </c>
      <c r="X3" s="10">
        <v>164.27</v>
      </c>
      <c r="Y3" s="10">
        <v>167</v>
      </c>
      <c r="Z3" s="10">
        <v>164.2</v>
      </c>
      <c r="AA3" s="10">
        <v>166.99</v>
      </c>
      <c r="AB3" s="95">
        <v>1997800</v>
      </c>
      <c r="AC3" s="10">
        <v>166.99</v>
      </c>
      <c r="AD3" s="2">
        <f t="shared" ref="AD3:AD66" si="0">Y3-Z3</f>
        <v>2.8000000000000114</v>
      </c>
      <c r="AE3" s="138">
        <f t="shared" ref="AE3:AE66" si="1">AC3/AC4-1</f>
        <v>1.7549204801657448E-2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168.35</v>
      </c>
      <c r="T4" s="63"/>
      <c r="W4" s="133">
        <v>42585</v>
      </c>
      <c r="X4" s="10">
        <v>161.88</v>
      </c>
      <c r="Y4" s="10">
        <v>164.15</v>
      </c>
      <c r="Z4" s="10">
        <v>161.28</v>
      </c>
      <c r="AA4" s="10">
        <v>164.11</v>
      </c>
      <c r="AB4" s="95">
        <v>1501900</v>
      </c>
      <c r="AC4" s="10">
        <v>164.11</v>
      </c>
      <c r="AD4" s="2">
        <f t="shared" si="0"/>
        <v>2.8700000000000045</v>
      </c>
      <c r="AE4" s="138">
        <f t="shared" si="1"/>
        <v>7.4897169869239111E-3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42584</v>
      </c>
      <c r="X5" s="10">
        <v>163.1</v>
      </c>
      <c r="Y5" s="10">
        <v>163.99</v>
      </c>
      <c r="Z5" s="10">
        <v>162.27000000000001</v>
      </c>
      <c r="AA5" s="10">
        <v>162.88999999999999</v>
      </c>
      <c r="AB5" s="95">
        <v>2268900</v>
      </c>
      <c r="AC5" s="10">
        <v>162.88999999999999</v>
      </c>
      <c r="AD5" s="2">
        <f t="shared" si="0"/>
        <v>1.7199999999999989</v>
      </c>
      <c r="AE5" s="138">
        <f t="shared" si="1"/>
        <v>-3.7918170142499097E-3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42583</v>
      </c>
      <c r="X6" s="10">
        <v>162.78</v>
      </c>
      <c r="Y6" s="10">
        <v>163.88</v>
      </c>
      <c r="Z6" s="10">
        <v>161.9</v>
      </c>
      <c r="AA6" s="10">
        <v>163.51</v>
      </c>
      <c r="AB6" s="95">
        <v>1787600</v>
      </c>
      <c r="AC6" s="10">
        <v>163.51</v>
      </c>
      <c r="AD6" s="2">
        <f t="shared" si="0"/>
        <v>1.9799999999999898</v>
      </c>
      <c r="AE6" s="138">
        <f t="shared" si="1"/>
        <v>9.4456105692060088E-3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188</v>
      </c>
      <c r="Q7" s="2">
        <f>Q10+Q8</f>
        <v>780.73999999999796</v>
      </c>
      <c r="R7">
        <v>0</v>
      </c>
      <c r="T7" s="63"/>
      <c r="W7" s="133">
        <v>42580</v>
      </c>
      <c r="X7" s="10">
        <v>163.93</v>
      </c>
      <c r="Y7" s="10">
        <v>164.65</v>
      </c>
      <c r="Z7" s="10">
        <v>161.1</v>
      </c>
      <c r="AA7" s="10">
        <v>161.97999999999999</v>
      </c>
      <c r="AB7" s="95">
        <v>2603000</v>
      </c>
      <c r="AC7" s="10">
        <v>161.97999999999999</v>
      </c>
      <c r="AD7" s="2">
        <f t="shared" si="0"/>
        <v>3.5500000000000114</v>
      </c>
      <c r="AE7" s="138">
        <f t="shared" si="1"/>
        <v>-1.370029836205322E-2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T8" s="63"/>
      <c r="W8" s="133">
        <v>42579</v>
      </c>
      <c r="X8" s="10">
        <v>165</v>
      </c>
      <c r="Y8" s="10">
        <v>166.97</v>
      </c>
      <c r="Z8" s="10">
        <v>163.92</v>
      </c>
      <c r="AA8" s="10">
        <v>164.23</v>
      </c>
      <c r="AB8" s="95">
        <v>1951200</v>
      </c>
      <c r="AC8" s="10">
        <v>164.23</v>
      </c>
      <c r="AD8" s="2">
        <f t="shared" si="0"/>
        <v>3.0500000000000114</v>
      </c>
      <c r="AE8" s="138">
        <f t="shared" si="1"/>
        <v>-8.6321381142098197E-3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T9" s="67"/>
      <c r="W9" s="133">
        <v>42578</v>
      </c>
      <c r="X9" s="10">
        <v>165.94</v>
      </c>
      <c r="Y9" s="10">
        <v>167.6</v>
      </c>
      <c r="Z9" s="10">
        <v>162.71</v>
      </c>
      <c r="AA9" s="10">
        <v>165.66</v>
      </c>
      <c r="AB9" s="95">
        <v>3049300</v>
      </c>
      <c r="AC9" s="10">
        <v>165.66</v>
      </c>
      <c r="AD9" s="2">
        <f t="shared" si="0"/>
        <v>4.8899999999999864</v>
      </c>
      <c r="AE9" s="138">
        <f t="shared" si="1"/>
        <v>1.3582966226137971E-2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230</v>
      </c>
      <c r="P10" s="34"/>
      <c r="Q10" s="2">
        <f>M32</f>
        <v>780.73999999999796</v>
      </c>
      <c r="W10" s="133">
        <v>42577</v>
      </c>
      <c r="X10" s="10">
        <v>161.41</v>
      </c>
      <c r="Y10" s="10">
        <v>163.5</v>
      </c>
      <c r="Z10" s="10">
        <v>160.37</v>
      </c>
      <c r="AA10" s="10">
        <v>163.44</v>
      </c>
      <c r="AB10" s="95">
        <v>2863100</v>
      </c>
      <c r="AC10" s="10">
        <v>163.44</v>
      </c>
      <c r="AD10" s="2">
        <f t="shared" si="0"/>
        <v>3.1299999999999955</v>
      </c>
      <c r="AE10" s="138">
        <f t="shared" si="1"/>
        <v>2.2906496432594903E-2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1.2E-2</v>
      </c>
      <c r="W11" s="133">
        <v>42576</v>
      </c>
      <c r="X11" s="10">
        <v>159.63999999999999</v>
      </c>
      <c r="Y11" s="10">
        <v>160.69999999999999</v>
      </c>
      <c r="Z11" s="10">
        <v>159.27000000000001</v>
      </c>
      <c r="AA11" s="10">
        <v>159.78</v>
      </c>
      <c r="AB11" s="95">
        <v>962700</v>
      </c>
      <c r="AC11" s="10">
        <v>159.78</v>
      </c>
      <c r="AD11" s="2">
        <f t="shared" si="0"/>
        <v>1.4299999999999784</v>
      </c>
      <c r="AE11" s="138">
        <f t="shared" si="1"/>
        <v>6.8892089935501666E-4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42573</v>
      </c>
      <c r="X12" s="10">
        <v>159.59</v>
      </c>
      <c r="Y12" s="10">
        <v>160.30000000000001</v>
      </c>
      <c r="Z12" s="10">
        <v>156.69</v>
      </c>
      <c r="AA12" s="10">
        <v>159.66999999999999</v>
      </c>
      <c r="AB12" s="95">
        <v>1966400</v>
      </c>
      <c r="AC12" s="10">
        <v>159.66999999999999</v>
      </c>
      <c r="AD12" s="2">
        <f t="shared" si="0"/>
        <v>3.6100000000000136</v>
      </c>
      <c r="AE12" s="138">
        <f t="shared" si="1"/>
        <v>-4.6131787295057292E-3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42572</v>
      </c>
      <c r="X13" s="10">
        <v>163.01</v>
      </c>
      <c r="Y13" s="10">
        <v>163.47999999999999</v>
      </c>
      <c r="Z13" s="10">
        <v>159.82</v>
      </c>
      <c r="AA13" s="10">
        <v>160.41</v>
      </c>
      <c r="AB13" s="95">
        <v>1953000</v>
      </c>
      <c r="AC13" s="10">
        <v>160.41</v>
      </c>
      <c r="AD13" s="2">
        <f t="shared" si="0"/>
        <v>3.6599999999999966</v>
      </c>
      <c r="AE13" s="138">
        <f t="shared" si="1"/>
        <v>-1.389315792709156E-2</v>
      </c>
    </row>
    <row r="14" spans="1:31" x14ac:dyDescent="0.25">
      <c r="W14" s="133">
        <v>42571</v>
      </c>
      <c r="X14" s="10">
        <v>161.6</v>
      </c>
      <c r="Y14" s="10">
        <v>163.77000000000001</v>
      </c>
      <c r="Z14" s="10">
        <v>160.91999999999999</v>
      </c>
      <c r="AA14" s="10">
        <v>162.66999999999999</v>
      </c>
      <c r="AB14" s="95">
        <v>1806400</v>
      </c>
      <c r="AC14" s="10">
        <v>162.66999999999999</v>
      </c>
      <c r="AD14" s="2">
        <f t="shared" si="0"/>
        <v>2.8500000000000227</v>
      </c>
      <c r="AE14" s="138">
        <f t="shared" si="1"/>
        <v>1.3330841587242181E-2</v>
      </c>
    </row>
    <row r="15" spans="1:31" x14ac:dyDescent="0.25">
      <c r="W15" s="133">
        <v>42570</v>
      </c>
      <c r="X15" s="10">
        <v>161.47</v>
      </c>
      <c r="Y15" s="10">
        <v>162</v>
      </c>
      <c r="Z15" s="10">
        <v>159.79</v>
      </c>
      <c r="AA15" s="10">
        <v>160.53</v>
      </c>
      <c r="AB15" s="95">
        <v>1479700</v>
      </c>
      <c r="AC15" s="10">
        <v>160.53</v>
      </c>
      <c r="AD15" s="2">
        <f t="shared" si="0"/>
        <v>2.210000000000008</v>
      </c>
      <c r="AE15" s="138">
        <f t="shared" si="1"/>
        <v>-1.1088523378303572E-2</v>
      </c>
    </row>
    <row r="16" spans="1:31" x14ac:dyDescent="0.25">
      <c r="W16" s="133">
        <v>42569</v>
      </c>
      <c r="X16" s="10">
        <v>162.41999999999999</v>
      </c>
      <c r="Y16" s="10">
        <v>163.69999999999999</v>
      </c>
      <c r="Z16" s="10">
        <v>161.94999999999999</v>
      </c>
      <c r="AA16" s="10">
        <v>162.33000000000001</v>
      </c>
      <c r="AB16" s="95">
        <v>1462600</v>
      </c>
      <c r="AC16" s="10">
        <v>162.33000000000001</v>
      </c>
      <c r="AD16" s="2">
        <f t="shared" si="0"/>
        <v>1.75</v>
      </c>
      <c r="AE16" s="138">
        <f t="shared" si="1"/>
        <v>7.2598659717051373E-3</v>
      </c>
    </row>
    <row r="17" spans="1:31" x14ac:dyDescent="0.25">
      <c r="W17" s="133">
        <v>42566</v>
      </c>
      <c r="X17" s="10">
        <v>161.11000000000001</v>
      </c>
      <c r="Y17" s="10">
        <v>161.57</v>
      </c>
      <c r="Z17" s="10">
        <v>159.66</v>
      </c>
      <c r="AA17" s="10">
        <v>161.16</v>
      </c>
      <c r="AB17" s="95">
        <v>1925900</v>
      </c>
      <c r="AC17" s="10">
        <v>161.16</v>
      </c>
      <c r="AD17" s="2">
        <f t="shared" si="0"/>
        <v>1.9099999999999966</v>
      </c>
      <c r="AE17" s="138">
        <f t="shared" si="1"/>
        <v>2.3011381304807177E-3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42565</v>
      </c>
      <c r="X18" s="10">
        <v>159.55000000000001</v>
      </c>
      <c r="Y18" s="10">
        <v>161.06</v>
      </c>
      <c r="Z18" s="10">
        <v>158.86000000000001</v>
      </c>
      <c r="AA18" s="10">
        <v>160.79</v>
      </c>
      <c r="AB18" s="95">
        <v>2355000</v>
      </c>
      <c r="AC18" s="10">
        <v>160.79</v>
      </c>
      <c r="AD18" s="2">
        <f t="shared" si="0"/>
        <v>2.1999999999999886</v>
      </c>
      <c r="AE18" s="138">
        <f t="shared" si="1"/>
        <v>2.1472587510323438E-2</v>
      </c>
    </row>
    <row r="19" spans="1:31" x14ac:dyDescent="0.25">
      <c r="W19" s="133">
        <v>42564</v>
      </c>
      <c r="X19" s="10">
        <v>158.91</v>
      </c>
      <c r="Y19" s="10">
        <v>160.38</v>
      </c>
      <c r="Z19" s="10">
        <v>157.34</v>
      </c>
      <c r="AA19" s="10">
        <v>157.41</v>
      </c>
      <c r="AB19" s="95">
        <v>1573400</v>
      </c>
      <c r="AC19" s="10">
        <v>157.41</v>
      </c>
      <c r="AD19" s="2">
        <f t="shared" si="0"/>
        <v>3.039999999999992</v>
      </c>
      <c r="AE19" s="138">
        <f t="shared" si="1"/>
        <v>-7.4405700233306504E-3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42563</v>
      </c>
      <c r="X20" s="10">
        <v>158.58000000000001</v>
      </c>
      <c r="Y20" s="10">
        <v>160.91</v>
      </c>
      <c r="Z20" s="10">
        <v>158.25</v>
      </c>
      <c r="AA20" s="10">
        <v>158.59</v>
      </c>
      <c r="AB20" s="95">
        <v>2030600</v>
      </c>
      <c r="AC20" s="10">
        <v>158.59</v>
      </c>
      <c r="AD20" s="2">
        <f t="shared" si="0"/>
        <v>2.6599999999999966</v>
      </c>
      <c r="AE20" s="138">
        <f t="shared" si="1"/>
        <v>7.8164717844433351E-3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42562</v>
      </c>
      <c r="X21" s="10">
        <v>157.1</v>
      </c>
      <c r="Y21" s="10">
        <v>158.47</v>
      </c>
      <c r="Z21" s="10">
        <v>156.28</v>
      </c>
      <c r="AA21" s="10">
        <v>157.36000000000001</v>
      </c>
      <c r="AB21" s="95">
        <v>2520100</v>
      </c>
      <c r="AC21" s="10">
        <v>157.36000000000001</v>
      </c>
      <c r="AD21" s="2">
        <f t="shared" si="0"/>
        <v>2.1899999999999977</v>
      </c>
      <c r="AE21" s="138">
        <f t="shared" si="1"/>
        <v>1.4309655794766174E-2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42559</v>
      </c>
      <c r="X22" s="10">
        <v>152.65</v>
      </c>
      <c r="Y22" s="10">
        <v>155.25</v>
      </c>
      <c r="Z22" s="10">
        <v>151.94</v>
      </c>
      <c r="AA22" s="10">
        <v>155.13999999999999</v>
      </c>
      <c r="AB22" s="95">
        <v>2674100</v>
      </c>
      <c r="AC22" s="10">
        <v>155.13999999999999</v>
      </c>
      <c r="AD22" s="2">
        <f t="shared" si="0"/>
        <v>3.3100000000000023</v>
      </c>
      <c r="AE22" s="138">
        <f t="shared" si="1"/>
        <v>2.7485263924763137E-2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42558</v>
      </c>
      <c r="X23" s="10">
        <v>150.13999999999999</v>
      </c>
      <c r="Y23" s="10">
        <v>153</v>
      </c>
      <c r="Z23" s="10">
        <v>150.13999999999999</v>
      </c>
      <c r="AA23" s="10">
        <v>150.99</v>
      </c>
      <c r="AB23" s="95">
        <v>1924800</v>
      </c>
      <c r="AC23" s="10">
        <v>150.99</v>
      </c>
      <c r="AD23" s="2">
        <f t="shared" si="0"/>
        <v>2.8600000000000136</v>
      </c>
      <c r="AE23" s="138">
        <f t="shared" si="1"/>
        <v>2.3899621589325015E-3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42557</v>
      </c>
      <c r="X24" s="10">
        <v>149.36000000000001</v>
      </c>
      <c r="Y24" s="10">
        <v>151.27000000000001</v>
      </c>
      <c r="Z24" s="10">
        <v>147.16</v>
      </c>
      <c r="AA24" s="10">
        <v>150.63</v>
      </c>
      <c r="AB24" s="95">
        <v>2060300</v>
      </c>
      <c r="AC24" s="10">
        <v>150.63</v>
      </c>
      <c r="AD24" s="2">
        <f t="shared" si="0"/>
        <v>4.1100000000000136</v>
      </c>
      <c r="AE24" s="138">
        <f t="shared" si="1"/>
        <v>-8.6229769169543502E-4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42556</v>
      </c>
      <c r="X25" s="10">
        <v>151.58000000000001</v>
      </c>
      <c r="Y25" s="10">
        <v>151.71</v>
      </c>
      <c r="Z25" s="10">
        <v>149.53</v>
      </c>
      <c r="AA25" s="10">
        <v>150.76</v>
      </c>
      <c r="AB25" s="95">
        <v>2632100</v>
      </c>
      <c r="AC25" s="10">
        <v>150.76</v>
      </c>
      <c r="AD25" s="2">
        <f t="shared" si="0"/>
        <v>2.1800000000000068</v>
      </c>
      <c r="AE25" s="138">
        <f t="shared" si="1"/>
        <v>-2.2435481779276456E-2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42552</v>
      </c>
      <c r="X26" s="10">
        <v>154.47</v>
      </c>
      <c r="Y26" s="10">
        <v>155.87</v>
      </c>
      <c r="Z26" s="10">
        <v>153.62</v>
      </c>
      <c r="AA26" s="10">
        <v>154.22</v>
      </c>
      <c r="AB26" s="95">
        <v>1977900</v>
      </c>
      <c r="AC26" s="10">
        <v>154.22</v>
      </c>
      <c r="AD26" s="2">
        <f t="shared" si="0"/>
        <v>2.25</v>
      </c>
      <c r="AE26" s="138">
        <f t="shared" si="1"/>
        <v>-7.5933075933076744E-3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42551</v>
      </c>
      <c r="X27" s="10">
        <v>155</v>
      </c>
      <c r="Y27" s="10">
        <v>157.24</v>
      </c>
      <c r="Z27" s="10">
        <v>154.16999999999999</v>
      </c>
      <c r="AA27" s="10">
        <v>155.4</v>
      </c>
      <c r="AB27" s="95">
        <v>4262600</v>
      </c>
      <c r="AC27" s="10">
        <v>155.4</v>
      </c>
      <c r="AD27" s="2">
        <f t="shared" si="0"/>
        <v>3.0700000000000216</v>
      </c>
      <c r="AE27" s="138">
        <f t="shared" si="1"/>
        <v>2.580645161290418E-3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42550</v>
      </c>
      <c r="X28" s="10">
        <v>152.01</v>
      </c>
      <c r="Y28" s="10">
        <v>155.65</v>
      </c>
      <c r="Z28" s="10">
        <v>150.78</v>
      </c>
      <c r="AA28" s="10">
        <v>155</v>
      </c>
      <c r="AB28" s="95">
        <v>4786000</v>
      </c>
      <c r="AC28" s="10">
        <v>155</v>
      </c>
      <c r="AD28" s="2">
        <f t="shared" si="0"/>
        <v>4.8700000000000045</v>
      </c>
      <c r="AE28" s="138">
        <f t="shared" si="1"/>
        <v>3.4920210990184941E-2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42549</v>
      </c>
      <c r="X29" s="10">
        <v>146.69999999999999</v>
      </c>
      <c r="Y29" s="10">
        <v>149.93</v>
      </c>
      <c r="Z29" s="10">
        <v>146.58000000000001</v>
      </c>
      <c r="AA29" s="10">
        <v>149.77000000000001</v>
      </c>
      <c r="AB29" s="95">
        <v>3723300</v>
      </c>
      <c r="AC29" s="10">
        <v>149.77000000000001</v>
      </c>
      <c r="AD29" s="2">
        <f t="shared" si="0"/>
        <v>3.3499999999999943</v>
      </c>
      <c r="AE29" s="138">
        <f t="shared" si="1"/>
        <v>4.2748729374086247E-2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42548</v>
      </c>
      <c r="X30" s="10">
        <v>146.5</v>
      </c>
      <c r="Y30" s="10">
        <v>147.25</v>
      </c>
      <c r="Z30" s="10">
        <v>142.27000000000001</v>
      </c>
      <c r="AA30" s="10">
        <v>143.63</v>
      </c>
      <c r="AB30" s="95">
        <v>3786400</v>
      </c>
      <c r="AC30" s="10">
        <v>143.63</v>
      </c>
      <c r="AD30" s="2">
        <f t="shared" si="0"/>
        <v>4.9799999999999898</v>
      </c>
      <c r="AE30" s="138">
        <f t="shared" si="1"/>
        <v>-3.422538999462077E-2</v>
      </c>
    </row>
    <row r="31" spans="1:31" x14ac:dyDescent="0.25">
      <c r="W31" s="133">
        <v>42545</v>
      </c>
      <c r="X31" s="10">
        <v>152</v>
      </c>
      <c r="Y31" s="10">
        <v>154.87</v>
      </c>
      <c r="Z31" s="10">
        <v>148.4</v>
      </c>
      <c r="AA31" s="10">
        <v>148.72</v>
      </c>
      <c r="AB31" s="95">
        <v>6417700</v>
      </c>
      <c r="AC31" s="10">
        <v>148.72</v>
      </c>
      <c r="AD31" s="2">
        <f t="shared" si="0"/>
        <v>6.4699999999999989</v>
      </c>
      <c r="AE31" s="138">
        <f t="shared" si="1"/>
        <v>-6.241331484049939E-2</v>
      </c>
    </row>
    <row r="32" spans="1:31" x14ac:dyDescent="0.25">
      <c r="L32" t="s">
        <v>230</v>
      </c>
      <c r="M32" s="2">
        <f>M50+K50-F50</f>
        <v>780.73999999999796</v>
      </c>
      <c r="W32" s="133">
        <v>42544</v>
      </c>
      <c r="X32" s="10">
        <v>157.35</v>
      </c>
      <c r="Y32" s="10">
        <v>158.63</v>
      </c>
      <c r="Z32" s="10">
        <v>155.97</v>
      </c>
      <c r="AA32" s="10">
        <v>158.62</v>
      </c>
      <c r="AB32" s="95">
        <v>2443500</v>
      </c>
      <c r="AC32" s="10">
        <v>158.62</v>
      </c>
      <c r="AD32" s="2">
        <f t="shared" si="0"/>
        <v>2.6599999999999966</v>
      </c>
      <c r="AE32" s="138">
        <f t="shared" si="1"/>
        <v>2.2431352326930609E-2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42543</v>
      </c>
      <c r="X33" s="10">
        <v>155.72999999999999</v>
      </c>
      <c r="Y33" s="10">
        <v>157.16999999999999</v>
      </c>
      <c r="Z33" s="10">
        <v>154.80000000000001</v>
      </c>
      <c r="AA33" s="10">
        <v>155.13999999999999</v>
      </c>
      <c r="AB33" s="95">
        <v>1603900</v>
      </c>
      <c r="AC33" s="10">
        <v>155.13999999999999</v>
      </c>
      <c r="AD33" s="2">
        <f t="shared" si="0"/>
        <v>2.3699999999999761</v>
      </c>
      <c r="AE33" s="138">
        <f t="shared" si="1"/>
        <v>-4.3001091072460973E-3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42542</v>
      </c>
      <c r="X34" s="10">
        <v>157.61000000000001</v>
      </c>
      <c r="Y34" s="10">
        <v>158.4</v>
      </c>
      <c r="Z34" s="10">
        <v>155.61000000000001</v>
      </c>
      <c r="AA34" s="10">
        <v>155.81</v>
      </c>
      <c r="AB34" s="95">
        <v>1612600</v>
      </c>
      <c r="AC34" s="10">
        <v>155.81</v>
      </c>
      <c r="AD34" s="2">
        <f t="shared" si="0"/>
        <v>2.789999999999992</v>
      </c>
      <c r="AE34" s="138">
        <f t="shared" si="1"/>
        <v>-7.136940036959194E-3</v>
      </c>
    </row>
    <row r="35" spans="1:31" x14ac:dyDescent="0.25">
      <c r="A35" s="23" t="s">
        <v>71</v>
      </c>
      <c r="B35" s="53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42541</v>
      </c>
      <c r="X35" s="10">
        <v>158.4</v>
      </c>
      <c r="Y35" s="10">
        <v>159.6</v>
      </c>
      <c r="Z35" s="10">
        <v>156.69</v>
      </c>
      <c r="AA35" s="10">
        <v>156.93</v>
      </c>
      <c r="AB35" s="95">
        <v>2026500</v>
      </c>
      <c r="AC35" s="10">
        <v>156.93</v>
      </c>
      <c r="AD35" s="2">
        <f t="shared" si="0"/>
        <v>2.9099999999999966</v>
      </c>
      <c r="AE35" s="138">
        <f t="shared" si="1"/>
        <v>5.9615384615385736E-3</v>
      </c>
    </row>
    <row r="36" spans="1:31" x14ac:dyDescent="0.25">
      <c r="B36" s="53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42538</v>
      </c>
      <c r="X36" s="10">
        <v>158.97</v>
      </c>
      <c r="Y36" s="10">
        <v>159.75</v>
      </c>
      <c r="Z36" s="10">
        <v>154.93</v>
      </c>
      <c r="AA36" s="10">
        <v>156</v>
      </c>
      <c r="AB36" s="95">
        <v>4333300</v>
      </c>
      <c r="AC36" s="10">
        <v>156</v>
      </c>
      <c r="AD36" s="2">
        <f t="shared" si="0"/>
        <v>4.8199999999999932</v>
      </c>
      <c r="AE36" s="138">
        <f t="shared" si="1"/>
        <v>-1.6579461640295001E-2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42537</v>
      </c>
      <c r="X37" s="10">
        <v>157.05000000000001</v>
      </c>
      <c r="Y37" s="10">
        <v>158.84</v>
      </c>
      <c r="Z37" s="10">
        <v>155.6</v>
      </c>
      <c r="AA37" s="10">
        <v>158.63</v>
      </c>
      <c r="AB37" s="95">
        <v>2280400</v>
      </c>
      <c r="AC37" s="10">
        <v>158.63</v>
      </c>
      <c r="AD37" s="2">
        <f t="shared" si="0"/>
        <v>3.2400000000000091</v>
      </c>
      <c r="AE37" s="138">
        <f t="shared" si="1"/>
        <v>1.4520202020200657E-3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42536</v>
      </c>
      <c r="X38" s="10">
        <v>158.82</v>
      </c>
      <c r="Y38" s="10">
        <v>160.12</v>
      </c>
      <c r="Z38" s="10">
        <v>158.18</v>
      </c>
      <c r="AA38" s="10">
        <v>158.4</v>
      </c>
      <c r="AB38" s="95">
        <v>3088400</v>
      </c>
      <c r="AC38" s="10">
        <v>158.4</v>
      </c>
      <c r="AD38" s="2">
        <f t="shared" si="0"/>
        <v>1.9399999999999977</v>
      </c>
      <c r="AE38" s="138" t="e">
        <f t="shared" si="1"/>
        <v>#DIV/0!</v>
      </c>
    </row>
    <row r="39" spans="1:31" x14ac:dyDescent="0.25">
      <c r="B39" s="53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42536</v>
      </c>
      <c r="X39" s="10" t="s">
        <v>259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B40" s="535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42535</v>
      </c>
      <c r="X40" s="10">
        <v>159.27000000000001</v>
      </c>
      <c r="Y40" s="10">
        <v>160.53</v>
      </c>
      <c r="Z40" s="10">
        <v>158.13</v>
      </c>
      <c r="AA40" s="10">
        <v>158.99</v>
      </c>
      <c r="AB40" s="95">
        <v>2566900</v>
      </c>
      <c r="AC40" s="10">
        <v>158.49</v>
      </c>
      <c r="AD40" s="2">
        <f t="shared" si="0"/>
        <v>2.4000000000000057</v>
      </c>
      <c r="AE40" s="138">
        <f t="shared" si="1"/>
        <v>-6.3945834116981848E-3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25" t="s">
        <v>78</v>
      </c>
      <c r="P41" s="525"/>
      <c r="T41" s="91" t="s">
        <v>113</v>
      </c>
      <c r="W41" s="133">
        <v>42534</v>
      </c>
      <c r="X41" s="10">
        <v>160.13999999999999</v>
      </c>
      <c r="Y41" s="10">
        <v>162.25</v>
      </c>
      <c r="Z41" s="10">
        <v>159.63999999999999</v>
      </c>
      <c r="AA41" s="10">
        <v>160.01</v>
      </c>
      <c r="AB41" s="95">
        <v>2156800</v>
      </c>
      <c r="AC41" s="10">
        <v>159.51</v>
      </c>
      <c r="AD41" s="2">
        <f t="shared" si="0"/>
        <v>2.6100000000000136</v>
      </c>
      <c r="AE41" s="138">
        <f t="shared" si="1"/>
        <v>-4.9903312332356675E-3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185.185</v>
      </c>
      <c r="Q42" s="2"/>
      <c r="T42" s="135" t="s">
        <v>98</v>
      </c>
      <c r="U42" s="98">
        <v>166.99</v>
      </c>
      <c r="W42" s="133">
        <v>42531</v>
      </c>
      <c r="X42" s="10">
        <v>162.16999999999999</v>
      </c>
      <c r="Y42" s="10">
        <v>162.97999999999999</v>
      </c>
      <c r="Z42" s="10">
        <v>160</v>
      </c>
      <c r="AA42" s="10">
        <v>160.82</v>
      </c>
      <c r="AB42" s="95">
        <v>2665700</v>
      </c>
      <c r="AC42" s="10">
        <v>160.31</v>
      </c>
      <c r="AD42" s="2">
        <f t="shared" si="0"/>
        <v>2.9799999999999898</v>
      </c>
      <c r="AE42" s="138">
        <f t="shared" si="1"/>
        <v>-2.0229800757853522E-2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183.50150000000002</v>
      </c>
      <c r="Q43" s="2"/>
      <c r="T43" s="136" t="s">
        <v>99</v>
      </c>
      <c r="U43" s="88">
        <v>167.95</v>
      </c>
      <c r="W43" s="133">
        <v>42530</v>
      </c>
      <c r="X43" s="10">
        <v>162.13999999999999</v>
      </c>
      <c r="Y43" s="10">
        <v>165.05</v>
      </c>
      <c r="Z43" s="10">
        <v>162.12</v>
      </c>
      <c r="AA43" s="10">
        <v>164.14</v>
      </c>
      <c r="AB43" s="95">
        <v>2914300</v>
      </c>
      <c r="AC43" s="10">
        <v>163.62</v>
      </c>
      <c r="AD43" s="2">
        <f t="shared" si="0"/>
        <v>2.9300000000000068</v>
      </c>
      <c r="AE43" s="138">
        <f t="shared" si="1"/>
        <v>2.6349653777806292E-3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181.81800000000001</v>
      </c>
      <c r="Q44" s="2"/>
      <c r="T44" s="136" t="s">
        <v>100</v>
      </c>
      <c r="U44" s="88" t="s">
        <v>431</v>
      </c>
      <c r="W44" s="133">
        <v>42529</v>
      </c>
      <c r="X44" s="10">
        <v>164.09</v>
      </c>
      <c r="Y44" s="10">
        <v>164.62</v>
      </c>
      <c r="Z44" s="10">
        <v>163.34</v>
      </c>
      <c r="AA44" s="10">
        <v>163.69999999999999</v>
      </c>
      <c r="AB44" s="95">
        <v>2562000</v>
      </c>
      <c r="AC44" s="10">
        <v>163.19</v>
      </c>
      <c r="AD44" s="2">
        <f t="shared" si="0"/>
        <v>1.2800000000000011</v>
      </c>
      <c r="AE44" s="138">
        <f t="shared" si="1"/>
        <v>-6.8768257059396154E-3</v>
      </c>
    </row>
    <row r="45" spans="1:31" x14ac:dyDescent="0.25">
      <c r="O45" s="83">
        <v>1.07</v>
      </c>
      <c r="P45" s="83">
        <f t="shared" si="3"/>
        <v>180.1345</v>
      </c>
      <c r="Q45" s="2"/>
      <c r="T45" s="136" t="s">
        <v>101</v>
      </c>
      <c r="U45" s="88" t="s">
        <v>432</v>
      </c>
      <c r="W45" s="133">
        <v>42528</v>
      </c>
      <c r="X45" s="10">
        <v>163.34</v>
      </c>
      <c r="Y45" s="10">
        <v>165.95</v>
      </c>
      <c r="Z45" s="10">
        <v>162.81</v>
      </c>
      <c r="AA45" s="10">
        <v>164.84</v>
      </c>
      <c r="AB45" s="95">
        <v>3234000</v>
      </c>
      <c r="AC45" s="10">
        <v>164.32</v>
      </c>
      <c r="AD45" s="2">
        <f t="shared" si="0"/>
        <v>3.1399999999999864</v>
      </c>
      <c r="AE45" s="138">
        <f t="shared" si="1"/>
        <v>1.2258978623790995E-2</v>
      </c>
    </row>
    <row r="46" spans="1:31" x14ac:dyDescent="0.25">
      <c r="O46" s="83">
        <v>1.06</v>
      </c>
      <c r="P46" s="83">
        <f t="shared" si="3"/>
        <v>178.45099999999999</v>
      </c>
      <c r="Q46" s="2"/>
      <c r="T46" s="136" t="s">
        <v>102</v>
      </c>
      <c r="U46" s="88">
        <v>192.15</v>
      </c>
      <c r="W46" s="133">
        <v>42527</v>
      </c>
      <c r="X46" s="10">
        <v>163.4</v>
      </c>
      <c r="Y46" s="10">
        <v>163.94</v>
      </c>
      <c r="Z46" s="10">
        <v>161.02000000000001</v>
      </c>
      <c r="AA46" s="10">
        <v>162.84</v>
      </c>
      <c r="AB46" s="95">
        <v>3401000</v>
      </c>
      <c r="AC46" s="10">
        <v>162.33000000000001</v>
      </c>
      <c r="AD46" s="2">
        <f t="shared" si="0"/>
        <v>2.9199999999999875</v>
      </c>
      <c r="AE46" s="138">
        <f t="shared" si="1"/>
        <v>1.7278617710583255E-3</v>
      </c>
    </row>
    <row r="47" spans="1:31" x14ac:dyDescent="0.25">
      <c r="O47" s="83">
        <v>1.05</v>
      </c>
      <c r="P47" s="83">
        <f t="shared" si="3"/>
        <v>176.76750000000001</v>
      </c>
      <c r="Q47" s="2"/>
      <c r="T47" s="136" t="s">
        <v>103</v>
      </c>
      <c r="U47" s="88">
        <v>1.1150899999999999</v>
      </c>
      <c r="W47" s="133">
        <v>42524</v>
      </c>
      <c r="X47" s="10">
        <v>165.77</v>
      </c>
      <c r="Y47" s="10">
        <v>166</v>
      </c>
      <c r="Z47" s="10">
        <v>161.19999999999999</v>
      </c>
      <c r="AA47" s="10">
        <v>162.56</v>
      </c>
      <c r="AB47" s="95">
        <v>8298500</v>
      </c>
      <c r="AC47" s="10">
        <v>162.05000000000001</v>
      </c>
      <c r="AD47" s="2">
        <f t="shared" si="0"/>
        <v>4.8000000000000114</v>
      </c>
      <c r="AE47" s="138">
        <f t="shared" si="1"/>
        <v>4.9410698096101768E-2</v>
      </c>
    </row>
    <row r="48" spans="1:31" x14ac:dyDescent="0.25">
      <c r="O48" s="83">
        <v>1.04</v>
      </c>
      <c r="P48" s="83">
        <f t="shared" si="3"/>
        <v>175.084</v>
      </c>
      <c r="Q48" s="2"/>
      <c r="T48" s="136" t="s">
        <v>104</v>
      </c>
      <c r="U48" s="88" t="s">
        <v>568</v>
      </c>
      <c r="W48" s="133">
        <v>42523</v>
      </c>
      <c r="X48" s="10">
        <v>155.21</v>
      </c>
      <c r="Y48" s="10">
        <v>155.52000000000001</v>
      </c>
      <c r="Z48" s="10">
        <v>153.38999999999999</v>
      </c>
      <c r="AA48" s="10">
        <v>154.91</v>
      </c>
      <c r="AB48" s="95">
        <v>4674600</v>
      </c>
      <c r="AC48" s="10">
        <v>154.41999999999999</v>
      </c>
      <c r="AD48" s="2">
        <f t="shared" si="0"/>
        <v>2.1300000000000239</v>
      </c>
      <c r="AE48" s="138">
        <f t="shared" si="1"/>
        <v>9.0744101633388752E-4</v>
      </c>
    </row>
    <row r="49" spans="1:31" x14ac:dyDescent="0.25">
      <c r="O49" s="83">
        <v>1.03</v>
      </c>
      <c r="P49" s="83">
        <f t="shared" si="3"/>
        <v>173.40049999999999</v>
      </c>
      <c r="Q49" s="2"/>
      <c r="T49" s="136"/>
      <c r="U49" s="88"/>
      <c r="W49" s="133">
        <v>42522</v>
      </c>
      <c r="X49" s="10">
        <v>153.41</v>
      </c>
      <c r="Y49" s="10">
        <v>155.32</v>
      </c>
      <c r="Z49" s="10">
        <v>153.34</v>
      </c>
      <c r="AA49" s="10">
        <v>154.77000000000001</v>
      </c>
      <c r="AB49" s="95">
        <v>3077700</v>
      </c>
      <c r="AC49" s="10">
        <v>154.28</v>
      </c>
      <c r="AD49" s="2">
        <f t="shared" si="0"/>
        <v>1.9799999999999898</v>
      </c>
      <c r="AE49" s="138">
        <f t="shared" si="1"/>
        <v>2.6645869890167262E-3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171.71699999999998</v>
      </c>
      <c r="Q50" s="2"/>
      <c r="T50" s="136" t="s">
        <v>105</v>
      </c>
      <c r="U50" s="88" t="s">
        <v>433</v>
      </c>
      <c r="W50" s="133">
        <v>42521</v>
      </c>
      <c r="X50" s="10">
        <v>154</v>
      </c>
      <c r="Y50" s="10">
        <v>154.94999999999999</v>
      </c>
      <c r="Z50" s="10">
        <v>153.30000000000001</v>
      </c>
      <c r="AA50" s="10">
        <v>154.36000000000001</v>
      </c>
      <c r="AB50" s="95">
        <v>3205800</v>
      </c>
      <c r="AC50" s="10">
        <v>153.87</v>
      </c>
      <c r="AD50" s="2">
        <f t="shared" si="0"/>
        <v>1.6499999999999773</v>
      </c>
      <c r="AE50" s="138">
        <f t="shared" si="1"/>
        <v>6.8708284255987184E-3</v>
      </c>
    </row>
    <row r="51" spans="1:31" x14ac:dyDescent="0.25">
      <c r="O51" s="83">
        <v>1.01</v>
      </c>
      <c r="P51" s="83">
        <f t="shared" si="3"/>
        <v>170.0335</v>
      </c>
      <c r="Q51" s="2"/>
      <c r="T51" s="136" t="s">
        <v>106</v>
      </c>
      <c r="U51" s="88" t="s">
        <v>434</v>
      </c>
      <c r="W51" s="133">
        <v>42517</v>
      </c>
      <c r="X51" s="10">
        <v>153</v>
      </c>
      <c r="Y51" s="10">
        <v>153.93</v>
      </c>
      <c r="Z51" s="10">
        <v>152.46</v>
      </c>
      <c r="AA51" s="10">
        <v>153.30000000000001</v>
      </c>
      <c r="AB51" s="95">
        <v>1869300</v>
      </c>
      <c r="AC51" s="10">
        <v>152.82</v>
      </c>
      <c r="AD51" s="2">
        <f t="shared" si="0"/>
        <v>1.4699999999999989</v>
      </c>
      <c r="AE51" s="138">
        <f t="shared" si="1"/>
        <v>1.8355841090862413E-3</v>
      </c>
    </row>
    <row r="52" spans="1:31" x14ac:dyDescent="0.25">
      <c r="O52" s="83">
        <v>1</v>
      </c>
      <c r="P52" s="83">
        <f t="shared" si="3"/>
        <v>168.35</v>
      </c>
      <c r="Q52" s="2"/>
      <c r="T52" s="136" t="s">
        <v>107</v>
      </c>
      <c r="U52" s="90">
        <v>2559378</v>
      </c>
      <c r="W52" s="133">
        <v>42516</v>
      </c>
      <c r="X52" s="10">
        <v>153.77000000000001</v>
      </c>
      <c r="Y52" s="10">
        <v>154.25</v>
      </c>
      <c r="Z52" s="10">
        <v>151.82</v>
      </c>
      <c r="AA52" s="10">
        <v>153.02000000000001</v>
      </c>
      <c r="AB52" s="95">
        <v>1843100</v>
      </c>
      <c r="AC52" s="10">
        <v>152.54</v>
      </c>
      <c r="AD52" s="2">
        <f t="shared" si="0"/>
        <v>2.4300000000000068</v>
      </c>
      <c r="AE52" s="138">
        <f t="shared" si="1"/>
        <v>-3.5926579136456027E-3</v>
      </c>
    </row>
    <row r="53" spans="1:31" x14ac:dyDescent="0.25">
      <c r="O53" s="83">
        <v>0.99</v>
      </c>
      <c r="P53" s="83">
        <f t="shared" si="3"/>
        <v>166.66649999999998</v>
      </c>
      <c r="Q53" s="2"/>
      <c r="T53" s="136" t="s">
        <v>110</v>
      </c>
      <c r="U53" s="90">
        <v>2569850</v>
      </c>
      <c r="W53" s="133">
        <v>42515</v>
      </c>
      <c r="X53" s="10">
        <v>151.84</v>
      </c>
      <c r="Y53" s="10">
        <v>154</v>
      </c>
      <c r="Z53" s="10">
        <v>150.49</v>
      </c>
      <c r="AA53" s="10">
        <v>153.57</v>
      </c>
      <c r="AB53" s="95">
        <v>2173700</v>
      </c>
      <c r="AC53" s="10">
        <v>153.09</v>
      </c>
      <c r="AD53" s="2">
        <f t="shared" si="0"/>
        <v>3.5099999999999909</v>
      </c>
      <c r="AE53" s="138">
        <f t="shared" si="1"/>
        <v>1.4244070491586047E-2</v>
      </c>
    </row>
    <row r="54" spans="1:31" x14ac:dyDescent="0.25">
      <c r="O54" s="83">
        <v>0.98</v>
      </c>
      <c r="P54" s="83">
        <f t="shared" si="3"/>
        <v>164.983</v>
      </c>
      <c r="Q54" s="2"/>
      <c r="T54" s="136" t="s">
        <v>108</v>
      </c>
      <c r="U54" s="88" t="s">
        <v>435</v>
      </c>
      <c r="W54" s="133">
        <v>42514</v>
      </c>
      <c r="X54" s="10">
        <v>148.6</v>
      </c>
      <c r="Y54" s="10">
        <v>151.68</v>
      </c>
      <c r="Z54" s="10">
        <v>148.35</v>
      </c>
      <c r="AA54" s="10">
        <v>151.41999999999999</v>
      </c>
      <c r="AB54" s="95">
        <v>1990700</v>
      </c>
      <c r="AC54" s="10">
        <v>150.94</v>
      </c>
      <c r="AD54" s="2">
        <f t="shared" si="0"/>
        <v>3.3300000000000125</v>
      </c>
      <c r="AE54" s="138">
        <f t="shared" si="1"/>
        <v>2.2420917157759179E-2</v>
      </c>
    </row>
    <row r="55" spans="1:31" x14ac:dyDescent="0.25">
      <c r="O55" s="83">
        <v>0.97</v>
      </c>
      <c r="P55" s="83">
        <f t="shared" si="3"/>
        <v>163.29949999999999</v>
      </c>
      <c r="T55" s="136" t="s">
        <v>111</v>
      </c>
      <c r="U55" s="88" t="s">
        <v>130</v>
      </c>
      <c r="W55" s="133">
        <v>42513</v>
      </c>
      <c r="X55" s="10">
        <v>148.19</v>
      </c>
      <c r="Y55" s="10">
        <v>150.34</v>
      </c>
      <c r="Z55" s="10">
        <v>147.88</v>
      </c>
      <c r="AA55" s="10">
        <v>148.1</v>
      </c>
      <c r="AB55" s="95">
        <v>1760900</v>
      </c>
      <c r="AC55" s="10">
        <v>147.63</v>
      </c>
      <c r="AD55" s="2">
        <f t="shared" si="0"/>
        <v>2.460000000000008</v>
      </c>
      <c r="AE55" s="138">
        <f t="shared" si="1"/>
        <v>9.2978737950364376E-3</v>
      </c>
    </row>
    <row r="56" spans="1:31" x14ac:dyDescent="0.25">
      <c r="O56" s="83">
        <v>0.96</v>
      </c>
      <c r="P56" s="83">
        <f t="shared" si="3"/>
        <v>161.61599999999999</v>
      </c>
      <c r="T56" s="136" t="s">
        <v>112</v>
      </c>
      <c r="U56" s="88">
        <v>-0.69</v>
      </c>
      <c r="W56" s="133">
        <v>42510</v>
      </c>
      <c r="X56" s="10">
        <v>144.13</v>
      </c>
      <c r="Y56" s="10">
        <v>147.66999999999999</v>
      </c>
      <c r="Z56" s="10">
        <v>143.71</v>
      </c>
      <c r="AA56" s="10">
        <v>146.72999999999999</v>
      </c>
      <c r="AB56" s="95">
        <v>2588900</v>
      </c>
      <c r="AC56" s="10">
        <v>146.27000000000001</v>
      </c>
      <c r="AD56" s="2">
        <f t="shared" si="0"/>
        <v>3.9599999999999795</v>
      </c>
      <c r="AE56" s="138">
        <f t="shared" si="1"/>
        <v>2.7971045048843957E-2</v>
      </c>
    </row>
    <row r="57" spans="1:31" x14ac:dyDescent="0.25">
      <c r="O57" s="83">
        <v>0.95</v>
      </c>
      <c r="P57" s="83">
        <f t="shared" si="3"/>
        <v>159.93249999999998</v>
      </c>
      <c r="T57" s="136" t="s">
        <v>109</v>
      </c>
      <c r="U57" s="88" t="s">
        <v>569</v>
      </c>
      <c r="W57" s="133">
        <v>42509</v>
      </c>
      <c r="X57" s="10">
        <v>143.03</v>
      </c>
      <c r="Y57" s="10">
        <v>144.66</v>
      </c>
      <c r="Z57" s="10">
        <v>141.12</v>
      </c>
      <c r="AA57" s="10">
        <v>142.74</v>
      </c>
      <c r="AB57" s="95">
        <v>1747800</v>
      </c>
      <c r="AC57" s="10">
        <v>142.29</v>
      </c>
      <c r="AD57" s="2">
        <f t="shared" si="0"/>
        <v>3.539999999999992</v>
      </c>
      <c r="AE57" s="138">
        <f t="shared" si="1"/>
        <v>-7.9481280066933113E-3</v>
      </c>
    </row>
    <row r="58" spans="1:31" x14ac:dyDescent="0.25">
      <c r="O58" s="83">
        <v>0.94</v>
      </c>
      <c r="P58" s="83">
        <f t="shared" si="3"/>
        <v>158.249</v>
      </c>
      <c r="W58" s="133">
        <v>42508</v>
      </c>
      <c r="X58" s="10">
        <v>140.53</v>
      </c>
      <c r="Y58" s="10">
        <v>145.05000000000001</v>
      </c>
      <c r="Z58" s="10">
        <v>140.33000000000001</v>
      </c>
      <c r="AA58" s="10">
        <v>143.88</v>
      </c>
      <c r="AB58" s="95">
        <v>2262000</v>
      </c>
      <c r="AC58" s="10">
        <v>143.43</v>
      </c>
      <c r="AD58" s="2">
        <f t="shared" si="0"/>
        <v>4.7199999999999989</v>
      </c>
      <c r="AE58" s="138">
        <f t="shared" si="1"/>
        <v>1.9185674696226895E-2</v>
      </c>
    </row>
    <row r="59" spans="1:31" x14ac:dyDescent="0.25">
      <c r="O59" s="83">
        <v>0.93</v>
      </c>
      <c r="P59" s="83">
        <f t="shared" si="3"/>
        <v>156.56550000000001</v>
      </c>
      <c r="W59" s="133">
        <v>42507</v>
      </c>
      <c r="X59" s="10">
        <v>142.51</v>
      </c>
      <c r="Y59" s="10">
        <v>142.99</v>
      </c>
      <c r="Z59" s="10">
        <v>139.88</v>
      </c>
      <c r="AA59" s="10">
        <v>141.16999999999999</v>
      </c>
      <c r="AB59" s="95">
        <v>2124800</v>
      </c>
      <c r="AC59" s="10">
        <v>140.72999999999999</v>
      </c>
      <c r="AD59" s="2">
        <f t="shared" si="0"/>
        <v>3.1100000000000136</v>
      </c>
      <c r="AE59" s="138">
        <f t="shared" si="1"/>
        <v>-1.0337552742616052E-2</v>
      </c>
    </row>
    <row r="60" spans="1:31" x14ac:dyDescent="0.25">
      <c r="O60" s="83">
        <v>0.92</v>
      </c>
      <c r="P60" s="83">
        <f t="shared" si="3"/>
        <v>154.88200000000001</v>
      </c>
      <c r="W60" s="133">
        <v>42506</v>
      </c>
      <c r="X60" s="10">
        <v>140.87</v>
      </c>
      <c r="Y60" s="10">
        <v>143.62</v>
      </c>
      <c r="Z60" s="10">
        <v>140.69</v>
      </c>
      <c r="AA60" s="10">
        <v>142.65</v>
      </c>
      <c r="AB60" s="95">
        <v>2037300</v>
      </c>
      <c r="AC60" s="10">
        <v>142.19999999999999</v>
      </c>
      <c r="AD60" s="2">
        <f t="shared" si="0"/>
        <v>2.9300000000000068</v>
      </c>
      <c r="AE60" s="138">
        <f t="shared" si="1"/>
        <v>1.855167967910587E-2</v>
      </c>
    </row>
    <row r="61" spans="1:31" x14ac:dyDescent="0.25">
      <c r="O61" s="83">
        <v>0.91</v>
      </c>
      <c r="P61" s="83">
        <f t="shared" si="3"/>
        <v>153.1985</v>
      </c>
      <c r="W61" s="133">
        <v>42503</v>
      </c>
      <c r="X61" s="10">
        <v>140.94</v>
      </c>
      <c r="Y61" s="10">
        <v>143.13</v>
      </c>
      <c r="Z61" s="10">
        <v>139.62</v>
      </c>
      <c r="AA61" s="10">
        <v>140.05000000000001</v>
      </c>
      <c r="AB61" s="95">
        <v>2171600</v>
      </c>
      <c r="AC61" s="10">
        <v>139.61000000000001</v>
      </c>
      <c r="AD61" s="2">
        <f t="shared" si="0"/>
        <v>3.5099999999999909</v>
      </c>
      <c r="AE61" s="138">
        <f t="shared" si="1"/>
        <v>-7.0412517780937822E-3</v>
      </c>
    </row>
    <row r="62" spans="1:31" x14ac:dyDescent="0.25">
      <c r="O62" s="83">
        <v>0.9</v>
      </c>
      <c r="P62" s="83">
        <f t="shared" si="3"/>
        <v>151.51499999999999</v>
      </c>
      <c r="W62" s="133">
        <v>42502</v>
      </c>
      <c r="X62" s="10">
        <v>144.07</v>
      </c>
      <c r="Y62" s="10">
        <v>144.72999999999999</v>
      </c>
      <c r="Z62" s="10">
        <v>139.52000000000001</v>
      </c>
      <c r="AA62" s="10">
        <v>141.04</v>
      </c>
      <c r="AB62" s="95">
        <v>2645200</v>
      </c>
      <c r="AC62" s="10">
        <v>140.6</v>
      </c>
      <c r="AD62" s="2">
        <f t="shared" si="0"/>
        <v>5.2099999999999795</v>
      </c>
      <c r="AE62" s="138">
        <f t="shared" si="1"/>
        <v>-1.9525801952580246E-2</v>
      </c>
    </row>
    <row r="63" spans="1:31" x14ac:dyDescent="0.25">
      <c r="W63" s="133">
        <v>42501</v>
      </c>
      <c r="X63" s="10">
        <v>144.09</v>
      </c>
      <c r="Y63" s="10">
        <v>146.22</v>
      </c>
      <c r="Z63" s="10">
        <v>143.51</v>
      </c>
      <c r="AA63" s="10">
        <v>143.85</v>
      </c>
      <c r="AB63" s="95">
        <v>1671600</v>
      </c>
      <c r="AC63" s="10">
        <v>143.4</v>
      </c>
      <c r="AD63" s="2">
        <f t="shared" si="0"/>
        <v>2.710000000000008</v>
      </c>
      <c r="AE63" s="138">
        <f t="shared" si="1"/>
        <v>-5.2719200887901829E-3</v>
      </c>
    </row>
    <row r="64" spans="1:31" x14ac:dyDescent="0.25">
      <c r="W64" s="133">
        <v>42500</v>
      </c>
      <c r="X64" s="10">
        <v>142.5</v>
      </c>
      <c r="Y64" s="10">
        <v>145.13999999999999</v>
      </c>
      <c r="Z64" s="10">
        <v>141.5</v>
      </c>
      <c r="AA64" s="10">
        <v>144.61000000000001</v>
      </c>
      <c r="AB64" s="95">
        <v>1846100</v>
      </c>
      <c r="AC64" s="10">
        <v>144.16</v>
      </c>
      <c r="AD64" s="2">
        <f t="shared" si="0"/>
        <v>3.6399999999999864</v>
      </c>
      <c r="AE64" s="138">
        <f t="shared" si="1"/>
        <v>1.5568862275449069E-2</v>
      </c>
    </row>
    <row r="65" spans="23:31" x14ac:dyDescent="0.25">
      <c r="W65" s="133">
        <v>42499</v>
      </c>
      <c r="X65" s="10">
        <v>142</v>
      </c>
      <c r="Y65" s="10">
        <v>143.91999999999999</v>
      </c>
      <c r="Z65" s="10">
        <v>141.26</v>
      </c>
      <c r="AA65" s="10">
        <v>142.4</v>
      </c>
      <c r="AB65" s="95">
        <v>1730000</v>
      </c>
      <c r="AC65" s="10">
        <v>141.94999999999999</v>
      </c>
      <c r="AD65" s="2">
        <f t="shared" si="0"/>
        <v>2.6599999999999966</v>
      </c>
      <c r="AE65" s="138">
        <f t="shared" si="1"/>
        <v>3.6057692307691624E-3</v>
      </c>
    </row>
    <row r="66" spans="23:31" x14ac:dyDescent="0.25">
      <c r="W66" s="133">
        <v>42496</v>
      </c>
      <c r="X66" s="10">
        <v>141.76</v>
      </c>
      <c r="Y66" s="10">
        <v>142.5</v>
      </c>
      <c r="Z66" s="10">
        <v>139.18</v>
      </c>
      <c r="AA66" s="10">
        <v>141.88999999999999</v>
      </c>
      <c r="AB66" s="95">
        <v>3002700</v>
      </c>
      <c r="AC66" s="10">
        <v>141.44</v>
      </c>
      <c r="AD66" s="2">
        <f t="shared" si="0"/>
        <v>3.3199999999999932</v>
      </c>
      <c r="AE66" s="138">
        <f t="shared" si="1"/>
        <v>-4.8547104763244642E-3</v>
      </c>
    </row>
    <row r="67" spans="23:31" x14ac:dyDescent="0.25">
      <c r="W67" s="133">
        <v>42495</v>
      </c>
      <c r="X67" s="10">
        <v>143.82</v>
      </c>
      <c r="Y67" s="10">
        <v>144.9</v>
      </c>
      <c r="Z67" s="10">
        <v>142.09</v>
      </c>
      <c r="AA67" s="10">
        <v>142.58000000000001</v>
      </c>
      <c r="AB67" s="95">
        <v>1684100</v>
      </c>
      <c r="AC67" s="10">
        <v>142.13</v>
      </c>
      <c r="AD67" s="2">
        <f>Y67-Z67</f>
        <v>2.8100000000000023</v>
      </c>
      <c r="AE67" s="138">
        <f>AC67/AC68-1</f>
        <v>3.6011862731251121E-3</v>
      </c>
    </row>
    <row r="68" spans="23:31" x14ac:dyDescent="0.25">
      <c r="W68" s="133">
        <v>42494</v>
      </c>
      <c r="X68" s="10">
        <v>142.51</v>
      </c>
      <c r="Y68" s="10">
        <v>144.41999999999999</v>
      </c>
      <c r="Z68" s="10">
        <v>141.27000000000001</v>
      </c>
      <c r="AA68" s="10">
        <v>142.07</v>
      </c>
      <c r="AB68" s="95">
        <v>2080700</v>
      </c>
      <c r="AC68" s="10">
        <v>141.62</v>
      </c>
      <c r="AD68" s="2">
        <f>Y68-Z68</f>
        <v>3.1499999999999773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1" priority="11">
      <formula>F21&gt;0</formula>
    </cfRule>
    <cfRule type="expression" dxfId="170" priority="12">
      <formula>F21&lt;0</formula>
    </cfRule>
  </conditionalFormatting>
  <conditionalFormatting sqref="H21:H23">
    <cfRule type="expression" dxfId="169" priority="9">
      <formula>H21&gt;0</formula>
    </cfRule>
    <cfRule type="expression" dxfId="168" priority="10">
      <formula>H21&lt;0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482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G2" s="481"/>
      <c r="H2" s="7"/>
      <c r="I2" s="44"/>
      <c r="J2" s="44"/>
      <c r="K2" s="44"/>
      <c r="L2" s="74"/>
      <c r="M2" s="4"/>
      <c r="O2" s="11" t="s">
        <v>57</v>
      </c>
      <c r="Q2">
        <f>C18-H18</f>
        <v>150</v>
      </c>
      <c r="T2" s="1">
        <v>42570</v>
      </c>
      <c r="U2" t="s">
        <v>324</v>
      </c>
      <c r="W2" s="133">
        <v>42587</v>
      </c>
      <c r="X2" s="10">
        <v>46.25</v>
      </c>
      <c r="Y2" s="10">
        <v>48.48</v>
      </c>
      <c r="Z2" s="10">
        <v>46.24</v>
      </c>
      <c r="AA2" s="10">
        <v>48.41</v>
      </c>
      <c r="AB2" s="95">
        <v>5937800</v>
      </c>
      <c r="AC2" s="10">
        <v>48.41</v>
      </c>
      <c r="AD2" s="2">
        <f>Y2-Z2</f>
        <v>2.2399999999999949</v>
      </c>
      <c r="AE2" s="138">
        <f>AC2/AC3-1</f>
        <v>5.4684095860566329E-2</v>
      </c>
    </row>
    <row r="3" spans="1:31" x14ac:dyDescent="0.25">
      <c r="A3" s="23" t="s">
        <v>71</v>
      </c>
      <c r="B3" s="482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81"/>
      <c r="H3" s="44"/>
      <c r="I3" s="44"/>
      <c r="J3" s="44"/>
      <c r="K3" s="44"/>
      <c r="O3" s="11" t="s">
        <v>58</v>
      </c>
      <c r="Q3" s="232">
        <f>IF(Q2=0, Q4, (F18-K18-M18)/Q2)</f>
        <v>37.965266666666651</v>
      </c>
      <c r="T3" s="1"/>
      <c r="W3" s="133">
        <v>42586</v>
      </c>
      <c r="X3" s="10">
        <v>44.94</v>
      </c>
      <c r="Y3" s="10">
        <v>45.96</v>
      </c>
      <c r="Z3" s="10">
        <v>44.81</v>
      </c>
      <c r="AA3" s="10">
        <v>45.9</v>
      </c>
      <c r="AB3" s="95">
        <v>3878900</v>
      </c>
      <c r="AC3" s="10">
        <v>45.9</v>
      </c>
      <c r="AD3" s="2">
        <f t="shared" ref="AD3:AD66" si="1">Y3-Z3</f>
        <v>1.1499999999999986</v>
      </c>
      <c r="AE3" s="138">
        <f t="shared" ref="AE3:AE66" si="2">AC3/AC4-1</f>
        <v>2.2271714922049046E-2</v>
      </c>
    </row>
    <row r="4" spans="1:31" x14ac:dyDescent="0.25">
      <c r="B4" s="482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81"/>
      <c r="H4" s="7"/>
      <c r="I4" s="44"/>
      <c r="J4" s="44"/>
      <c r="K4" s="44"/>
      <c r="O4" s="11" t="s">
        <v>66</v>
      </c>
      <c r="Q4" s="55">
        <v>48.49</v>
      </c>
      <c r="T4" s="163"/>
      <c r="W4" s="133">
        <v>42585</v>
      </c>
      <c r="X4" s="10">
        <v>44.28</v>
      </c>
      <c r="Y4" s="10">
        <v>45.2</v>
      </c>
      <c r="Z4" s="10">
        <v>44.15</v>
      </c>
      <c r="AA4" s="10">
        <v>44.9</v>
      </c>
      <c r="AB4" s="95">
        <v>4533300</v>
      </c>
      <c r="AC4" s="10">
        <v>44.9</v>
      </c>
      <c r="AD4" s="2">
        <f t="shared" si="1"/>
        <v>1.0500000000000043</v>
      </c>
      <c r="AE4" s="138">
        <f t="shared" si="2"/>
        <v>1.1261261261261257E-2</v>
      </c>
    </row>
    <row r="5" spans="1:31" x14ac:dyDescent="0.25">
      <c r="B5" s="482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82">
        <v>42557</v>
      </c>
      <c r="H5" s="7">
        <v>150</v>
      </c>
      <c r="I5" s="44">
        <v>39.28</v>
      </c>
      <c r="J5" s="44">
        <v>0.13</v>
      </c>
      <c r="K5" s="44">
        <f>I5*H5-J5</f>
        <v>5891.87</v>
      </c>
      <c r="O5" s="11" t="s">
        <v>67</v>
      </c>
      <c r="Q5" s="3">
        <f>Q4*Q2</f>
        <v>7273.5</v>
      </c>
      <c r="W5" s="133">
        <v>42584</v>
      </c>
      <c r="X5" s="10">
        <v>46.9</v>
      </c>
      <c r="Y5" s="10">
        <v>46.9</v>
      </c>
      <c r="Z5" s="10">
        <v>44.24</v>
      </c>
      <c r="AA5" s="10">
        <v>44.4</v>
      </c>
      <c r="AB5" s="95">
        <v>7240700</v>
      </c>
      <c r="AC5" s="10">
        <v>44.4</v>
      </c>
      <c r="AD5" s="2">
        <f t="shared" si="1"/>
        <v>2.6599999999999966</v>
      </c>
      <c r="AE5" s="138">
        <f t="shared" si="2"/>
        <v>-6.25E-2</v>
      </c>
    </row>
    <row r="6" spans="1:31" x14ac:dyDescent="0.25">
      <c r="B6" s="482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82">
        <v>42562</v>
      </c>
      <c r="H6" s="4">
        <v>50</v>
      </c>
      <c r="I6" s="3">
        <v>42.68</v>
      </c>
      <c r="J6" s="3">
        <v>0.05</v>
      </c>
      <c r="K6" s="3">
        <f>I6*H6-J6</f>
        <v>2133.9499999999998</v>
      </c>
      <c r="O6" s="11" t="s">
        <v>64</v>
      </c>
      <c r="Q6" s="2">
        <f>Q3*Q2</f>
        <v>5694.7899999999972</v>
      </c>
      <c r="W6" s="133">
        <v>42583</v>
      </c>
      <c r="X6" s="10">
        <v>46.77</v>
      </c>
      <c r="Y6" s="10">
        <v>47.38</v>
      </c>
      <c r="Z6" s="10">
        <v>46.42</v>
      </c>
      <c r="AA6" s="10">
        <v>47.36</v>
      </c>
      <c r="AB6" s="95">
        <v>2934700</v>
      </c>
      <c r="AC6" s="10">
        <v>47.36</v>
      </c>
      <c r="AD6" s="2">
        <f t="shared" si="1"/>
        <v>0.96000000000000085</v>
      </c>
      <c r="AE6" s="138">
        <f t="shared" si="2"/>
        <v>1.0023459159735459E-2</v>
      </c>
    </row>
    <row r="7" spans="1:31" x14ac:dyDescent="0.25">
      <c r="B7" s="482">
        <v>42535</v>
      </c>
      <c r="C7" s="7">
        <v>40</v>
      </c>
      <c r="D7" s="44">
        <v>43.19</v>
      </c>
      <c r="E7" s="44">
        <v>0</v>
      </c>
      <c r="F7" s="44">
        <f t="shared" si="0"/>
        <v>1727.6</v>
      </c>
      <c r="G7" s="482">
        <v>42566</v>
      </c>
      <c r="H7" s="7">
        <v>40</v>
      </c>
      <c r="I7" s="44">
        <v>47.51</v>
      </c>
      <c r="J7" s="44">
        <v>0.04</v>
      </c>
      <c r="K7" s="44">
        <f>I7*H7-J7</f>
        <v>1900.36</v>
      </c>
      <c r="O7" s="11" t="s">
        <v>188</v>
      </c>
      <c r="Q7" s="2">
        <f>Q10+Q8</f>
        <v>1578.7100000000028</v>
      </c>
      <c r="R7">
        <v>150</v>
      </c>
      <c r="W7" s="133">
        <v>42580</v>
      </c>
      <c r="X7" s="10">
        <v>47.49</v>
      </c>
      <c r="Y7" s="10">
        <v>48.11</v>
      </c>
      <c r="Z7" s="10">
        <v>46.89</v>
      </c>
      <c r="AA7" s="10">
        <v>46.89</v>
      </c>
      <c r="AB7" s="95">
        <v>3448700</v>
      </c>
      <c r="AC7" s="10">
        <v>46.89</v>
      </c>
      <c r="AD7" s="2">
        <f t="shared" si="1"/>
        <v>1.2199999999999989</v>
      </c>
      <c r="AE7" s="138">
        <f t="shared" si="2"/>
        <v>-1.0759493670886022E-2</v>
      </c>
    </row>
    <row r="8" spans="1:31" x14ac:dyDescent="0.25">
      <c r="B8" s="482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G8" s="482">
        <v>42587</v>
      </c>
      <c r="H8" s="7">
        <v>210</v>
      </c>
      <c r="I8" s="3">
        <v>47.58</v>
      </c>
      <c r="J8" s="3">
        <v>0.22</v>
      </c>
      <c r="K8" s="44">
        <f>I8*H8-J8</f>
        <v>9991.58</v>
      </c>
      <c r="O8" s="11" t="s">
        <v>192</v>
      </c>
      <c r="P8" s="34"/>
      <c r="Q8" s="2">
        <f>K18+M18-F18+Q2*Q4</f>
        <v>1578.7100000000028</v>
      </c>
      <c r="W8" s="133">
        <v>42579</v>
      </c>
      <c r="X8" s="10">
        <v>47.17</v>
      </c>
      <c r="Y8" s="10">
        <v>47.63</v>
      </c>
      <c r="Z8" s="10">
        <v>46.81</v>
      </c>
      <c r="AA8" s="10">
        <v>47.4</v>
      </c>
      <c r="AB8" s="95">
        <v>2496600</v>
      </c>
      <c r="AC8" s="10">
        <v>47.4</v>
      </c>
      <c r="AD8" s="2">
        <f t="shared" si="1"/>
        <v>0.82000000000000028</v>
      </c>
      <c r="AE8" s="138">
        <f t="shared" si="2"/>
        <v>-8.4317032040470696E-4</v>
      </c>
    </row>
    <row r="9" spans="1:31" x14ac:dyDescent="0.25">
      <c r="B9" s="482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G9" s="4"/>
      <c r="H9" s="4"/>
      <c r="I9" s="3"/>
      <c r="J9" s="3"/>
      <c r="K9" s="3"/>
      <c r="O9" s="11" t="s">
        <v>231</v>
      </c>
      <c r="Q9" s="138">
        <f>IF(Q2=0, 0, Q8/Q6)</f>
        <v>0.27722005552443613</v>
      </c>
      <c r="W9" s="133">
        <v>42578</v>
      </c>
      <c r="X9" s="10">
        <v>47.63</v>
      </c>
      <c r="Y9" s="10">
        <v>47.75</v>
      </c>
      <c r="Z9" s="10">
        <v>47.16</v>
      </c>
      <c r="AA9" s="10">
        <v>47.44</v>
      </c>
      <c r="AB9" s="95">
        <v>3208500</v>
      </c>
      <c r="AC9" s="10">
        <v>47.44</v>
      </c>
      <c r="AD9" s="2">
        <f t="shared" si="1"/>
        <v>0.59000000000000341</v>
      </c>
      <c r="AE9" s="138">
        <f t="shared" si="2"/>
        <v>-6.0758432851455435E-3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O10" s="11" t="s">
        <v>230</v>
      </c>
      <c r="P10" s="34"/>
      <c r="Q10" s="2">
        <f>M48</f>
        <v>0</v>
      </c>
      <c r="W10" s="133">
        <v>42577</v>
      </c>
      <c r="X10" s="10">
        <v>46.87</v>
      </c>
      <c r="Y10" s="10">
        <v>48</v>
      </c>
      <c r="Z10" s="10">
        <v>46.87</v>
      </c>
      <c r="AA10" s="10">
        <v>47.73</v>
      </c>
      <c r="AB10" s="95">
        <v>4224100</v>
      </c>
      <c r="AC10" s="10">
        <v>47.73</v>
      </c>
      <c r="AD10" s="2">
        <f t="shared" si="1"/>
        <v>1.1300000000000026</v>
      </c>
      <c r="AE10" s="138">
        <f t="shared" si="2"/>
        <v>1.7914267434420816E-2</v>
      </c>
    </row>
    <row r="11" spans="1:31" x14ac:dyDescent="0.25">
      <c r="B11" s="1"/>
      <c r="C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42576</v>
      </c>
      <c r="X11" s="10">
        <v>47.52</v>
      </c>
      <c r="Y11" s="10">
        <v>47.78</v>
      </c>
      <c r="Z11" s="10">
        <v>46.73</v>
      </c>
      <c r="AA11" s="10">
        <v>46.89</v>
      </c>
      <c r="AB11" s="95">
        <v>3751200</v>
      </c>
      <c r="AC11" s="10">
        <v>46.89</v>
      </c>
      <c r="AD11" s="2">
        <f t="shared" si="1"/>
        <v>1.0500000000000043</v>
      </c>
      <c r="AE11" s="138">
        <f t="shared" si="2"/>
        <v>-1.4294723565272172E-2</v>
      </c>
    </row>
    <row r="12" spans="1:31" x14ac:dyDescent="0.25">
      <c r="W12" s="133">
        <v>42573</v>
      </c>
      <c r="X12" s="10">
        <v>47.25</v>
      </c>
      <c r="Y12" s="10">
        <v>47.69</v>
      </c>
      <c r="Z12" s="10">
        <v>46.56</v>
      </c>
      <c r="AA12" s="10">
        <v>47.57</v>
      </c>
      <c r="AB12" s="95">
        <v>4896600</v>
      </c>
      <c r="AC12" s="10">
        <v>47.57</v>
      </c>
      <c r="AD12" s="2">
        <f t="shared" si="1"/>
        <v>1.1299999999999955</v>
      </c>
      <c r="AE12" s="138">
        <f t="shared" si="2"/>
        <v>1.9502786112301829E-2</v>
      </c>
    </row>
    <row r="13" spans="1:31" x14ac:dyDescent="0.25">
      <c r="W13" s="133">
        <v>42572</v>
      </c>
      <c r="X13" s="10">
        <v>47.11</v>
      </c>
      <c r="Y13" s="10">
        <v>47.4</v>
      </c>
      <c r="Z13" s="10">
        <v>46.02</v>
      </c>
      <c r="AA13" s="10">
        <v>46.66</v>
      </c>
      <c r="AB13" s="95">
        <v>5867900</v>
      </c>
      <c r="AC13" s="10">
        <v>46.66</v>
      </c>
      <c r="AD13" s="2">
        <f t="shared" si="1"/>
        <v>1.3799999999999955</v>
      </c>
      <c r="AE13" s="138">
        <f t="shared" si="2"/>
        <v>-3.3954451345755698E-2</v>
      </c>
    </row>
    <row r="14" spans="1:31" x14ac:dyDescent="0.25">
      <c r="W14" s="133">
        <v>42571</v>
      </c>
      <c r="X14" s="10">
        <v>48.28</v>
      </c>
      <c r="Y14" s="10">
        <v>49.87</v>
      </c>
      <c r="Z14" s="10">
        <v>47.54</v>
      </c>
      <c r="AA14" s="10">
        <v>48.3</v>
      </c>
      <c r="AB14" s="95">
        <v>8422200</v>
      </c>
      <c r="AC14" s="10">
        <v>48.3</v>
      </c>
      <c r="AD14" s="2">
        <f t="shared" si="1"/>
        <v>2.3299999999999983</v>
      </c>
      <c r="AE14" s="138">
        <f t="shared" si="2"/>
        <v>9.4043887147334804E-3</v>
      </c>
    </row>
    <row r="15" spans="1:31" x14ac:dyDescent="0.25">
      <c r="W15" s="133">
        <v>42570</v>
      </c>
      <c r="X15" s="10">
        <v>47.71</v>
      </c>
      <c r="Y15" s="10">
        <v>47.96</v>
      </c>
      <c r="Z15" s="10">
        <v>46.68</v>
      </c>
      <c r="AA15" s="10">
        <v>47.85</v>
      </c>
      <c r="AB15" s="95">
        <v>4720500</v>
      </c>
      <c r="AC15" s="10">
        <v>47.85</v>
      </c>
      <c r="AD15" s="2">
        <f t="shared" si="1"/>
        <v>1.2800000000000011</v>
      </c>
      <c r="AE15" s="138">
        <f t="shared" si="2"/>
        <v>2.9343953049674187E-3</v>
      </c>
    </row>
    <row r="16" spans="1:31" x14ac:dyDescent="0.25">
      <c r="W16" s="133">
        <v>42569</v>
      </c>
      <c r="X16" s="10">
        <v>47.58</v>
      </c>
      <c r="Y16" s="10">
        <v>48.02</v>
      </c>
      <c r="Z16" s="10">
        <v>47.13</v>
      </c>
      <c r="AA16" s="10">
        <v>47.71</v>
      </c>
      <c r="AB16" s="95">
        <v>3692700</v>
      </c>
      <c r="AC16" s="10">
        <v>47.71</v>
      </c>
      <c r="AD16" s="2">
        <f t="shared" si="1"/>
        <v>0.89000000000000057</v>
      </c>
      <c r="AE16" s="138">
        <f t="shared" si="2"/>
        <v>5.9034366434747021E-3</v>
      </c>
    </row>
    <row r="17" spans="1:31" x14ac:dyDescent="0.25">
      <c r="W17" s="133">
        <v>42566</v>
      </c>
      <c r="X17" s="10">
        <v>47.51</v>
      </c>
      <c r="Y17" s="10">
        <v>47.76</v>
      </c>
      <c r="Z17" s="10">
        <v>46.92</v>
      </c>
      <c r="AA17" s="10">
        <v>47.43</v>
      </c>
      <c r="AB17" s="95">
        <v>5184800</v>
      </c>
      <c r="AC17" s="10">
        <v>47.43</v>
      </c>
      <c r="AD17" s="2">
        <f t="shared" si="1"/>
        <v>0.83999999999999631</v>
      </c>
      <c r="AE17" s="138">
        <f t="shared" si="2"/>
        <v>-8.7774294670847075E-3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SUM(F2:F10)</f>
        <v>25612.55</v>
      </c>
      <c r="G18" s="14"/>
      <c r="H18" s="14">
        <f>SUM(H2:H17)</f>
        <v>450</v>
      </c>
      <c r="I18" s="18"/>
      <c r="J18" s="18"/>
      <c r="K18" s="18">
        <f>SUM(K2:K17)</f>
        <v>19917.760000000002</v>
      </c>
      <c r="L18" s="14"/>
      <c r="M18" s="18">
        <f>SUM(M2:M17)</f>
        <v>0</v>
      </c>
      <c r="W18" s="133">
        <v>42565</v>
      </c>
      <c r="X18" s="10">
        <v>46.73</v>
      </c>
      <c r="Y18" s="10">
        <v>47.94</v>
      </c>
      <c r="Z18" s="10">
        <v>46.42</v>
      </c>
      <c r="AA18" s="10">
        <v>47.85</v>
      </c>
      <c r="AB18" s="95">
        <v>7702500</v>
      </c>
      <c r="AC18" s="10">
        <v>47.85</v>
      </c>
      <c r="AD18" s="2">
        <f t="shared" si="1"/>
        <v>1.519999999999996</v>
      </c>
      <c r="AE18" s="138">
        <f t="shared" si="2"/>
        <v>4.3392935019624934E-2</v>
      </c>
    </row>
    <row r="19" spans="1:31" ht="15.75" thickBot="1" x14ac:dyDescent="0.3">
      <c r="A19" s="363" t="s">
        <v>206</v>
      </c>
      <c r="B19" s="364"/>
      <c r="C19" s="365">
        <f>SumByColor($A$19,C2:C17)</f>
        <v>190</v>
      </c>
      <c r="D19" s="365"/>
      <c r="E19" s="365"/>
      <c r="F19" s="366">
        <f>SumByColor($A$19,F2:F17)</f>
        <v>7440</v>
      </c>
      <c r="G19" s="365"/>
      <c r="H19" s="365">
        <f>SumByColor($A$19,H3:H17)</f>
        <v>400</v>
      </c>
      <c r="I19" s="365"/>
      <c r="J19" s="365"/>
      <c r="K19" s="366">
        <f>SumByColor($A$19,K3:K17)</f>
        <v>17784</v>
      </c>
      <c r="L19" s="365"/>
      <c r="M19" s="366">
        <f t="shared" ref="M19" si="3">SumByColor($A$19,M2:M17)</f>
        <v>0</v>
      </c>
      <c r="W19" s="133">
        <v>42564</v>
      </c>
      <c r="X19" s="10">
        <v>46.55</v>
      </c>
      <c r="Y19" s="10">
        <v>46.73</v>
      </c>
      <c r="Z19" s="10">
        <v>45.42</v>
      </c>
      <c r="AA19" s="10">
        <v>45.86</v>
      </c>
      <c r="AB19" s="95">
        <v>5491900</v>
      </c>
      <c r="AC19" s="10">
        <v>45.86</v>
      </c>
      <c r="AD19" s="2">
        <f t="shared" si="1"/>
        <v>1.3099999999999952</v>
      </c>
      <c r="AE19" s="138">
        <f t="shared" si="2"/>
        <v>-6.4991334488734287E-3</v>
      </c>
    </row>
    <row r="20" spans="1:31" x14ac:dyDescent="0.25">
      <c r="W20" s="133">
        <v>42563</v>
      </c>
      <c r="X20" s="10">
        <v>44.19</v>
      </c>
      <c r="Y20" s="10">
        <v>46.36</v>
      </c>
      <c r="Z20" s="10">
        <v>44.19</v>
      </c>
      <c r="AA20" s="10">
        <v>46.16</v>
      </c>
      <c r="AB20" s="95">
        <v>9778600</v>
      </c>
      <c r="AC20" s="10">
        <v>46.16</v>
      </c>
      <c r="AD20" s="2">
        <f t="shared" si="1"/>
        <v>2.1700000000000017</v>
      </c>
      <c r="AE20" s="138">
        <f t="shared" si="2"/>
        <v>8.8422541853336423E-2</v>
      </c>
    </row>
    <row r="21" spans="1:31" x14ac:dyDescent="0.25">
      <c r="W21" s="133">
        <v>42562</v>
      </c>
      <c r="X21" s="10">
        <v>41.88</v>
      </c>
      <c r="Y21" s="10">
        <v>42.74</v>
      </c>
      <c r="Z21" s="10">
        <v>41.72</v>
      </c>
      <c r="AA21" s="10">
        <v>42.41</v>
      </c>
      <c r="AB21" s="95">
        <v>4661700</v>
      </c>
      <c r="AC21" s="10">
        <v>42.41</v>
      </c>
      <c r="AD21" s="2">
        <f t="shared" si="1"/>
        <v>1.0200000000000031</v>
      </c>
      <c r="AE21" s="138">
        <f t="shared" si="2"/>
        <v>2.2420443587271022E-2</v>
      </c>
    </row>
    <row r="22" spans="1:31" x14ac:dyDescent="0.25">
      <c r="W22" s="133">
        <v>42559</v>
      </c>
      <c r="X22" s="10">
        <v>40.700000000000003</v>
      </c>
      <c r="Y22" s="10">
        <v>41.73</v>
      </c>
      <c r="Z22" s="10">
        <v>40.700000000000003</v>
      </c>
      <c r="AA22" s="10">
        <v>41.48</v>
      </c>
      <c r="AB22" s="95">
        <v>5261200</v>
      </c>
      <c r="AC22" s="10">
        <v>41.48</v>
      </c>
      <c r="AD22" s="2">
        <f t="shared" si="1"/>
        <v>1.029999999999994</v>
      </c>
      <c r="AE22" s="138">
        <f t="shared" si="2"/>
        <v>3.4671988026939271E-2</v>
      </c>
    </row>
    <row r="23" spans="1:31" x14ac:dyDescent="0.25">
      <c r="W23" s="133">
        <v>42558</v>
      </c>
      <c r="X23" s="10">
        <v>39.32</v>
      </c>
      <c r="Y23" s="10">
        <v>40.409999999999997</v>
      </c>
      <c r="Z23" s="10">
        <v>39.31</v>
      </c>
      <c r="AA23" s="10">
        <v>40.090000000000003</v>
      </c>
      <c r="AB23" s="95">
        <v>4606300</v>
      </c>
      <c r="AC23" s="10">
        <v>40.090000000000003</v>
      </c>
      <c r="AD23" s="2">
        <f t="shared" si="1"/>
        <v>1.0999999999999943</v>
      </c>
      <c r="AE23" s="138">
        <f t="shared" si="2"/>
        <v>1.9842279318239564E-2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39.14</v>
      </c>
      <c r="Y24" s="10">
        <v>39.409999999999997</v>
      </c>
      <c r="Z24" s="10">
        <v>37.64</v>
      </c>
      <c r="AA24" s="10">
        <v>39.31</v>
      </c>
      <c r="AB24" s="95">
        <v>8217800</v>
      </c>
      <c r="AC24" s="10">
        <v>39.31</v>
      </c>
      <c r="AD24" s="2">
        <f t="shared" si="1"/>
        <v>1.769999999999996</v>
      </c>
      <c r="AE24" s="138">
        <f t="shared" si="2"/>
        <v>-2.4323653512037691E-2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42556</v>
      </c>
      <c r="X25" s="10">
        <v>40.799999999999997</v>
      </c>
      <c r="Y25" s="10">
        <v>40.92</v>
      </c>
      <c r="Z25" s="10">
        <v>39.409999999999997</v>
      </c>
      <c r="AA25" s="10">
        <v>40.29</v>
      </c>
      <c r="AB25" s="95">
        <v>5207800</v>
      </c>
      <c r="AC25" s="10">
        <v>40.29</v>
      </c>
      <c r="AD25" s="2">
        <f t="shared" si="1"/>
        <v>1.5100000000000051</v>
      </c>
      <c r="AE25" s="138">
        <f t="shared" si="2"/>
        <v>-2.6105873821609782E-2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42552</v>
      </c>
      <c r="X26" s="10">
        <v>41.02</v>
      </c>
      <c r="Y26" s="10">
        <v>41.8</v>
      </c>
      <c r="Z26" s="10">
        <v>40.83</v>
      </c>
      <c r="AA26" s="10">
        <v>41.37</v>
      </c>
      <c r="AB26" s="95">
        <v>5092900</v>
      </c>
      <c r="AC26" s="10">
        <v>41.37</v>
      </c>
      <c r="AD26" s="2">
        <f t="shared" si="1"/>
        <v>0.96999999999999886</v>
      </c>
      <c r="AE26" s="138">
        <f t="shared" si="2"/>
        <v>8.0409356725146264E-3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42551</v>
      </c>
      <c r="X27" s="10">
        <v>40.72</v>
      </c>
      <c r="Y27" s="10">
        <v>41.04</v>
      </c>
      <c r="Z27" s="10">
        <v>40.200000000000003</v>
      </c>
      <c r="AA27" s="10">
        <v>41.04</v>
      </c>
      <c r="AB27" s="95">
        <v>6052600</v>
      </c>
      <c r="AC27" s="10">
        <v>41.04</v>
      </c>
      <c r="AD27" s="2">
        <f t="shared" si="1"/>
        <v>0.83999999999999631</v>
      </c>
      <c r="AE27" s="138">
        <f t="shared" si="2"/>
        <v>1.1584914961794368E-2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>
        <v>43.25</v>
      </c>
      <c r="W28" s="133">
        <v>42550</v>
      </c>
      <c r="X28" s="10">
        <v>39.19</v>
      </c>
      <c r="Y28" s="10">
        <v>40.92</v>
      </c>
      <c r="Z28" s="10">
        <v>39.15</v>
      </c>
      <c r="AA28" s="10">
        <v>40.57</v>
      </c>
      <c r="AB28" s="95">
        <v>7373100</v>
      </c>
      <c r="AC28" s="10">
        <v>40.57</v>
      </c>
      <c r="AD28" s="2">
        <f t="shared" si="1"/>
        <v>1.7700000000000031</v>
      </c>
      <c r="AE28" s="138">
        <f t="shared" si="2"/>
        <v>4.1591784338895987E-2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42549</v>
      </c>
      <c r="X29" s="10">
        <v>38.82</v>
      </c>
      <c r="Y29" s="10">
        <v>39.06</v>
      </c>
      <c r="Z29" s="10">
        <v>38.01</v>
      </c>
      <c r="AA29" s="10">
        <v>38.950000000000003</v>
      </c>
      <c r="AB29" s="95">
        <v>7820500</v>
      </c>
      <c r="AC29" s="10">
        <v>38.950000000000003</v>
      </c>
      <c r="AD29" s="2">
        <f t="shared" si="1"/>
        <v>1.0500000000000043</v>
      </c>
      <c r="AE29" s="138">
        <f t="shared" si="2"/>
        <v>3.1788079470198793E-2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42548</v>
      </c>
      <c r="X30" s="10">
        <v>40.64</v>
      </c>
      <c r="Y30" s="10">
        <v>40.69</v>
      </c>
      <c r="Z30" s="10">
        <v>37.409999999999997</v>
      </c>
      <c r="AA30" s="10">
        <v>37.75</v>
      </c>
      <c r="AB30" s="95">
        <v>12908800</v>
      </c>
      <c r="AC30" s="10">
        <v>37.75</v>
      </c>
      <c r="AD30" s="2">
        <f t="shared" si="1"/>
        <v>3.2800000000000011</v>
      </c>
      <c r="AE30" s="138">
        <f t="shared" si="2"/>
        <v>-8.0613735996103331E-2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42545</v>
      </c>
      <c r="X31" s="10">
        <v>42.67</v>
      </c>
      <c r="Y31" s="10">
        <v>43.22</v>
      </c>
      <c r="Z31" s="10">
        <v>41.04</v>
      </c>
      <c r="AA31" s="10">
        <v>41.06</v>
      </c>
      <c r="AB31" s="95">
        <v>12313800</v>
      </c>
      <c r="AC31" s="10">
        <v>41.06</v>
      </c>
      <c r="AD31" s="2">
        <f t="shared" si="1"/>
        <v>2.1799999999999997</v>
      </c>
      <c r="AE31" s="138">
        <f t="shared" si="2"/>
        <v>-9.0989594863847723E-2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42544</v>
      </c>
      <c r="X32" s="10">
        <v>45.75</v>
      </c>
      <c r="Y32" s="10">
        <v>45.92</v>
      </c>
      <c r="Z32" s="10">
        <v>44.46</v>
      </c>
      <c r="AA32" s="10">
        <v>45.17</v>
      </c>
      <c r="AB32" s="95">
        <v>4914100</v>
      </c>
      <c r="AC32" s="10">
        <v>45.17</v>
      </c>
      <c r="AD32" s="2">
        <f t="shared" si="1"/>
        <v>1.4600000000000009</v>
      </c>
      <c r="AE32" s="138">
        <f t="shared" si="2"/>
        <v>1.7742293191393976E-3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42543</v>
      </c>
      <c r="X33" s="10">
        <v>45</v>
      </c>
      <c r="Y33" s="10">
        <v>45.64</v>
      </c>
      <c r="Z33" s="10">
        <v>44.94</v>
      </c>
      <c r="AA33" s="10">
        <v>45.09</v>
      </c>
      <c r="AB33" s="95">
        <v>4814700</v>
      </c>
      <c r="AC33" s="10">
        <v>45.09</v>
      </c>
      <c r="AD33" s="2">
        <f t="shared" si="1"/>
        <v>0.70000000000000284</v>
      </c>
      <c r="AE33" s="138">
        <f t="shared" si="2"/>
        <v>5.1270619705752196E-3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42542</v>
      </c>
      <c r="X34" s="10">
        <v>45.01</v>
      </c>
      <c r="Y34" s="10">
        <v>45.59</v>
      </c>
      <c r="Z34" s="10">
        <v>44.4</v>
      </c>
      <c r="AA34" s="10">
        <v>44.86</v>
      </c>
      <c r="AB34" s="95">
        <v>7749400</v>
      </c>
      <c r="AC34" s="10">
        <v>44.86</v>
      </c>
      <c r="AD34" s="2">
        <f t="shared" si="1"/>
        <v>1.1900000000000048</v>
      </c>
      <c r="AE34" s="138">
        <f t="shared" si="2"/>
        <v>3.3640552995391815E-2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42541</v>
      </c>
      <c r="X35" s="10">
        <v>43.07</v>
      </c>
      <c r="Y35" s="10">
        <v>44.03</v>
      </c>
      <c r="Z35" s="10">
        <v>43</v>
      </c>
      <c r="AA35" s="10">
        <v>43.4</v>
      </c>
      <c r="AB35" s="95">
        <v>4427800</v>
      </c>
      <c r="AC35" s="10">
        <v>43.4</v>
      </c>
      <c r="AD35" s="2">
        <f t="shared" si="1"/>
        <v>1.0300000000000011</v>
      </c>
      <c r="AE35" s="138">
        <f t="shared" si="2"/>
        <v>1.8301267010793154E-2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42538</v>
      </c>
      <c r="X36" s="10">
        <v>41.9</v>
      </c>
      <c r="Y36" s="10">
        <v>43.07</v>
      </c>
      <c r="Z36" s="10">
        <v>41.5</v>
      </c>
      <c r="AA36" s="10">
        <v>42.62</v>
      </c>
      <c r="AB36" s="95">
        <v>8183100</v>
      </c>
      <c r="AC36" s="10">
        <v>42.62</v>
      </c>
      <c r="AD36" s="2">
        <f t="shared" si="1"/>
        <v>1.5700000000000003</v>
      </c>
      <c r="AE36" s="138">
        <f t="shared" si="2"/>
        <v>1.8885967009323323E-2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42537</v>
      </c>
      <c r="X37" s="10">
        <v>42.23</v>
      </c>
      <c r="Y37" s="10">
        <v>42.9</v>
      </c>
      <c r="Z37" s="10">
        <v>41.68</v>
      </c>
      <c r="AA37" s="10">
        <v>41.83</v>
      </c>
      <c r="AB37" s="95">
        <v>7695600</v>
      </c>
      <c r="AC37" s="10">
        <v>41.83</v>
      </c>
      <c r="AD37" s="2">
        <f t="shared" si="1"/>
        <v>1.2199999999999989</v>
      </c>
      <c r="AE37" s="138">
        <f t="shared" si="2"/>
        <v>-2.4714385637677805E-2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42536</v>
      </c>
      <c r="X38" s="10">
        <v>42.55</v>
      </c>
      <c r="Y38" s="10">
        <v>43.72</v>
      </c>
      <c r="Z38" s="10">
        <v>42.51</v>
      </c>
      <c r="AA38" s="10">
        <v>42.89</v>
      </c>
      <c r="AB38" s="95">
        <v>6334500</v>
      </c>
      <c r="AC38" s="10">
        <v>42.89</v>
      </c>
      <c r="AD38" s="2">
        <f t="shared" si="1"/>
        <v>1.2100000000000009</v>
      </c>
      <c r="AE38" s="138">
        <f t="shared" si="2"/>
        <v>1.9006889997624121E-2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42535</v>
      </c>
      <c r="X39" s="10">
        <v>43.98</v>
      </c>
      <c r="Y39" s="10">
        <v>44.3</v>
      </c>
      <c r="Z39" s="10">
        <v>41.46</v>
      </c>
      <c r="AA39" s="10">
        <v>42.09</v>
      </c>
      <c r="AB39" s="95">
        <v>8162800</v>
      </c>
      <c r="AC39" s="10">
        <v>42.09</v>
      </c>
      <c r="AD39" s="2">
        <f t="shared" si="1"/>
        <v>2.8399999999999963</v>
      </c>
      <c r="AE39" s="138">
        <f t="shared" si="2"/>
        <v>-4.4711756695415272E-2</v>
      </c>
    </row>
    <row r="40" spans="2:31" ht="20.25" thickBot="1" x14ac:dyDescent="0.35">
      <c r="B40" s="195">
        <v>42549</v>
      </c>
      <c r="C40" s="465">
        <v>450</v>
      </c>
      <c r="D40" s="466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525" t="s">
        <v>78</v>
      </c>
      <c r="P40" s="525"/>
      <c r="W40" s="133">
        <v>42534</v>
      </c>
      <c r="X40" s="10">
        <v>45.59</v>
      </c>
      <c r="Y40" s="10">
        <v>45.88</v>
      </c>
      <c r="Z40" s="10">
        <v>43.64</v>
      </c>
      <c r="AA40" s="10">
        <v>44.06</v>
      </c>
      <c r="AB40" s="95">
        <v>7127800</v>
      </c>
      <c r="AC40" s="10">
        <v>44.06</v>
      </c>
      <c r="AD40" s="2">
        <f t="shared" si="1"/>
        <v>2.240000000000002</v>
      </c>
      <c r="AE40" s="138">
        <f t="shared" si="2"/>
        <v>-4.3836805555555469E-2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53.339000000000006</v>
      </c>
      <c r="Q41" s="2"/>
      <c r="W41" s="133">
        <v>42531</v>
      </c>
      <c r="X41" s="10">
        <v>46.09</v>
      </c>
      <c r="Y41" s="10">
        <v>46.69</v>
      </c>
      <c r="Z41" s="10">
        <v>45.63</v>
      </c>
      <c r="AA41" s="10">
        <v>46.08</v>
      </c>
      <c r="AB41" s="95">
        <v>4206300</v>
      </c>
      <c r="AC41" s="10">
        <v>46.08</v>
      </c>
      <c r="AD41" s="2">
        <f t="shared" si="1"/>
        <v>1.0599999999999952</v>
      </c>
      <c r="AE41" s="138">
        <f t="shared" si="2"/>
        <v>-1.3276231263383398E-2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52.854100000000003</v>
      </c>
      <c r="Q42" s="2"/>
      <c r="T42" s="91" t="s">
        <v>113</v>
      </c>
      <c r="W42" s="133">
        <v>42530</v>
      </c>
      <c r="X42" s="10">
        <v>45.59</v>
      </c>
      <c r="Y42" s="10">
        <v>46.91</v>
      </c>
      <c r="Z42" s="10">
        <v>45.44</v>
      </c>
      <c r="AA42" s="10">
        <v>46.7</v>
      </c>
      <c r="AB42" s="95">
        <v>4648800</v>
      </c>
      <c r="AC42" s="10">
        <v>46.7</v>
      </c>
      <c r="AD42" s="2">
        <f t="shared" si="1"/>
        <v>1.4699999999999989</v>
      </c>
      <c r="AE42" s="138">
        <f t="shared" si="2"/>
        <v>2.2105493543445043E-2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52.369200000000006</v>
      </c>
      <c r="Q43" s="2"/>
      <c r="T43" s="128" t="s">
        <v>98</v>
      </c>
      <c r="U43" s="98">
        <v>45.9</v>
      </c>
      <c r="W43" s="133">
        <v>42529</v>
      </c>
      <c r="X43" s="10">
        <v>45.94</v>
      </c>
      <c r="Y43" s="10">
        <v>46.53</v>
      </c>
      <c r="Z43" s="10">
        <v>45.29</v>
      </c>
      <c r="AA43" s="10">
        <v>45.69</v>
      </c>
      <c r="AB43" s="95">
        <v>4875300</v>
      </c>
      <c r="AC43" s="10">
        <v>45.69</v>
      </c>
      <c r="AD43" s="2">
        <f t="shared" si="1"/>
        <v>1.240000000000002</v>
      </c>
      <c r="AE43" s="138">
        <f t="shared" si="2"/>
        <v>-2.6195153896529932E-3</v>
      </c>
    </row>
    <row r="44" spans="2:31" x14ac:dyDescent="0.25">
      <c r="B44" s="195">
        <v>42557</v>
      </c>
      <c r="C44" s="465">
        <v>450</v>
      </c>
      <c r="D44" s="466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/>
      <c r="O44" s="83">
        <v>1.07</v>
      </c>
      <c r="P44" s="83">
        <f t="shared" si="16"/>
        <v>51.884300000000003</v>
      </c>
      <c r="Q44" s="2"/>
      <c r="T44" s="93" t="s">
        <v>99</v>
      </c>
      <c r="U44" s="88">
        <v>46.25</v>
      </c>
      <c r="W44" s="133">
        <v>42528</v>
      </c>
      <c r="X44" s="10">
        <v>44.5</v>
      </c>
      <c r="Y44" s="10">
        <v>46.46</v>
      </c>
      <c r="Z44" s="10">
        <v>44.01</v>
      </c>
      <c r="AA44" s="10">
        <v>45.81</v>
      </c>
      <c r="AB44" s="95">
        <v>5863000</v>
      </c>
      <c r="AC44" s="10">
        <v>45.81</v>
      </c>
      <c r="AD44" s="2">
        <f t="shared" si="1"/>
        <v>2.4500000000000028</v>
      </c>
      <c r="AE44" s="138">
        <f t="shared" si="2"/>
        <v>2.8744666516954842E-2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20">C45*(E45-D45)</f>
        <v>-1054.6650000000025</v>
      </c>
      <c r="G45" s="40">
        <f t="shared" ref="G45:G46" si="21">D45*C45</f>
        <v>19720.665000000001</v>
      </c>
      <c r="H45" s="233">
        <f t="shared" ref="H45:H46" si="22">(E45-D45)/D45</f>
        <v>-5.3480194506625535E-2</v>
      </c>
      <c r="I45" s="40"/>
      <c r="O45" s="83">
        <v>1.06</v>
      </c>
      <c r="P45" s="83">
        <f t="shared" si="16"/>
        <v>51.399400000000007</v>
      </c>
      <c r="Q45" s="2"/>
      <c r="T45" s="93" t="s">
        <v>100</v>
      </c>
      <c r="U45" s="88" t="s">
        <v>535</v>
      </c>
      <c r="W45" s="133">
        <v>42527</v>
      </c>
      <c r="X45" s="10">
        <v>44.2</v>
      </c>
      <c r="Y45" s="10">
        <v>44.54</v>
      </c>
      <c r="Z45" s="10">
        <v>43.53</v>
      </c>
      <c r="AA45" s="10">
        <v>44.53</v>
      </c>
      <c r="AB45" s="95">
        <v>5251200</v>
      </c>
      <c r="AC45" s="10">
        <v>44.53</v>
      </c>
      <c r="AD45" s="2">
        <f t="shared" si="1"/>
        <v>1.009999999999998</v>
      </c>
      <c r="AE45" s="138">
        <f t="shared" si="2"/>
        <v>5.1918735891649526E-3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20"/>
        <v>-622.72000000000105</v>
      </c>
      <c r="G46" s="40">
        <f t="shared" si="21"/>
        <v>17586.72</v>
      </c>
      <c r="H46" s="233">
        <f t="shared" si="22"/>
        <v>-3.5408535531355541E-2</v>
      </c>
      <c r="I46" s="40"/>
      <c r="O46" s="83">
        <v>1.05</v>
      </c>
      <c r="P46" s="83">
        <f t="shared" si="16"/>
        <v>50.914500000000004</v>
      </c>
      <c r="Q46" s="2"/>
      <c r="T46" s="93" t="s">
        <v>101</v>
      </c>
      <c r="U46" s="88" t="s">
        <v>536</v>
      </c>
      <c r="W46" s="133">
        <v>42524</v>
      </c>
      <c r="X46" s="10">
        <v>45.01</v>
      </c>
      <c r="Y46" s="10">
        <v>45.16</v>
      </c>
      <c r="Z46" s="10">
        <v>43.6</v>
      </c>
      <c r="AA46" s="10">
        <v>44.3</v>
      </c>
      <c r="AB46" s="95">
        <v>5639400</v>
      </c>
      <c r="AC46" s="10">
        <v>44.3</v>
      </c>
      <c r="AD46" s="2">
        <f t="shared" si="1"/>
        <v>1.5599999999999952</v>
      </c>
      <c r="AE46" s="138">
        <f t="shared" si="2"/>
        <v>-1.9260571175559127E-2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3">C47*(E47-D47)</f>
        <v>877.27999999999895</v>
      </c>
      <c r="G47" s="40">
        <f t="shared" ref="G47:G48" si="24">D47*C47</f>
        <v>17586.72</v>
      </c>
      <c r="H47" s="233">
        <f t="shared" ref="H47:H48" si="25">(E47-D47)/D47</f>
        <v>4.9883093606994312E-2</v>
      </c>
      <c r="I47" s="40"/>
      <c r="O47" s="83">
        <v>1.04</v>
      </c>
      <c r="P47" s="83">
        <f t="shared" si="16"/>
        <v>50.429600000000001</v>
      </c>
      <c r="Q47" s="2"/>
      <c r="T47" s="93" t="s">
        <v>102</v>
      </c>
      <c r="U47" s="88">
        <v>58.55</v>
      </c>
      <c r="W47" s="133">
        <v>42523</v>
      </c>
      <c r="X47" s="10">
        <v>44.92</v>
      </c>
      <c r="Y47" s="10">
        <v>45.59</v>
      </c>
      <c r="Z47" s="10">
        <v>44.86</v>
      </c>
      <c r="AA47" s="10">
        <v>45.17</v>
      </c>
      <c r="AB47" s="95">
        <v>3355300</v>
      </c>
      <c r="AC47" s="10">
        <v>45.17</v>
      </c>
      <c r="AD47" s="2">
        <f t="shared" si="1"/>
        <v>0.73000000000000398</v>
      </c>
      <c r="AE47" s="138">
        <f t="shared" si="2"/>
        <v>-1.7679558011048924E-3</v>
      </c>
    </row>
    <row r="48" spans="2:31" x14ac:dyDescent="0.25">
      <c r="B48" s="195">
        <v>42569</v>
      </c>
      <c r="C48" s="10">
        <v>360</v>
      </c>
      <c r="D48" s="40">
        <v>43.573300000000003</v>
      </c>
      <c r="E48" s="40">
        <v>47.71</v>
      </c>
      <c r="F48" s="40">
        <f t="shared" si="23"/>
        <v>1489.2119999999991</v>
      </c>
      <c r="G48" s="40">
        <f t="shared" si="24"/>
        <v>15686.388000000001</v>
      </c>
      <c r="H48" s="233">
        <f t="shared" si="25"/>
        <v>9.4936578133857141E-2</v>
      </c>
      <c r="I48" s="40"/>
      <c r="O48" s="83">
        <v>1.03</v>
      </c>
      <c r="P48" s="83">
        <f t="shared" si="16"/>
        <v>49.944700000000005</v>
      </c>
      <c r="Q48" s="2"/>
      <c r="T48" s="93" t="s">
        <v>103</v>
      </c>
      <c r="U48" s="88">
        <v>0.86960700000000002</v>
      </c>
      <c r="W48" s="133">
        <v>42522</v>
      </c>
      <c r="X48" s="10">
        <v>45.09</v>
      </c>
      <c r="Y48" s="10">
        <v>45.46</v>
      </c>
      <c r="Z48" s="10">
        <v>44.7</v>
      </c>
      <c r="AA48" s="10">
        <v>45.25</v>
      </c>
      <c r="AB48" s="95">
        <v>3982300</v>
      </c>
      <c r="AC48" s="10">
        <v>45.25</v>
      </c>
      <c r="AD48" s="2">
        <f t="shared" si="1"/>
        <v>0.75999999999999801</v>
      </c>
      <c r="AE48" s="138">
        <f t="shared" si="2"/>
        <v>3.5484586382790173E-3</v>
      </c>
    </row>
    <row r="49" spans="2:31" x14ac:dyDescent="0.25">
      <c r="B49" s="195">
        <v>42570</v>
      </c>
      <c r="C49" s="10">
        <v>360</v>
      </c>
      <c r="D49" s="40">
        <v>43.573300000000003</v>
      </c>
      <c r="E49" s="40">
        <v>47.85</v>
      </c>
      <c r="F49" s="40">
        <f t="shared" ref="F49" si="26">C49*(E49-D49)</f>
        <v>1539.6119999999994</v>
      </c>
      <c r="G49" s="40">
        <f t="shared" ref="G49" si="27">D49*C49</f>
        <v>15686.388000000001</v>
      </c>
      <c r="H49" s="233">
        <f t="shared" ref="H49" si="28">(E49-D49)/D49</f>
        <v>9.8149554887970336E-2</v>
      </c>
      <c r="I49" s="40"/>
      <c r="O49" s="83">
        <v>1.02</v>
      </c>
      <c r="P49" s="83">
        <f t="shared" si="16"/>
        <v>49.459800000000001</v>
      </c>
      <c r="Q49" s="2"/>
      <c r="T49" s="93" t="s">
        <v>123</v>
      </c>
      <c r="U49" s="88" t="s">
        <v>336</v>
      </c>
      <c r="W49" s="133">
        <v>42521</v>
      </c>
      <c r="X49" s="10">
        <v>45.13</v>
      </c>
      <c r="Y49" s="10">
        <v>45.3</v>
      </c>
      <c r="Z49" s="10">
        <v>44.3</v>
      </c>
      <c r="AA49" s="10">
        <v>45.09</v>
      </c>
      <c r="AB49" s="95">
        <v>6080900</v>
      </c>
      <c r="AC49" s="10">
        <v>45.09</v>
      </c>
      <c r="AD49" s="2">
        <f t="shared" si="1"/>
        <v>1</v>
      </c>
      <c r="AE49" s="138">
        <f t="shared" si="2"/>
        <v>-1.9920318725098474E-3</v>
      </c>
    </row>
    <row r="50" spans="2:31" x14ac:dyDescent="0.25">
      <c r="B50" s="195">
        <v>42571</v>
      </c>
      <c r="C50" s="10">
        <v>360</v>
      </c>
      <c r="D50" s="40">
        <v>43.573300000000003</v>
      </c>
      <c r="E50" s="40">
        <v>48.3</v>
      </c>
      <c r="F50" s="40">
        <f t="shared" ref="F50" si="29">C50*(E50-D50)</f>
        <v>1701.6119999999978</v>
      </c>
      <c r="G50" s="40">
        <f t="shared" ref="G50" si="30">D50*C50</f>
        <v>15686.388000000001</v>
      </c>
      <c r="H50" s="233">
        <f t="shared" ref="H50" si="31">(E50-D50)/D50</f>
        <v>0.10847698016904833</v>
      </c>
      <c r="I50" s="40"/>
      <c r="O50" s="83">
        <v>1.01</v>
      </c>
      <c r="P50" s="83">
        <f t="shared" si="16"/>
        <v>48.974900000000005</v>
      </c>
      <c r="Q50" s="2"/>
      <c r="T50" s="93"/>
      <c r="U50" s="88"/>
      <c r="W50" s="133">
        <v>42517</v>
      </c>
      <c r="X50" s="10">
        <v>44.56</v>
      </c>
      <c r="Y50" s="10">
        <v>45.46</v>
      </c>
      <c r="Z50" s="10">
        <v>44.53</v>
      </c>
      <c r="AA50" s="10">
        <v>45.18</v>
      </c>
      <c r="AB50" s="95">
        <v>3619400</v>
      </c>
      <c r="AC50" s="10">
        <v>45.18</v>
      </c>
      <c r="AD50" s="2">
        <f t="shared" si="1"/>
        <v>0.92999999999999972</v>
      </c>
      <c r="AE50" s="138">
        <f t="shared" si="2"/>
        <v>1.5280898876404381E-2</v>
      </c>
    </row>
    <row r="51" spans="2:31" x14ac:dyDescent="0.25">
      <c r="B51" s="195">
        <v>42572</v>
      </c>
      <c r="C51" s="10">
        <v>360</v>
      </c>
      <c r="D51" s="40">
        <v>43.573300000000003</v>
      </c>
      <c r="E51" s="40">
        <v>46.66</v>
      </c>
      <c r="F51" s="40">
        <f t="shared" ref="F51" si="32">C51*(E51-D51)</f>
        <v>1111.2119999999977</v>
      </c>
      <c r="G51" s="40">
        <f t="shared" ref="G51" si="33">D51*C51</f>
        <v>15686.388000000001</v>
      </c>
      <c r="H51" s="233">
        <f t="shared" ref="H51" si="34">(E51-D51)/D51</f>
        <v>7.0839252478008166E-2</v>
      </c>
      <c r="I51" s="40"/>
      <c r="O51" s="83">
        <v>1</v>
      </c>
      <c r="P51" s="83">
        <f t="shared" si="16"/>
        <v>48.49</v>
      </c>
      <c r="Q51" s="2"/>
      <c r="T51" s="93" t="s">
        <v>105</v>
      </c>
      <c r="U51" s="88" t="s">
        <v>537</v>
      </c>
      <c r="W51" s="133">
        <v>42516</v>
      </c>
      <c r="X51" s="10">
        <v>45.2</v>
      </c>
      <c r="Y51" s="10">
        <v>45.33</v>
      </c>
      <c r="Z51" s="10">
        <v>44.14</v>
      </c>
      <c r="AA51" s="10">
        <v>44.5</v>
      </c>
      <c r="AB51" s="95">
        <v>4891000</v>
      </c>
      <c r="AC51" s="10">
        <v>44.5</v>
      </c>
      <c r="AD51" s="2">
        <f t="shared" si="1"/>
        <v>1.1899999999999977</v>
      </c>
      <c r="AE51" s="138">
        <f t="shared" si="2"/>
        <v>-1.3959672058497685E-2</v>
      </c>
    </row>
    <row r="52" spans="2:31" x14ac:dyDescent="0.25">
      <c r="B52" s="195">
        <v>42575</v>
      </c>
      <c r="C52" s="10">
        <v>360</v>
      </c>
      <c r="D52" s="40">
        <v>43.573300000000003</v>
      </c>
      <c r="E52" s="40">
        <v>47.57</v>
      </c>
      <c r="F52" s="40">
        <f t="shared" ref="F52" si="35">C52*(E52-D52)</f>
        <v>1438.811999999999</v>
      </c>
      <c r="G52" s="40">
        <f t="shared" ref="G52" si="36">D52*C52</f>
        <v>15686.388000000001</v>
      </c>
      <c r="H52" s="233">
        <f t="shared" ref="H52" si="37">(E52-D52)/D52</f>
        <v>9.1723601379743946E-2</v>
      </c>
      <c r="I52" s="40"/>
      <c r="O52" s="83">
        <v>0.99</v>
      </c>
      <c r="P52" s="83">
        <f t="shared" si="16"/>
        <v>48.005099999999999</v>
      </c>
      <c r="Q52" s="2"/>
      <c r="T52" s="93" t="s">
        <v>106</v>
      </c>
      <c r="U52" s="88" t="s">
        <v>313</v>
      </c>
      <c r="W52" s="133">
        <v>42515</v>
      </c>
      <c r="X52" s="10">
        <v>45.12</v>
      </c>
      <c r="Y52" s="10">
        <v>45.94</v>
      </c>
      <c r="Z52" s="10">
        <v>45.07</v>
      </c>
      <c r="AA52" s="10">
        <v>45.13</v>
      </c>
      <c r="AB52" s="95">
        <v>3650300</v>
      </c>
      <c r="AC52" s="10">
        <v>45.13</v>
      </c>
      <c r="AD52" s="2">
        <f t="shared" si="1"/>
        <v>0.86999999999999744</v>
      </c>
      <c r="AE52" s="138">
        <f t="shared" si="2"/>
        <v>3.1118026228049711E-3</v>
      </c>
    </row>
    <row r="53" spans="2:31" x14ac:dyDescent="0.25">
      <c r="B53" s="195">
        <v>42576</v>
      </c>
      <c r="C53" s="10">
        <v>360</v>
      </c>
      <c r="D53" s="40">
        <v>43.573300000000003</v>
      </c>
      <c r="E53" s="40">
        <v>46.89</v>
      </c>
      <c r="F53" s="40">
        <f t="shared" ref="F53" si="38">C53*(E53-D53)</f>
        <v>1194.011999999999</v>
      </c>
      <c r="G53" s="40">
        <f t="shared" ref="G53" si="39">D53*C53</f>
        <v>15686.388000000001</v>
      </c>
      <c r="H53" s="233">
        <f t="shared" ref="H53" si="40">(E53-D53)/D53</f>
        <v>7.6117714288337052E-2</v>
      </c>
      <c r="I53" s="40"/>
      <c r="O53" s="83">
        <v>0.98</v>
      </c>
      <c r="P53" s="83">
        <f t="shared" si="16"/>
        <v>47.520200000000003</v>
      </c>
      <c r="Q53" s="2"/>
      <c r="T53" s="93" t="s">
        <v>107</v>
      </c>
      <c r="U53" s="90">
        <v>5994981</v>
      </c>
      <c r="W53" s="133">
        <v>42514</v>
      </c>
      <c r="X53" s="10">
        <v>44.46</v>
      </c>
      <c r="Y53" s="10">
        <v>45.08</v>
      </c>
      <c r="Z53" s="10">
        <v>44.39</v>
      </c>
      <c r="AA53" s="10">
        <v>44.99</v>
      </c>
      <c r="AB53" s="95">
        <v>3703300</v>
      </c>
      <c r="AC53" s="10">
        <v>44.99</v>
      </c>
      <c r="AD53" s="2">
        <f t="shared" si="1"/>
        <v>0.68999999999999773</v>
      </c>
      <c r="AE53" s="138">
        <f t="shared" si="2"/>
        <v>1.7873303167420751E-2</v>
      </c>
    </row>
    <row r="54" spans="2:31" x14ac:dyDescent="0.25">
      <c r="B54" s="195">
        <v>42577</v>
      </c>
      <c r="C54" s="10">
        <v>360</v>
      </c>
      <c r="D54" s="40">
        <v>43.573300000000003</v>
      </c>
      <c r="E54" s="40">
        <v>47.73</v>
      </c>
      <c r="F54" s="40">
        <f t="shared" ref="F54" si="41">C54*(E54-D54)</f>
        <v>1496.4119999999978</v>
      </c>
      <c r="G54" s="40">
        <f t="shared" ref="G54" si="42">D54*C54</f>
        <v>15686.388000000001</v>
      </c>
      <c r="H54" s="233">
        <f t="shared" ref="H54" si="43">(E54-D54)/D54</f>
        <v>9.5395574813016068E-2</v>
      </c>
      <c r="I54" s="40"/>
      <c r="O54" s="83">
        <v>0.97</v>
      </c>
      <c r="P54" s="83">
        <f t="shared" si="16"/>
        <v>47.035299999999999</v>
      </c>
      <c r="T54" s="93" t="s">
        <v>110</v>
      </c>
      <c r="U54" s="90">
        <v>5667810</v>
      </c>
      <c r="W54" s="133">
        <v>42513</v>
      </c>
      <c r="X54" s="10">
        <v>44.54</v>
      </c>
      <c r="Y54" s="10">
        <v>45</v>
      </c>
      <c r="Z54" s="10">
        <v>44.15</v>
      </c>
      <c r="AA54" s="10">
        <v>44.2</v>
      </c>
      <c r="AB54" s="95">
        <v>3745500</v>
      </c>
      <c r="AC54" s="10">
        <v>44.2</v>
      </c>
      <c r="AD54" s="2">
        <f t="shared" si="1"/>
        <v>0.85000000000000142</v>
      </c>
      <c r="AE54" s="138">
        <f t="shared" si="2"/>
        <v>-6.5183187233085471E-3</v>
      </c>
    </row>
    <row r="55" spans="2:31" x14ac:dyDescent="0.25">
      <c r="B55" s="195">
        <v>42580</v>
      </c>
      <c r="C55" s="10">
        <v>360</v>
      </c>
      <c r="D55" s="40">
        <v>43.573300000000003</v>
      </c>
      <c r="E55" s="40">
        <v>46.89</v>
      </c>
      <c r="F55" s="40">
        <f t="shared" ref="F55" si="44">C55*(E55-D55)</f>
        <v>1194.011999999999</v>
      </c>
      <c r="G55" s="40">
        <f t="shared" ref="G55" si="45">D55*C55</f>
        <v>15686.388000000001</v>
      </c>
      <c r="H55" s="233">
        <f t="shared" ref="H55" si="46">(E55-D55)/D55</f>
        <v>7.6117714288337052E-2</v>
      </c>
      <c r="I55" s="40"/>
      <c r="O55" s="83">
        <v>0.96</v>
      </c>
      <c r="P55" s="83">
        <f t="shared" si="16"/>
        <v>46.550400000000003</v>
      </c>
      <c r="T55" s="93" t="s">
        <v>108</v>
      </c>
      <c r="U55" s="88" t="s">
        <v>538</v>
      </c>
      <c r="W55" s="133">
        <v>42510</v>
      </c>
      <c r="X55" s="10">
        <v>44.39</v>
      </c>
      <c r="Y55" s="10">
        <v>45.29</v>
      </c>
      <c r="Z55" s="10">
        <v>44.22</v>
      </c>
      <c r="AA55" s="10">
        <v>44.49</v>
      </c>
      <c r="AB55" s="95">
        <v>3281500</v>
      </c>
      <c r="AC55" s="10">
        <v>44.49</v>
      </c>
      <c r="AD55" s="2">
        <f t="shared" si="1"/>
        <v>1.0700000000000003</v>
      </c>
      <c r="AE55" s="138">
        <f t="shared" si="2"/>
        <v>1.0906612133606108E-2</v>
      </c>
    </row>
    <row r="56" spans="2:31" x14ac:dyDescent="0.25">
      <c r="B56" s="195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7">C56*(E56-D56)</f>
        <v>297.61199999999832</v>
      </c>
      <c r="G56" s="40">
        <f t="shared" ref="G56:G57" si="48">D56*C56</f>
        <v>15686.388000000001</v>
      </c>
      <c r="H56" s="233">
        <f t="shared" ref="H56:H57" si="49">(E56-D56)/D56</f>
        <v>1.8972627733038244E-2</v>
      </c>
      <c r="I56" s="40"/>
      <c r="O56" s="83">
        <v>0.95</v>
      </c>
      <c r="P56" s="83">
        <f t="shared" si="16"/>
        <v>46.0655</v>
      </c>
      <c r="T56" s="93" t="s">
        <v>111</v>
      </c>
      <c r="U56" s="88">
        <v>2.65</v>
      </c>
      <c r="W56" s="133">
        <v>42509</v>
      </c>
      <c r="X56" s="10">
        <v>44.73</v>
      </c>
      <c r="Y56" s="10">
        <v>45.29</v>
      </c>
      <c r="Z56" s="10">
        <v>43.65</v>
      </c>
      <c r="AA56" s="10">
        <v>44.01</v>
      </c>
      <c r="AB56" s="95">
        <v>5576300</v>
      </c>
      <c r="AC56" s="10">
        <v>44.01</v>
      </c>
      <c r="AD56" s="2">
        <f t="shared" si="1"/>
        <v>1.6400000000000006</v>
      </c>
      <c r="AE56" s="138">
        <f t="shared" si="2"/>
        <v>-2.7833001988071704E-2</v>
      </c>
    </row>
    <row r="57" spans="2:31" x14ac:dyDescent="0.25">
      <c r="B57" s="195">
        <v>42587</v>
      </c>
      <c r="C57" s="7">
        <v>150</v>
      </c>
      <c r="D57" s="44">
        <v>37.965299999999999</v>
      </c>
      <c r="E57" s="40">
        <v>47.24</v>
      </c>
      <c r="F57" s="40">
        <f t="shared" si="47"/>
        <v>1391.2050000000004</v>
      </c>
      <c r="G57" s="40">
        <f t="shared" si="48"/>
        <v>5694.7950000000001</v>
      </c>
      <c r="H57" s="233">
        <f t="shared" si="49"/>
        <v>0.24429413174662135</v>
      </c>
      <c r="I57" s="40"/>
      <c r="O57" s="83">
        <v>0.94</v>
      </c>
      <c r="P57" s="83">
        <f t="shared" si="16"/>
        <v>45.580599999999997</v>
      </c>
      <c r="T57" s="93" t="s">
        <v>112</v>
      </c>
      <c r="U57" s="88">
        <v>18.3</v>
      </c>
      <c r="W57" s="133">
        <v>42508</v>
      </c>
      <c r="X57" s="10">
        <v>44.91</v>
      </c>
      <c r="Y57" s="10">
        <v>46.28</v>
      </c>
      <c r="Z57" s="10">
        <v>44.83</v>
      </c>
      <c r="AA57" s="10">
        <v>45.27</v>
      </c>
      <c r="AB57" s="95">
        <v>4480400</v>
      </c>
      <c r="AC57" s="10">
        <v>45.27</v>
      </c>
      <c r="AD57" s="2">
        <f t="shared" si="1"/>
        <v>1.4500000000000028</v>
      </c>
      <c r="AE57" s="138">
        <f t="shared" si="2"/>
        <v>4.8834628190901341E-3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6"/>
        <v>45.095700000000001</v>
      </c>
      <c r="T58" s="93" t="s">
        <v>109</v>
      </c>
      <c r="U58" s="88" t="s">
        <v>124</v>
      </c>
      <c r="W58" s="133">
        <v>42507</v>
      </c>
      <c r="X58" s="10">
        <v>44.35</v>
      </c>
      <c r="Y58" s="10">
        <v>46.08</v>
      </c>
      <c r="Z58" s="10">
        <v>44.32</v>
      </c>
      <c r="AA58" s="10">
        <v>45.05</v>
      </c>
      <c r="AB58" s="95">
        <v>5917900</v>
      </c>
      <c r="AC58" s="10">
        <v>45.05</v>
      </c>
      <c r="AD58" s="2">
        <f t="shared" si="1"/>
        <v>1.759999999999998</v>
      </c>
      <c r="AE58" s="138">
        <f t="shared" si="2"/>
        <v>1.0316214397846801E-2</v>
      </c>
    </row>
    <row r="59" spans="2:31" x14ac:dyDescent="0.25">
      <c r="B59" s="195"/>
      <c r="C59" s="10"/>
      <c r="D59" s="40"/>
      <c r="E59" s="40"/>
      <c r="F59" s="40"/>
      <c r="G59" s="40"/>
      <c r="H59" s="233"/>
      <c r="I59" s="40"/>
      <c r="O59" s="83">
        <v>0.92</v>
      </c>
      <c r="P59" s="83">
        <f t="shared" si="16"/>
        <v>44.610800000000005</v>
      </c>
      <c r="W59" s="133">
        <v>42506</v>
      </c>
      <c r="X59" s="10">
        <v>44.32</v>
      </c>
      <c r="Y59" s="10">
        <v>44.87</v>
      </c>
      <c r="Z59" s="10">
        <v>43.51</v>
      </c>
      <c r="AA59" s="10">
        <v>44.59</v>
      </c>
      <c r="AB59" s="95">
        <v>6079200</v>
      </c>
      <c r="AC59" s="10">
        <v>44.59</v>
      </c>
      <c r="AD59" s="2">
        <f t="shared" si="1"/>
        <v>1.3599999999999994</v>
      </c>
      <c r="AE59" s="138">
        <f t="shared" si="2"/>
        <v>1.7107664233576569E-2</v>
      </c>
    </row>
    <row r="60" spans="2:31" x14ac:dyDescent="0.25">
      <c r="B60" s="195"/>
      <c r="C60" s="10"/>
      <c r="D60" s="40"/>
      <c r="E60" s="40"/>
      <c r="F60" s="40"/>
      <c r="G60" s="40"/>
      <c r="H60" s="233"/>
      <c r="I60" s="40"/>
      <c r="O60" s="83">
        <v>0.91</v>
      </c>
      <c r="P60" s="83">
        <f t="shared" si="16"/>
        <v>44.125900000000001</v>
      </c>
      <c r="W60" s="133">
        <v>42503</v>
      </c>
      <c r="X60" s="10">
        <v>43.7</v>
      </c>
      <c r="Y60" s="10">
        <v>44.94</v>
      </c>
      <c r="Z60" s="10">
        <v>43.62</v>
      </c>
      <c r="AA60" s="10">
        <v>43.84</v>
      </c>
      <c r="AB60" s="95">
        <v>5766500</v>
      </c>
      <c r="AC60" s="10">
        <v>43.84</v>
      </c>
      <c r="AD60" s="2">
        <f t="shared" si="1"/>
        <v>1.3200000000000003</v>
      </c>
      <c r="AE60" s="138">
        <f t="shared" si="2"/>
        <v>1.3704888076748745E-3</v>
      </c>
    </row>
    <row r="61" spans="2:31" x14ac:dyDescent="0.25">
      <c r="B61" s="195"/>
      <c r="C61" s="10"/>
      <c r="D61" s="40"/>
      <c r="E61" s="40"/>
      <c r="F61" s="40"/>
      <c r="G61" s="40"/>
      <c r="H61" s="233"/>
      <c r="I61" s="40"/>
      <c r="O61" s="83">
        <v>0.9</v>
      </c>
      <c r="P61" s="83">
        <f t="shared" si="16"/>
        <v>43.641000000000005</v>
      </c>
      <c r="W61" s="133">
        <v>42502</v>
      </c>
      <c r="X61" s="10">
        <v>46.03</v>
      </c>
      <c r="Y61" s="10">
        <v>46.03</v>
      </c>
      <c r="Z61" s="10">
        <v>43.33</v>
      </c>
      <c r="AA61" s="10">
        <v>43.78</v>
      </c>
      <c r="AB61" s="95">
        <v>7912300</v>
      </c>
      <c r="AC61" s="10">
        <v>43.78</v>
      </c>
      <c r="AD61" s="2">
        <f t="shared" si="1"/>
        <v>2.7000000000000028</v>
      </c>
      <c r="AE61" s="138">
        <f t="shared" si="2"/>
        <v>-4.4104803493449696E-2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W62" s="133">
        <v>42501</v>
      </c>
      <c r="X62" s="10">
        <v>46.73</v>
      </c>
      <c r="Y62" s="10">
        <v>47.4</v>
      </c>
      <c r="Z62" s="10">
        <v>45.79</v>
      </c>
      <c r="AA62" s="10">
        <v>45.8</v>
      </c>
      <c r="AB62" s="95">
        <v>5069300</v>
      </c>
      <c r="AC62" s="10">
        <v>45.8</v>
      </c>
      <c r="AD62" s="2">
        <f t="shared" si="1"/>
        <v>1.6099999999999994</v>
      </c>
      <c r="AE62" s="138">
        <f t="shared" si="2"/>
        <v>-2.5531914893617058E-2</v>
      </c>
    </row>
    <row r="63" spans="2:31" x14ac:dyDescent="0.25">
      <c r="W63" s="133">
        <v>42500</v>
      </c>
      <c r="X63" s="10">
        <v>46.07</v>
      </c>
      <c r="Y63" s="10">
        <v>47.12</v>
      </c>
      <c r="Z63" s="10">
        <v>45.79</v>
      </c>
      <c r="AA63" s="10">
        <v>47</v>
      </c>
      <c r="AB63" s="95">
        <v>4796800</v>
      </c>
      <c r="AC63" s="10">
        <v>47</v>
      </c>
      <c r="AD63" s="2">
        <f t="shared" si="1"/>
        <v>1.3299999999999983</v>
      </c>
      <c r="AE63" s="138">
        <f t="shared" si="2"/>
        <v>2.8221395755852141E-2</v>
      </c>
    </row>
    <row r="64" spans="2:31" x14ac:dyDescent="0.25">
      <c r="W64" s="133">
        <v>42499</v>
      </c>
      <c r="X64" s="10">
        <v>45.88</v>
      </c>
      <c r="Y64" s="10">
        <v>46.81</v>
      </c>
      <c r="Z64" s="10">
        <v>45.68</v>
      </c>
      <c r="AA64" s="10">
        <v>45.71</v>
      </c>
      <c r="AB64" s="95">
        <v>4617200</v>
      </c>
      <c r="AC64" s="10">
        <v>45.71</v>
      </c>
      <c r="AD64" s="2">
        <f t="shared" si="1"/>
        <v>1.1300000000000026</v>
      </c>
      <c r="AE64" s="138">
        <f t="shared" si="2"/>
        <v>2.1881838074389037E-4</v>
      </c>
    </row>
    <row r="65" spans="23:31" x14ac:dyDescent="0.25">
      <c r="W65" s="133">
        <v>42496</v>
      </c>
      <c r="X65" s="10">
        <v>44.8</v>
      </c>
      <c r="Y65" s="10">
        <v>45.73</v>
      </c>
      <c r="Z65" s="10">
        <v>44.01</v>
      </c>
      <c r="AA65" s="10">
        <v>45.7</v>
      </c>
      <c r="AB65" s="95">
        <v>9247300</v>
      </c>
      <c r="AC65" s="10">
        <v>45.7</v>
      </c>
      <c r="AD65" s="2">
        <f t="shared" si="1"/>
        <v>1.7199999999999989</v>
      </c>
      <c r="AE65" s="138">
        <f t="shared" si="2"/>
        <v>1.5781284729940115E-2</v>
      </c>
    </row>
    <row r="66" spans="23:31" x14ac:dyDescent="0.25">
      <c r="W66" s="133">
        <v>42495</v>
      </c>
      <c r="X66" s="10">
        <v>45.6</v>
      </c>
      <c r="Y66" s="10">
        <v>46.07</v>
      </c>
      <c r="Z66" s="10">
        <v>44.96</v>
      </c>
      <c r="AA66" s="10">
        <v>44.99</v>
      </c>
      <c r="AB66" s="95">
        <v>6037400</v>
      </c>
      <c r="AC66" s="10">
        <v>44.99</v>
      </c>
      <c r="AD66" s="2">
        <f t="shared" si="1"/>
        <v>1.1099999999999994</v>
      </c>
      <c r="AE66" s="138">
        <f t="shared" si="2"/>
        <v>-1.2294182217343463E-2</v>
      </c>
    </row>
    <row r="67" spans="23:31" x14ac:dyDescent="0.25">
      <c r="W67" s="133">
        <v>42494</v>
      </c>
      <c r="X67" s="10">
        <v>46.71</v>
      </c>
      <c r="Y67" s="10">
        <v>46.76</v>
      </c>
      <c r="Z67" s="10">
        <v>45.15</v>
      </c>
      <c r="AA67" s="10">
        <v>45.55</v>
      </c>
      <c r="AB67" s="95">
        <v>6732700</v>
      </c>
      <c r="AC67" s="10">
        <v>45.55</v>
      </c>
      <c r="AD67" s="2">
        <f>Y67-Z67</f>
        <v>1.6099999999999994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3" priority="15">
      <formula>F29&gt;0</formula>
    </cfRule>
    <cfRule type="expression" dxfId="162" priority="16">
      <formula>F29&lt;0</formula>
    </cfRule>
  </conditionalFormatting>
  <conditionalFormatting sqref="F34:F62">
    <cfRule type="expression" dxfId="161" priority="11">
      <formula>F34&gt;0</formula>
    </cfRule>
    <cfRule type="expression" dxfId="160" priority="12">
      <formula>F34&lt;0</formula>
    </cfRule>
  </conditionalFormatting>
  <conditionalFormatting sqref="F34:F62">
    <cfRule type="expression" dxfId="159" priority="13">
      <formula>F34&gt;0</formula>
    </cfRule>
    <cfRule type="expression" dxfId="158" priority="14">
      <formula>F34&lt;0</formula>
    </cfRule>
  </conditionalFormatting>
  <conditionalFormatting sqref="H29:H62">
    <cfRule type="expression" dxfId="157" priority="9">
      <formula>H29&gt;0</formula>
    </cfRule>
    <cfRule type="expression" dxfId="156" priority="10">
      <formula>H29&lt;0</formula>
    </cfRule>
  </conditionalFormatting>
  <conditionalFormatting sqref="F25:F28">
    <cfRule type="expression" dxfId="155" priority="7">
      <formula>F25&gt;0</formula>
    </cfRule>
    <cfRule type="expression" dxfId="154" priority="8">
      <formula>F25&lt;0</formula>
    </cfRule>
  </conditionalFormatting>
  <conditionalFormatting sqref="H25:H28">
    <cfRule type="expression" dxfId="153" priority="5">
      <formula>H25&gt;0</formula>
    </cfRule>
    <cfRule type="expression" dxfId="152" priority="6">
      <formula>H25&lt;0</formula>
    </cfRule>
  </conditionalFormatting>
  <conditionalFormatting sqref="Q7">
    <cfRule type="expression" dxfId="151" priority="3">
      <formula>Q7&gt;0</formula>
    </cfRule>
    <cfRule type="expression" dxfId="150" priority="4">
      <formula>Q7&lt;0</formula>
    </cfRule>
  </conditionalFormatting>
  <conditionalFormatting sqref="Q8">
    <cfRule type="expression" dxfId="149" priority="1">
      <formula>Q8&gt;0</formula>
    </cfRule>
    <cfRule type="expression" dxfId="1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 t="s">
        <v>215</v>
      </c>
      <c r="W2" s="133">
        <v>42587</v>
      </c>
      <c r="X2" s="10">
        <v>84</v>
      </c>
      <c r="Y2" s="10">
        <v>84.74</v>
      </c>
      <c r="Z2" s="10">
        <v>83.69</v>
      </c>
      <c r="AA2" s="10">
        <v>84.36</v>
      </c>
      <c r="AB2" s="95">
        <v>1470000</v>
      </c>
      <c r="AC2" s="10">
        <v>84.36</v>
      </c>
      <c r="AD2" s="2">
        <f>Y2-Z2</f>
        <v>1.0499999999999972</v>
      </c>
      <c r="AE2" s="138">
        <f>AC2/AC3-1</f>
        <v>9.3323761665471405E-3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83.78</v>
      </c>
      <c r="T3" s="1" t="s">
        <v>217</v>
      </c>
      <c r="W3" s="133">
        <v>42586</v>
      </c>
      <c r="X3" s="10">
        <v>84.52</v>
      </c>
      <c r="Y3" s="10">
        <v>84.8</v>
      </c>
      <c r="Z3" s="10">
        <v>83.51</v>
      </c>
      <c r="AA3" s="10">
        <v>83.58</v>
      </c>
      <c r="AB3" s="95">
        <v>1793500</v>
      </c>
      <c r="AC3" s="10">
        <v>83.58</v>
      </c>
      <c r="AD3" s="2">
        <f t="shared" ref="AD3:AD66" si="0">Y3-Z3</f>
        <v>1.289999999999992</v>
      </c>
      <c r="AE3" s="138">
        <f t="shared" ref="AE3:AE66" si="1">AC3/AC4-1</f>
        <v>-1.2523629489603061E-2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83.78</v>
      </c>
      <c r="T4" s="163"/>
      <c r="U4" s="1"/>
      <c r="W4" s="133">
        <v>42585</v>
      </c>
      <c r="X4" s="10">
        <v>84.74</v>
      </c>
      <c r="Y4" s="10">
        <v>84.9</v>
      </c>
      <c r="Z4" s="10">
        <v>83.24</v>
      </c>
      <c r="AA4" s="10">
        <v>84.64</v>
      </c>
      <c r="AB4" s="95">
        <v>2616500</v>
      </c>
      <c r="AC4" s="10">
        <v>84.64</v>
      </c>
      <c r="AD4" s="2">
        <f t="shared" si="0"/>
        <v>1.6600000000000108</v>
      </c>
      <c r="AE4" s="138">
        <f t="shared" si="1"/>
        <v>-3.2972209138012465E-3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42584</v>
      </c>
      <c r="X5" s="10">
        <v>83.04</v>
      </c>
      <c r="Y5" s="10">
        <v>85.52</v>
      </c>
      <c r="Z5" s="10">
        <v>82.01</v>
      </c>
      <c r="AA5" s="10">
        <v>84.92</v>
      </c>
      <c r="AB5" s="95">
        <v>4813800</v>
      </c>
      <c r="AC5" s="10">
        <v>84.92</v>
      </c>
      <c r="AD5" s="2">
        <f t="shared" si="0"/>
        <v>3.5099999999999909</v>
      </c>
      <c r="AE5" s="138">
        <f t="shared" si="1"/>
        <v>3.0457468753792183E-2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42583</v>
      </c>
      <c r="X6" s="10">
        <v>83.21</v>
      </c>
      <c r="Y6" s="10">
        <v>83.89</v>
      </c>
      <c r="Z6" s="10">
        <v>82.1</v>
      </c>
      <c r="AA6" s="10">
        <v>82.41</v>
      </c>
      <c r="AB6" s="95">
        <v>4588000</v>
      </c>
      <c r="AC6" s="10">
        <v>82.41</v>
      </c>
      <c r="AD6" s="2">
        <f t="shared" si="0"/>
        <v>1.7900000000000063</v>
      </c>
      <c r="AE6" s="138">
        <f t="shared" si="1"/>
        <v>-1.4234449760765489E-2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188</v>
      </c>
      <c r="Q7" s="2">
        <f>Q10+Q8</f>
        <v>490.94999999999891</v>
      </c>
      <c r="R7">
        <v>0</v>
      </c>
      <c r="W7" s="133">
        <v>42580</v>
      </c>
      <c r="X7" s="10">
        <v>82.6</v>
      </c>
      <c r="Y7" s="10">
        <v>83.74</v>
      </c>
      <c r="Z7" s="10">
        <v>82.45</v>
      </c>
      <c r="AA7" s="10">
        <v>83.6</v>
      </c>
      <c r="AB7" s="95">
        <v>2727100</v>
      </c>
      <c r="AC7" s="10">
        <v>83.6</v>
      </c>
      <c r="AD7" s="2">
        <f t="shared" si="0"/>
        <v>1.289999999999992</v>
      </c>
      <c r="AE7" s="138">
        <f t="shared" si="1"/>
        <v>1.2596899224806002E-2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83.12</v>
      </c>
      <c r="Y8" s="10">
        <v>83.23</v>
      </c>
      <c r="Z8" s="10">
        <v>82.18</v>
      </c>
      <c r="AA8" s="10">
        <v>82.56</v>
      </c>
      <c r="AB8" s="95">
        <v>3311700</v>
      </c>
      <c r="AC8" s="10">
        <v>82.56</v>
      </c>
      <c r="AD8" s="2">
        <f t="shared" si="0"/>
        <v>1.0499999999999972</v>
      </c>
      <c r="AE8" s="138">
        <f t="shared" si="1"/>
        <v>-9.3592512598992261E-3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83.5</v>
      </c>
      <c r="Y9" s="10">
        <v>83.64</v>
      </c>
      <c r="Z9" s="10">
        <v>82.88</v>
      </c>
      <c r="AA9" s="10">
        <v>83.34</v>
      </c>
      <c r="AB9" s="95">
        <v>1688700</v>
      </c>
      <c r="AC9" s="10">
        <v>83.34</v>
      </c>
      <c r="AD9" s="2">
        <f t="shared" si="0"/>
        <v>0.76000000000000512</v>
      </c>
      <c r="AE9" s="138">
        <f t="shared" si="1"/>
        <v>-3.5868005738880493E-3</v>
      </c>
    </row>
    <row r="10" spans="1:31" x14ac:dyDescent="0.25">
      <c r="H10" s="72"/>
      <c r="O10" s="11" t="s">
        <v>230</v>
      </c>
      <c r="P10" s="34"/>
      <c r="Q10" s="2">
        <f>M63</f>
        <v>490.94999999999891</v>
      </c>
      <c r="W10" s="133">
        <v>42577</v>
      </c>
      <c r="X10" s="10">
        <v>82.81</v>
      </c>
      <c r="Y10" s="10">
        <v>83.66</v>
      </c>
      <c r="Z10" s="10">
        <v>82.68</v>
      </c>
      <c r="AA10" s="10">
        <v>83.64</v>
      </c>
      <c r="AB10" s="95">
        <v>1510000</v>
      </c>
      <c r="AC10" s="10">
        <v>83.64</v>
      </c>
      <c r="AD10" s="2">
        <f t="shared" si="0"/>
        <v>0.97999999999998977</v>
      </c>
      <c r="AE10" s="138">
        <f t="shared" si="1"/>
        <v>9.413468501086264E-3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2.1299999999999999E-2</v>
      </c>
      <c r="W11" s="133">
        <v>42576</v>
      </c>
      <c r="X11" s="10">
        <v>82.85</v>
      </c>
      <c r="Y11" s="10">
        <v>82.99</v>
      </c>
      <c r="Z11" s="10">
        <v>82.04</v>
      </c>
      <c r="AA11" s="10">
        <v>82.86</v>
      </c>
      <c r="AB11" s="95">
        <v>1336800</v>
      </c>
      <c r="AC11" s="10">
        <v>82.86</v>
      </c>
      <c r="AD11" s="2">
        <f t="shared" si="0"/>
        <v>0.94999999999998863</v>
      </c>
      <c r="AE11" s="138">
        <f t="shared" si="1"/>
        <v>-1.5664537896131758E-3</v>
      </c>
    </row>
    <row r="12" spans="1:31" x14ac:dyDescent="0.25">
      <c r="H12" s="72"/>
      <c r="W12" s="133">
        <v>42573</v>
      </c>
      <c r="X12" s="10">
        <v>82.91</v>
      </c>
      <c r="Y12" s="10">
        <v>83.14</v>
      </c>
      <c r="Z12" s="10">
        <v>82.57</v>
      </c>
      <c r="AA12" s="10">
        <v>82.99</v>
      </c>
      <c r="AB12" s="95">
        <v>1253300</v>
      </c>
      <c r="AC12" s="10">
        <v>82.99</v>
      </c>
      <c r="AD12" s="2">
        <f t="shared" si="0"/>
        <v>0.57000000000000739</v>
      </c>
      <c r="AE12" s="138">
        <f t="shared" si="1"/>
        <v>4.5999273695678244E-3</v>
      </c>
    </row>
    <row r="13" spans="1:31" x14ac:dyDescent="0.25">
      <c r="H13" s="72"/>
      <c r="W13" s="133">
        <v>42572</v>
      </c>
      <c r="X13" s="10">
        <v>83.24</v>
      </c>
      <c r="Y13" s="10">
        <v>83.55</v>
      </c>
      <c r="Z13" s="10">
        <v>82.27</v>
      </c>
      <c r="AA13" s="10">
        <v>82.61</v>
      </c>
      <c r="AB13" s="95">
        <v>1772100</v>
      </c>
      <c r="AC13" s="10">
        <v>82.61</v>
      </c>
      <c r="AD13" s="2">
        <f t="shared" si="0"/>
        <v>1.2800000000000011</v>
      </c>
      <c r="AE13" s="138">
        <f t="shared" si="1"/>
        <v>-8.1642454076120696E-3</v>
      </c>
    </row>
    <row r="14" spans="1:31" x14ac:dyDescent="0.25">
      <c r="H14" s="72"/>
      <c r="W14" s="133">
        <v>42571</v>
      </c>
      <c r="X14" s="10">
        <v>82.93</v>
      </c>
      <c r="Y14" s="10">
        <v>83.54</v>
      </c>
      <c r="Z14" s="10">
        <v>82.57</v>
      </c>
      <c r="AA14" s="10">
        <v>83.29</v>
      </c>
      <c r="AB14" s="95">
        <v>1300800</v>
      </c>
      <c r="AC14" s="10">
        <v>83.29</v>
      </c>
      <c r="AD14" s="2">
        <f t="shared" si="0"/>
        <v>0.97000000000001307</v>
      </c>
      <c r="AE14" s="138">
        <f t="shared" si="1"/>
        <v>5.6749577396766338E-3</v>
      </c>
    </row>
    <row r="15" spans="1:31" x14ac:dyDescent="0.25">
      <c r="H15" s="72"/>
      <c r="W15" s="133">
        <v>42570</v>
      </c>
      <c r="X15" s="10">
        <v>82.94</v>
      </c>
      <c r="Y15" s="10">
        <v>83.5</v>
      </c>
      <c r="Z15" s="10">
        <v>82.38</v>
      </c>
      <c r="AA15" s="10">
        <v>82.82</v>
      </c>
      <c r="AB15" s="95">
        <v>1739100</v>
      </c>
      <c r="AC15" s="10">
        <v>82.82</v>
      </c>
      <c r="AD15" s="2">
        <f t="shared" si="0"/>
        <v>1.1200000000000045</v>
      </c>
      <c r="AE15" s="138">
        <f t="shared" si="1"/>
        <v>-4.6869366662660727E-3</v>
      </c>
    </row>
    <row r="16" spans="1:31" x14ac:dyDescent="0.25">
      <c r="H16" s="72"/>
      <c r="W16" s="133">
        <v>42569</v>
      </c>
      <c r="X16" s="10">
        <v>82.5</v>
      </c>
      <c r="Y16" s="10">
        <v>83.32</v>
      </c>
      <c r="Z16" s="10">
        <v>82.29</v>
      </c>
      <c r="AA16" s="10">
        <v>83.21</v>
      </c>
      <c r="AB16" s="95">
        <v>1587700</v>
      </c>
      <c r="AC16" s="10">
        <v>83.21</v>
      </c>
      <c r="AD16" s="2">
        <f t="shared" si="0"/>
        <v>1.0299999999999869</v>
      </c>
      <c r="AE16" s="138">
        <f t="shared" si="1"/>
        <v>1.0320543953375338E-2</v>
      </c>
    </row>
    <row r="17" spans="1:31" x14ac:dyDescent="0.25">
      <c r="H17" s="72"/>
      <c r="W17" s="133">
        <v>42566</v>
      </c>
      <c r="X17" s="10">
        <v>83.02</v>
      </c>
      <c r="Y17" s="10">
        <v>83.28</v>
      </c>
      <c r="Z17" s="10">
        <v>82.12</v>
      </c>
      <c r="AA17" s="10">
        <v>82.36</v>
      </c>
      <c r="AB17" s="95">
        <v>2379200</v>
      </c>
      <c r="AC17" s="10">
        <v>82.36</v>
      </c>
      <c r="AD17" s="2">
        <f t="shared" si="0"/>
        <v>1.1599999999999966</v>
      </c>
      <c r="AE17" s="138">
        <f t="shared" si="1"/>
        <v>-7.3520549596239881E-3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42565</v>
      </c>
      <c r="X18" s="10">
        <v>82.76</v>
      </c>
      <c r="Y18" s="10">
        <v>83.42</v>
      </c>
      <c r="Z18" s="10">
        <v>82.54</v>
      </c>
      <c r="AA18" s="10">
        <v>82.97</v>
      </c>
      <c r="AB18" s="95">
        <v>1742800</v>
      </c>
      <c r="AC18" s="10">
        <v>82.97</v>
      </c>
      <c r="AD18" s="2">
        <f t="shared" si="0"/>
        <v>0.87999999999999545</v>
      </c>
      <c r="AE18" s="138">
        <f t="shared" si="1"/>
        <v>8.3859990277102003E-3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42564</v>
      </c>
      <c r="X19" s="10">
        <v>82.14</v>
      </c>
      <c r="Y19" s="10">
        <v>82.87</v>
      </c>
      <c r="Z19" s="10">
        <v>81.97</v>
      </c>
      <c r="AA19" s="10">
        <v>82.28</v>
      </c>
      <c r="AB19" s="95">
        <v>1942600</v>
      </c>
      <c r="AC19" s="10">
        <v>82.28</v>
      </c>
      <c r="AD19" s="2">
        <f t="shared" si="0"/>
        <v>0.90000000000000568</v>
      </c>
      <c r="AE19" s="138">
        <f t="shared" si="1"/>
        <v>6.2370062370062929E-3</v>
      </c>
    </row>
    <row r="20" spans="1:31" x14ac:dyDescent="0.25">
      <c r="W20" s="133">
        <v>42563</v>
      </c>
      <c r="X20" s="10">
        <v>81.150000000000006</v>
      </c>
      <c r="Y20" s="10">
        <v>82</v>
      </c>
      <c r="Z20" s="10">
        <v>81.12</v>
      </c>
      <c r="AA20" s="10">
        <v>81.77</v>
      </c>
      <c r="AB20" s="95">
        <v>2668700</v>
      </c>
      <c r="AC20" s="10">
        <v>81.77</v>
      </c>
      <c r="AD20" s="2">
        <f t="shared" si="0"/>
        <v>0.87999999999999545</v>
      </c>
      <c r="AE20" s="138">
        <f t="shared" si="1"/>
        <v>8.7589439921045287E-3</v>
      </c>
    </row>
    <row r="21" spans="1:31" x14ac:dyDescent="0.25">
      <c r="W21" s="133">
        <v>42562</v>
      </c>
      <c r="X21" s="10">
        <v>80.5</v>
      </c>
      <c r="Y21" s="10">
        <v>81.45</v>
      </c>
      <c r="Z21" s="10">
        <v>80.38</v>
      </c>
      <c r="AA21" s="10">
        <v>81.06</v>
      </c>
      <c r="AB21" s="95">
        <v>1818400</v>
      </c>
      <c r="AC21" s="10">
        <v>81.06</v>
      </c>
      <c r="AD21" s="2">
        <f t="shared" si="0"/>
        <v>1.0700000000000074</v>
      </c>
      <c r="AE21" s="138">
        <f t="shared" si="1"/>
        <v>8.4598158745956553E-3</v>
      </c>
    </row>
    <row r="22" spans="1:31" x14ac:dyDescent="0.25">
      <c r="W22" s="133">
        <v>42559</v>
      </c>
      <c r="X22" s="10">
        <v>79.55</v>
      </c>
      <c r="Y22" s="10">
        <v>80.44</v>
      </c>
      <c r="Z22" s="10">
        <v>79.34</v>
      </c>
      <c r="AA22" s="10">
        <v>80.38</v>
      </c>
      <c r="AB22" s="95">
        <v>2900400</v>
      </c>
      <c r="AC22" s="10">
        <v>80.38</v>
      </c>
      <c r="AD22" s="2">
        <f t="shared" si="0"/>
        <v>1.0999999999999943</v>
      </c>
      <c r="AE22" s="138">
        <f t="shared" si="1"/>
        <v>1.1832829808660517E-2</v>
      </c>
    </row>
    <row r="23" spans="1:31" x14ac:dyDescent="0.25">
      <c r="W23" s="133">
        <v>42558</v>
      </c>
      <c r="X23" s="10">
        <v>79.08</v>
      </c>
      <c r="Y23" s="10">
        <v>80.180000000000007</v>
      </c>
      <c r="Z23" s="10">
        <v>78.680000000000007</v>
      </c>
      <c r="AA23" s="10">
        <v>79.44</v>
      </c>
      <c r="AB23" s="95">
        <v>3949600</v>
      </c>
      <c r="AC23" s="10">
        <v>79.44</v>
      </c>
      <c r="AD23" s="2">
        <f t="shared" si="0"/>
        <v>1.5</v>
      </c>
      <c r="AE23" s="138">
        <f t="shared" si="1"/>
        <v>-6.8758594824352981E-3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78.180000000000007</v>
      </c>
      <c r="Y24" s="10">
        <v>80.47</v>
      </c>
      <c r="Z24" s="10">
        <v>77.77</v>
      </c>
      <c r="AA24" s="10">
        <v>79.989999999999995</v>
      </c>
      <c r="AB24" s="95">
        <v>2853000</v>
      </c>
      <c r="AC24" s="10">
        <v>79.989999999999995</v>
      </c>
      <c r="AD24" s="2">
        <f t="shared" si="0"/>
        <v>2.7000000000000028</v>
      </c>
      <c r="AE24" s="138">
        <f t="shared" si="1"/>
        <v>2.2497763006519067E-2</v>
      </c>
    </row>
    <row r="25" spans="1:31" x14ac:dyDescent="0.25">
      <c r="B25" s="388">
        <v>42488</v>
      </c>
      <c r="C25" s="389">
        <v>30</v>
      </c>
      <c r="D25" s="390">
        <v>79.349999999999994</v>
      </c>
      <c r="E25" s="390">
        <v>78.510000000000005</v>
      </c>
      <c r="F25" s="390">
        <f t="shared" ref="F25:F37" si="3">C25*(E25-D25)</f>
        <v>-25.199999999999676</v>
      </c>
      <c r="G25" s="390">
        <f t="shared" ref="G25:G37" si="4">D25*C25</f>
        <v>2380.5</v>
      </c>
      <c r="H25" s="391">
        <f t="shared" ref="H25:H37" si="5">(E25-D25)/D25</f>
        <v>-1.0586011342154875E-2</v>
      </c>
      <c r="I25" s="390"/>
      <c r="W25" s="133">
        <v>42556</v>
      </c>
      <c r="X25" s="10">
        <v>77.91</v>
      </c>
      <c r="Y25" s="10">
        <v>78.69</v>
      </c>
      <c r="Z25" s="10">
        <v>77.72</v>
      </c>
      <c r="AA25" s="10">
        <v>78.23</v>
      </c>
      <c r="AB25" s="95">
        <v>2576200</v>
      </c>
      <c r="AC25" s="10">
        <v>78.23</v>
      </c>
      <c r="AD25" s="2">
        <f t="shared" si="0"/>
        <v>0.96999999999999886</v>
      </c>
      <c r="AE25" s="138">
        <f t="shared" si="1"/>
        <v>-7.6638140247797804E-4</v>
      </c>
    </row>
    <row r="26" spans="1:31" x14ac:dyDescent="0.25">
      <c r="B26" s="388">
        <v>42494</v>
      </c>
      <c r="C26" s="389">
        <v>30</v>
      </c>
      <c r="D26" s="390">
        <v>79.349999999999994</v>
      </c>
      <c r="E26" s="390">
        <v>77.510000000000005</v>
      </c>
      <c r="F26" s="390">
        <f t="shared" si="3"/>
        <v>-55.199999999999676</v>
      </c>
      <c r="G26" s="390">
        <f t="shared" si="4"/>
        <v>2380.5</v>
      </c>
      <c r="H26" s="391">
        <f t="shared" si="5"/>
        <v>-2.3188405797101314E-2</v>
      </c>
      <c r="I26" s="390"/>
      <c r="W26" s="133">
        <v>42552</v>
      </c>
      <c r="X26" s="10">
        <v>77.92</v>
      </c>
      <c r="Y26" s="10">
        <v>78.38</v>
      </c>
      <c r="Z26" s="10">
        <v>77.63</v>
      </c>
      <c r="AA26" s="10">
        <v>78.290000000000006</v>
      </c>
      <c r="AB26" s="95">
        <v>2303000</v>
      </c>
      <c r="AC26" s="10">
        <v>78.290000000000006</v>
      </c>
      <c r="AD26" s="2">
        <f t="shared" si="0"/>
        <v>0.75</v>
      </c>
      <c r="AE26" s="138">
        <f t="shared" si="1"/>
        <v>3.5892834252018169E-3</v>
      </c>
    </row>
    <row r="27" spans="1:31" x14ac:dyDescent="0.25">
      <c r="B27" s="388">
        <v>42495</v>
      </c>
      <c r="C27" s="389">
        <v>50</v>
      </c>
      <c r="D27" s="390">
        <v>78.11</v>
      </c>
      <c r="E27" s="390">
        <v>78.55</v>
      </c>
      <c r="F27" s="390">
        <f t="shared" si="3"/>
        <v>21.999999999999886</v>
      </c>
      <c r="G27" s="390">
        <f t="shared" si="4"/>
        <v>3905.5</v>
      </c>
      <c r="H27" s="391">
        <f t="shared" si="5"/>
        <v>5.6330815516578894E-3</v>
      </c>
      <c r="I27" s="390"/>
      <c r="W27" s="133">
        <v>42551</v>
      </c>
      <c r="X27" s="10">
        <v>77.36</v>
      </c>
      <c r="Y27" s="10">
        <v>78.17</v>
      </c>
      <c r="Z27" s="10">
        <v>76.97</v>
      </c>
      <c r="AA27" s="10">
        <v>78.010000000000005</v>
      </c>
      <c r="AB27" s="95">
        <v>2992900</v>
      </c>
      <c r="AC27" s="10">
        <v>78.010000000000005</v>
      </c>
      <c r="AD27" s="2">
        <f t="shared" si="0"/>
        <v>1.2000000000000028</v>
      </c>
      <c r="AE27" s="138">
        <f t="shared" si="1"/>
        <v>9.3155647561133925E-3</v>
      </c>
    </row>
    <row r="28" spans="1:31" x14ac:dyDescent="0.25">
      <c r="B28" s="388">
        <v>42498</v>
      </c>
      <c r="C28" s="389">
        <v>50</v>
      </c>
      <c r="D28" s="390">
        <v>78.11</v>
      </c>
      <c r="E28" s="390">
        <v>76.849999999999994</v>
      </c>
      <c r="F28" s="390">
        <f t="shared" si="3"/>
        <v>-63.000000000000256</v>
      </c>
      <c r="G28" s="390">
        <f t="shared" si="4"/>
        <v>3905.5</v>
      </c>
      <c r="H28" s="391">
        <f t="shared" si="5"/>
        <v>-1.6131097170656833E-2</v>
      </c>
      <c r="I28" s="390"/>
      <c r="W28" s="133">
        <v>42550</v>
      </c>
      <c r="X28" s="10">
        <v>75.97</v>
      </c>
      <c r="Y28" s="10">
        <v>77.45</v>
      </c>
      <c r="Z28" s="10">
        <v>75.69</v>
      </c>
      <c r="AA28" s="10">
        <v>77.290000000000006</v>
      </c>
      <c r="AB28" s="95">
        <v>2305800</v>
      </c>
      <c r="AC28" s="10">
        <v>77.290000000000006</v>
      </c>
      <c r="AD28" s="2">
        <f t="shared" si="0"/>
        <v>1.7600000000000051</v>
      </c>
      <c r="AE28" s="138" t="e">
        <f t="shared" si="1"/>
        <v>#DIV/0!</v>
      </c>
    </row>
    <row r="29" spans="1:31" x14ac:dyDescent="0.25">
      <c r="B29" s="388">
        <v>42515</v>
      </c>
      <c r="C29" s="389">
        <v>50</v>
      </c>
      <c r="D29" s="390">
        <v>78.11</v>
      </c>
      <c r="E29" s="390">
        <v>76.73</v>
      </c>
      <c r="F29" s="390">
        <f t="shared" si="3"/>
        <v>-68.999999999999773</v>
      </c>
      <c r="G29" s="390">
        <f t="shared" si="4"/>
        <v>3905.5</v>
      </c>
      <c r="H29" s="391">
        <f t="shared" si="5"/>
        <v>-1.7667392139290687E-2</v>
      </c>
      <c r="I29" s="390"/>
      <c r="W29" s="133">
        <v>42550</v>
      </c>
      <c r="X29" s="10" t="s">
        <v>282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388">
        <v>42518</v>
      </c>
      <c r="C30" s="389">
        <v>50</v>
      </c>
      <c r="D30" s="390">
        <v>78.11</v>
      </c>
      <c r="E30" s="390">
        <v>78.150000000000006</v>
      </c>
      <c r="F30" s="390">
        <f t="shared" si="3"/>
        <v>2.0000000000003126</v>
      </c>
      <c r="G30" s="390">
        <f t="shared" si="4"/>
        <v>3905.5</v>
      </c>
      <c r="H30" s="391">
        <f t="shared" si="5"/>
        <v>5.1209832287807259E-4</v>
      </c>
      <c r="I30" s="390"/>
      <c r="W30" s="133">
        <v>42549</v>
      </c>
      <c r="X30" s="10">
        <v>75.16</v>
      </c>
      <c r="Y30" s="10">
        <v>75.44</v>
      </c>
      <c r="Z30" s="10">
        <v>73.98</v>
      </c>
      <c r="AA30" s="10">
        <v>75.430000000000007</v>
      </c>
      <c r="AB30" s="95">
        <v>2888300</v>
      </c>
      <c r="AC30" s="10">
        <v>74.98</v>
      </c>
      <c r="AD30" s="2">
        <f t="shared" si="0"/>
        <v>1.4599999999999937</v>
      </c>
      <c r="AE30" s="138">
        <f t="shared" si="1"/>
        <v>2.3617747440273007E-2</v>
      </c>
    </row>
    <row r="31" spans="1:31" x14ac:dyDescent="0.25">
      <c r="B31" s="388">
        <v>42522</v>
      </c>
      <c r="C31" s="389">
        <v>25</v>
      </c>
      <c r="D31" s="390">
        <v>77.171599999999998</v>
      </c>
      <c r="E31" s="390">
        <v>78.72</v>
      </c>
      <c r="F31" s="390">
        <f t="shared" si="3"/>
        <v>38.710000000000022</v>
      </c>
      <c r="G31" s="390">
        <f t="shared" si="4"/>
        <v>1929.29</v>
      </c>
      <c r="H31" s="391">
        <f t="shared" si="5"/>
        <v>2.0064376013974063E-2</v>
      </c>
      <c r="I31" s="390"/>
      <c r="W31" s="133">
        <v>42548</v>
      </c>
      <c r="X31" s="10">
        <v>74.84</v>
      </c>
      <c r="Y31" s="10">
        <v>75.150000000000006</v>
      </c>
      <c r="Z31" s="10">
        <v>73.25</v>
      </c>
      <c r="AA31" s="10">
        <v>73.69</v>
      </c>
      <c r="AB31" s="95">
        <v>2078500</v>
      </c>
      <c r="AC31" s="10">
        <v>73.25</v>
      </c>
      <c r="AD31" s="2">
        <f t="shared" si="0"/>
        <v>1.9000000000000057</v>
      </c>
      <c r="AE31" s="138">
        <f t="shared" si="1"/>
        <v>-2.0460016047071372E-2</v>
      </c>
    </row>
    <row r="32" spans="1:31" x14ac:dyDescent="0.25">
      <c r="B32" s="388">
        <v>42528</v>
      </c>
      <c r="C32" s="389">
        <v>25</v>
      </c>
      <c r="D32" s="390">
        <v>77.171599999999998</v>
      </c>
      <c r="E32" s="390">
        <v>80.42</v>
      </c>
      <c r="F32" s="390">
        <f t="shared" si="3"/>
        <v>81.210000000000093</v>
      </c>
      <c r="G32" s="390">
        <f t="shared" si="4"/>
        <v>1929.29</v>
      </c>
      <c r="H32" s="391">
        <f t="shared" si="5"/>
        <v>4.209320527240596E-2</v>
      </c>
      <c r="I32" s="390"/>
      <c r="W32" s="133">
        <v>42545</v>
      </c>
      <c r="X32" s="10">
        <v>75.64</v>
      </c>
      <c r="Y32" s="10">
        <v>76.25</v>
      </c>
      <c r="Z32" s="10">
        <v>75.040000000000006</v>
      </c>
      <c r="AA32" s="10">
        <v>75.23</v>
      </c>
      <c r="AB32" s="95">
        <v>3282000</v>
      </c>
      <c r="AC32" s="10">
        <v>74.78</v>
      </c>
      <c r="AD32" s="2">
        <f t="shared" si="0"/>
        <v>1.2099999999999937</v>
      </c>
      <c r="AE32" s="138">
        <f t="shared" si="1"/>
        <v>-3.6960721184803647E-2</v>
      </c>
    </row>
    <row r="33" spans="2:31" x14ac:dyDescent="0.25">
      <c r="B33" s="388">
        <v>42534</v>
      </c>
      <c r="C33" s="389">
        <v>25</v>
      </c>
      <c r="D33" s="390">
        <v>77.171599999999998</v>
      </c>
      <c r="E33" s="390">
        <v>78.2</v>
      </c>
      <c r="F33" s="390">
        <f t="shared" si="3"/>
        <v>25.710000000000122</v>
      </c>
      <c r="G33" s="390">
        <f t="shared" si="4"/>
        <v>1929.29</v>
      </c>
      <c r="H33" s="391">
        <f t="shared" si="5"/>
        <v>1.3326145887865548E-2</v>
      </c>
      <c r="I33" s="390"/>
      <c r="W33" s="133">
        <v>42544</v>
      </c>
      <c r="X33" s="10">
        <v>77.98</v>
      </c>
      <c r="Y33" s="10">
        <v>78.14</v>
      </c>
      <c r="Z33" s="10">
        <v>77.44</v>
      </c>
      <c r="AA33" s="10">
        <v>78.12</v>
      </c>
      <c r="AB33" s="95">
        <v>1279300</v>
      </c>
      <c r="AC33" s="10">
        <v>77.650000000000006</v>
      </c>
      <c r="AD33" s="2">
        <f t="shared" si="0"/>
        <v>0.70000000000000284</v>
      </c>
      <c r="AE33" s="138">
        <f t="shared" si="1"/>
        <v>1.3972316531731588E-2</v>
      </c>
    </row>
    <row r="34" spans="2:31" x14ac:dyDescent="0.25">
      <c r="B34" s="388">
        <v>42537</v>
      </c>
      <c r="C34" s="389">
        <v>50</v>
      </c>
      <c r="D34" s="390">
        <v>76.525800000000004</v>
      </c>
      <c r="E34" s="390">
        <v>76.540000000000006</v>
      </c>
      <c r="F34" s="390">
        <f t="shared" si="3"/>
        <v>0.71000000000012164</v>
      </c>
      <c r="G34" s="390">
        <f t="shared" si="4"/>
        <v>3826.29</v>
      </c>
      <c r="H34" s="391">
        <f t="shared" si="5"/>
        <v>1.8555833457477652E-4</v>
      </c>
      <c r="I34" s="390"/>
      <c r="W34" s="133">
        <v>42543</v>
      </c>
      <c r="X34" s="10">
        <v>76.900000000000006</v>
      </c>
      <c r="Y34" s="10">
        <v>77.69</v>
      </c>
      <c r="Z34" s="10">
        <v>76.8</v>
      </c>
      <c r="AA34" s="10">
        <v>77.040000000000006</v>
      </c>
      <c r="AB34" s="95">
        <v>2148500</v>
      </c>
      <c r="AC34" s="10">
        <v>76.58</v>
      </c>
      <c r="AD34" s="2">
        <f t="shared" si="0"/>
        <v>0.89000000000000057</v>
      </c>
      <c r="AE34" s="138">
        <f t="shared" si="1"/>
        <v>1.9625801386888853E-3</v>
      </c>
    </row>
    <row r="35" spans="2:31" x14ac:dyDescent="0.25">
      <c r="B35" s="388">
        <v>42546</v>
      </c>
      <c r="C35" s="389">
        <v>50</v>
      </c>
      <c r="D35" s="390">
        <v>76.53</v>
      </c>
      <c r="E35" s="390">
        <v>75.23</v>
      </c>
      <c r="F35" s="390">
        <f t="shared" si="3"/>
        <v>-64.999999999999858</v>
      </c>
      <c r="G35" s="390">
        <f t="shared" si="4"/>
        <v>3826.5</v>
      </c>
      <c r="H35" s="391">
        <f t="shared" si="5"/>
        <v>-1.6986802561087117E-2</v>
      </c>
      <c r="I35" s="390"/>
      <c r="W35" s="133">
        <v>42542</v>
      </c>
      <c r="X35" s="10">
        <v>76.819999999999993</v>
      </c>
      <c r="Y35" s="10">
        <v>77.06</v>
      </c>
      <c r="Z35" s="10">
        <v>76.31</v>
      </c>
      <c r="AA35" s="10">
        <v>76.89</v>
      </c>
      <c r="AB35" s="95">
        <v>1855000</v>
      </c>
      <c r="AC35" s="10">
        <v>76.430000000000007</v>
      </c>
      <c r="AD35" s="2">
        <f t="shared" si="0"/>
        <v>0.75</v>
      </c>
      <c r="AE35" s="138">
        <f t="shared" si="1"/>
        <v>5.3933175480138651E-3</v>
      </c>
    </row>
    <row r="36" spans="2:31" x14ac:dyDescent="0.25">
      <c r="B36" s="388">
        <v>42548</v>
      </c>
      <c r="C36" s="389">
        <v>75</v>
      </c>
      <c r="D36" s="390">
        <v>75.543899999999994</v>
      </c>
      <c r="E36" s="390">
        <v>73.69</v>
      </c>
      <c r="F36" s="390">
        <f t="shared" si="3"/>
        <v>-139.04249999999968</v>
      </c>
      <c r="G36" s="390">
        <f t="shared" si="4"/>
        <v>5665.7924999999996</v>
      </c>
      <c r="H36" s="391">
        <f t="shared" si="5"/>
        <v>-2.4540697528192164E-2</v>
      </c>
      <c r="I36" s="390"/>
      <c r="W36" s="133">
        <v>42541</v>
      </c>
      <c r="X36" s="10">
        <v>76.400000000000006</v>
      </c>
      <c r="Y36" s="10">
        <v>77.06</v>
      </c>
      <c r="Z36" s="10">
        <v>76.23</v>
      </c>
      <c r="AA36" s="10">
        <v>76.48</v>
      </c>
      <c r="AB36" s="95">
        <v>2193800</v>
      </c>
      <c r="AC36" s="10">
        <v>76.02</v>
      </c>
      <c r="AD36" s="2">
        <f t="shared" si="0"/>
        <v>0.82999999999999829</v>
      </c>
      <c r="AE36" s="138">
        <f t="shared" si="1"/>
        <v>1.2789768185451633E-2</v>
      </c>
    </row>
    <row r="37" spans="2:31" x14ac:dyDescent="0.25">
      <c r="B37" s="388">
        <v>42549</v>
      </c>
      <c r="C37" s="389">
        <v>75</v>
      </c>
      <c r="D37" s="390">
        <v>75.543899999999994</v>
      </c>
      <c r="E37" s="390">
        <v>75.430000000000007</v>
      </c>
      <c r="F37" s="390">
        <f t="shared" si="3"/>
        <v>-8.5424999999990092</v>
      </c>
      <c r="G37" s="390">
        <f t="shared" si="4"/>
        <v>5665.7924999999996</v>
      </c>
      <c r="H37" s="391">
        <f t="shared" si="5"/>
        <v>-1.5077325899243593E-3</v>
      </c>
      <c r="I37" s="390"/>
      <c r="W37" s="133">
        <v>42538</v>
      </c>
      <c r="X37" s="10">
        <v>76.56</v>
      </c>
      <c r="Y37" s="10">
        <v>76.569999999999993</v>
      </c>
      <c r="Z37" s="10">
        <v>75.37</v>
      </c>
      <c r="AA37" s="10">
        <v>75.510000000000005</v>
      </c>
      <c r="AB37" s="95">
        <v>2897500</v>
      </c>
      <c r="AC37" s="10">
        <v>75.06</v>
      </c>
      <c r="AD37" s="2">
        <f t="shared" si="0"/>
        <v>1.1999999999999886</v>
      </c>
      <c r="AE37" s="138">
        <f t="shared" si="1"/>
        <v>-1.3406940063091399E-2</v>
      </c>
    </row>
    <row r="38" spans="2:31" x14ac:dyDescent="0.25">
      <c r="B38" s="388">
        <v>42550</v>
      </c>
      <c r="C38" s="389">
        <v>75</v>
      </c>
      <c r="D38" s="390">
        <v>75.543899999999994</v>
      </c>
      <c r="E38" s="390">
        <v>77.290000000000006</v>
      </c>
      <c r="F38" s="390">
        <f t="shared" ref="F38:F39" si="6">C38*(E38-D38)</f>
        <v>130.95750000000095</v>
      </c>
      <c r="G38" s="390">
        <f t="shared" ref="G38:G39" si="7">D38*C38</f>
        <v>5665.7924999999996</v>
      </c>
      <c r="H38" s="391">
        <f t="shared" ref="H38:H39" si="8">(E38-D38)/D38</f>
        <v>2.3113712688913504E-2</v>
      </c>
      <c r="I38" s="390"/>
      <c r="W38" s="133">
        <v>42537</v>
      </c>
      <c r="X38" s="10">
        <v>76.400000000000006</v>
      </c>
      <c r="Y38" s="10">
        <v>76.599999999999994</v>
      </c>
      <c r="Z38" s="10">
        <v>75.430000000000007</v>
      </c>
      <c r="AA38" s="10">
        <v>76.540000000000006</v>
      </c>
      <c r="AB38" s="95">
        <v>3228300</v>
      </c>
      <c r="AC38" s="10">
        <v>76.08</v>
      </c>
      <c r="AD38" s="2">
        <f t="shared" si="0"/>
        <v>1.1699999999999875</v>
      </c>
      <c r="AE38" s="138">
        <f t="shared" si="1"/>
        <v>-1.836788244555243E-3</v>
      </c>
    </row>
    <row r="39" spans="2:31" x14ac:dyDescent="0.25">
      <c r="B39" s="388">
        <v>42552</v>
      </c>
      <c r="C39" s="389">
        <v>50</v>
      </c>
      <c r="D39" s="390">
        <v>74.176599999999993</v>
      </c>
      <c r="E39" s="390">
        <v>78.28</v>
      </c>
      <c r="F39" s="390">
        <f t="shared" si="6"/>
        <v>205.17000000000039</v>
      </c>
      <c r="G39" s="390">
        <f t="shared" si="7"/>
        <v>3708.8299999999995</v>
      </c>
      <c r="H39" s="391">
        <f t="shared" si="8"/>
        <v>5.5319332511870427E-2</v>
      </c>
      <c r="I39" s="390"/>
      <c r="W39" s="133">
        <v>42536</v>
      </c>
      <c r="X39" s="10">
        <v>78.02</v>
      </c>
      <c r="Y39" s="10">
        <v>78.08</v>
      </c>
      <c r="Z39" s="10">
        <v>76.61</v>
      </c>
      <c r="AA39" s="10">
        <v>76.680000000000007</v>
      </c>
      <c r="AB39" s="95">
        <v>3548700</v>
      </c>
      <c r="AC39" s="10">
        <v>76.22</v>
      </c>
      <c r="AD39" s="2">
        <f t="shared" si="0"/>
        <v>1.4699999999999989</v>
      </c>
      <c r="AE39" s="138">
        <f t="shared" si="1"/>
        <v>-1.6135278172195733E-2</v>
      </c>
    </row>
    <row r="40" spans="2:31" ht="20.25" thickBot="1" x14ac:dyDescent="0.35">
      <c r="B40" s="388">
        <v>42557</v>
      </c>
      <c r="C40" s="389">
        <v>50</v>
      </c>
      <c r="D40" s="390">
        <v>74.176599999999993</v>
      </c>
      <c r="E40" s="390">
        <v>79.989999999999995</v>
      </c>
      <c r="F40" s="390">
        <f t="shared" ref="F40" si="9">C40*(E40-D40)</f>
        <v>290.67000000000007</v>
      </c>
      <c r="G40" s="390">
        <f t="shared" ref="G40" si="10">D40*C40</f>
        <v>3708.8299999999995</v>
      </c>
      <c r="H40" s="391">
        <f t="shared" ref="H40" si="11">(E40-D40)/D40</f>
        <v>7.837242472693548E-2</v>
      </c>
      <c r="I40" s="390"/>
      <c r="O40" s="525" t="s">
        <v>78</v>
      </c>
      <c r="P40" s="525"/>
      <c r="W40" s="133">
        <v>42535</v>
      </c>
      <c r="X40" s="10">
        <v>78.010000000000005</v>
      </c>
      <c r="Y40" s="10">
        <v>78.319999999999993</v>
      </c>
      <c r="Z40" s="10">
        <v>77.569999999999993</v>
      </c>
      <c r="AA40" s="10">
        <v>77.930000000000007</v>
      </c>
      <c r="AB40" s="95">
        <v>1707400</v>
      </c>
      <c r="AC40" s="10">
        <v>77.47</v>
      </c>
      <c r="AD40" s="2">
        <f t="shared" si="0"/>
        <v>0.75</v>
      </c>
      <c r="AE40" s="138">
        <f t="shared" si="1"/>
        <v>-3.3449118744371953E-3</v>
      </c>
    </row>
    <row r="41" spans="2:31" ht="15.75" thickTop="1" x14ac:dyDescent="0.25">
      <c r="B41" s="388">
        <v>42562</v>
      </c>
      <c r="C41" s="389">
        <v>50</v>
      </c>
      <c r="D41" s="390">
        <v>74.176599999999993</v>
      </c>
      <c r="E41" s="390">
        <v>81.06</v>
      </c>
      <c r="F41" s="390">
        <f t="shared" ref="F41" si="12">C41*(E41-D41)</f>
        <v>344.17000000000041</v>
      </c>
      <c r="G41" s="390">
        <f t="shared" ref="G41" si="13">D41*C41</f>
        <v>3708.8299999999995</v>
      </c>
      <c r="H41" s="391">
        <f t="shared" ref="H41" si="14">(E41-D41)/D41</f>
        <v>9.2797459036947083E-2</v>
      </c>
      <c r="I41" s="390"/>
      <c r="O41" s="83">
        <v>1.1000000000000001</v>
      </c>
      <c r="P41" s="83">
        <f>O41*$Q$4</f>
        <v>92.158000000000015</v>
      </c>
      <c r="Q41" s="2"/>
      <c r="W41" s="133">
        <v>42534</v>
      </c>
      <c r="X41" s="10">
        <v>78.53</v>
      </c>
      <c r="Y41" s="10">
        <v>78.790000000000006</v>
      </c>
      <c r="Z41" s="10">
        <v>78.150000000000006</v>
      </c>
      <c r="AA41" s="10">
        <v>78.2</v>
      </c>
      <c r="AB41" s="95">
        <v>2042100</v>
      </c>
      <c r="AC41" s="10">
        <v>77.73</v>
      </c>
      <c r="AD41" s="2">
        <f t="shared" si="0"/>
        <v>0.64000000000000057</v>
      </c>
      <c r="AE41" s="138">
        <f t="shared" si="1"/>
        <v>-4.2275172943888606E-3</v>
      </c>
    </row>
    <row r="42" spans="2:31" ht="20.25" thickBot="1" x14ac:dyDescent="0.35">
      <c r="B42" s="388">
        <v>42566</v>
      </c>
      <c r="C42" s="389">
        <v>50</v>
      </c>
      <c r="D42" s="390">
        <v>74.176599999999993</v>
      </c>
      <c r="E42" s="390">
        <v>82.36</v>
      </c>
      <c r="F42" s="390">
        <f t="shared" ref="F42" si="15">C42*(E42-D42)</f>
        <v>409.1700000000003</v>
      </c>
      <c r="G42" s="390">
        <f t="shared" ref="G42" si="16">D42*C42</f>
        <v>3708.8299999999995</v>
      </c>
      <c r="H42" s="391">
        <f t="shared" ref="H42" si="17">(E42-D42)/D42</f>
        <v>0.11032320165658721</v>
      </c>
      <c r="I42" s="500">
        <v>72.5</v>
      </c>
      <c r="O42" s="83">
        <v>1.0900000000000001</v>
      </c>
      <c r="P42" s="83">
        <f t="shared" ref="P42:P61" si="18">O42*$Q$4</f>
        <v>91.320200000000014</v>
      </c>
      <c r="Q42" s="2"/>
      <c r="T42" s="91" t="s">
        <v>113</v>
      </c>
      <c r="W42" s="133">
        <v>42531</v>
      </c>
      <c r="X42" s="10">
        <v>79</v>
      </c>
      <c r="Y42" s="10">
        <v>79.06</v>
      </c>
      <c r="Z42" s="10">
        <v>78.05</v>
      </c>
      <c r="AA42" s="10">
        <v>78.53</v>
      </c>
      <c r="AB42" s="95">
        <v>2714500</v>
      </c>
      <c r="AC42" s="10">
        <v>78.06</v>
      </c>
      <c r="AD42" s="2">
        <f t="shared" si="0"/>
        <v>1.0100000000000051</v>
      </c>
      <c r="AE42" s="138">
        <f t="shared" si="1"/>
        <v>-9.642222786094834E-3</v>
      </c>
    </row>
    <row r="43" spans="2:31" ht="15.75" thickTop="1" x14ac:dyDescent="0.25">
      <c r="B43" s="388">
        <v>42569</v>
      </c>
      <c r="C43" s="389">
        <v>50</v>
      </c>
      <c r="D43" s="390">
        <v>73.503200000000007</v>
      </c>
      <c r="E43" s="390">
        <v>83.21</v>
      </c>
      <c r="F43" s="390">
        <f t="shared" ref="F43" si="19">C43*(E43-D43)</f>
        <v>485.33999999999935</v>
      </c>
      <c r="G43" s="390">
        <f t="shared" ref="G43" si="20">D43*C43</f>
        <v>3675.1600000000003</v>
      </c>
      <c r="H43" s="391">
        <f t="shared" ref="H43" si="21">(E43-D43)/D43</f>
        <v>0.13205955659073326</v>
      </c>
      <c r="I43" s="390" t="s">
        <v>301</v>
      </c>
      <c r="O43" s="83">
        <v>1.08</v>
      </c>
      <c r="P43" s="83">
        <f t="shared" si="18"/>
        <v>90.482400000000013</v>
      </c>
      <c r="Q43" s="2"/>
      <c r="T43" s="128" t="s">
        <v>98</v>
      </c>
      <c r="U43" s="98">
        <v>83.58</v>
      </c>
      <c r="W43" s="133">
        <v>42530</v>
      </c>
      <c r="X43" s="10">
        <v>79.56</v>
      </c>
      <c r="Y43" s="10">
        <v>79.959999999999994</v>
      </c>
      <c r="Z43" s="10">
        <v>79.11</v>
      </c>
      <c r="AA43" s="10">
        <v>79.290000000000006</v>
      </c>
      <c r="AB43" s="95">
        <v>3082300</v>
      </c>
      <c r="AC43" s="10">
        <v>78.819999999999993</v>
      </c>
      <c r="AD43" s="2">
        <f t="shared" si="0"/>
        <v>0.84999999999999432</v>
      </c>
      <c r="AE43" s="138">
        <f t="shared" si="1"/>
        <v>-4.672307109483631E-3</v>
      </c>
    </row>
    <row r="44" spans="2:31" x14ac:dyDescent="0.25">
      <c r="B44" s="388">
        <v>42570</v>
      </c>
      <c r="C44" s="389">
        <v>50</v>
      </c>
      <c r="D44" s="390">
        <v>73.503200000000007</v>
      </c>
      <c r="E44" s="390">
        <v>82.82</v>
      </c>
      <c r="F44" s="390">
        <f t="shared" ref="F44:F45" si="22">C44*(E44-D44)</f>
        <v>465.83999999999935</v>
      </c>
      <c r="G44" s="390">
        <f>D44*C44</f>
        <v>3675.1600000000003</v>
      </c>
      <c r="H44" s="391">
        <f t="shared" ref="H44:H45" si="23">(E44-D44)/D44</f>
        <v>0.12675366514655126</v>
      </c>
      <c r="I44" s="390"/>
      <c r="O44" s="83">
        <v>1.07</v>
      </c>
      <c r="P44" s="83">
        <f t="shared" si="18"/>
        <v>89.644600000000011</v>
      </c>
      <c r="Q44" s="2"/>
      <c r="T44" s="93" t="s">
        <v>99</v>
      </c>
      <c r="U44" s="88">
        <v>84</v>
      </c>
      <c r="W44" s="133">
        <v>42529</v>
      </c>
      <c r="X44" s="10">
        <v>79.849999999999994</v>
      </c>
      <c r="Y44" s="10">
        <v>80.13</v>
      </c>
      <c r="Z44" s="10">
        <v>79.5</v>
      </c>
      <c r="AA44" s="10">
        <v>79.66</v>
      </c>
      <c r="AB44" s="95">
        <v>3437900</v>
      </c>
      <c r="AC44" s="10">
        <v>79.19</v>
      </c>
      <c r="AD44" s="2">
        <f t="shared" si="0"/>
        <v>0.62999999999999545</v>
      </c>
      <c r="AE44" s="138">
        <f t="shared" si="1"/>
        <v>-4.1498993963782205E-3</v>
      </c>
    </row>
    <row r="45" spans="2:31" x14ac:dyDescent="0.25">
      <c r="B45" s="388">
        <v>42577</v>
      </c>
      <c r="C45" s="389">
        <v>40</v>
      </c>
      <c r="D45" s="390">
        <v>71.054500000000004</v>
      </c>
      <c r="E45" s="390">
        <v>83.64</v>
      </c>
      <c r="F45" s="390">
        <f t="shared" si="22"/>
        <v>503.41999999999985</v>
      </c>
      <c r="G45" s="390">
        <f>D45*C45</f>
        <v>2842.1800000000003</v>
      </c>
      <c r="H45" s="391">
        <f t="shared" si="23"/>
        <v>0.17712460153825579</v>
      </c>
      <c r="I45" s="390"/>
      <c r="O45" s="83">
        <v>1.06</v>
      </c>
      <c r="P45" s="83">
        <f t="shared" si="18"/>
        <v>88.80680000000001</v>
      </c>
      <c r="Q45" s="2"/>
      <c r="T45" s="93" t="s">
        <v>100</v>
      </c>
      <c r="U45" s="88" t="s">
        <v>539</v>
      </c>
      <c r="W45" s="133">
        <v>42528</v>
      </c>
      <c r="X45" s="10">
        <v>80.099999999999994</v>
      </c>
      <c r="Y45" s="10">
        <v>80.41</v>
      </c>
      <c r="Z45" s="10">
        <v>79.72</v>
      </c>
      <c r="AA45" s="10">
        <v>80</v>
      </c>
      <c r="AB45" s="95">
        <v>2142200</v>
      </c>
      <c r="AC45" s="10">
        <v>79.52</v>
      </c>
      <c r="AD45" s="2">
        <f t="shared" si="0"/>
        <v>0.68999999999999773</v>
      </c>
      <c r="AE45" s="138">
        <f t="shared" si="1"/>
        <v>-5.2539404553415547E-3</v>
      </c>
    </row>
    <row r="46" spans="2:31" x14ac:dyDescent="0.25">
      <c r="B46" s="388">
        <v>42580</v>
      </c>
      <c r="C46" s="389">
        <v>0</v>
      </c>
      <c r="D46" s="390"/>
      <c r="E46" s="390"/>
      <c r="F46" s="390">
        <v>490.95</v>
      </c>
      <c r="G46" s="390"/>
      <c r="H46" s="391"/>
      <c r="I46" s="390"/>
      <c r="O46" s="83">
        <v>1.05</v>
      </c>
      <c r="P46" s="83">
        <f t="shared" si="18"/>
        <v>87.969000000000008</v>
      </c>
      <c r="Q46" s="2"/>
      <c r="T46" s="93" t="s">
        <v>101</v>
      </c>
      <c r="U46" s="88" t="s">
        <v>540</v>
      </c>
      <c r="W46" s="133">
        <v>42527</v>
      </c>
      <c r="X46" s="10">
        <v>79.72</v>
      </c>
      <c r="Y46" s="10">
        <v>80.52</v>
      </c>
      <c r="Z46" s="10">
        <v>79.37</v>
      </c>
      <c r="AA46" s="10">
        <v>80.42</v>
      </c>
      <c r="AB46" s="95">
        <v>2021800</v>
      </c>
      <c r="AC46" s="10">
        <v>79.94</v>
      </c>
      <c r="AD46" s="2">
        <f t="shared" si="0"/>
        <v>1.1499999999999915</v>
      </c>
      <c r="AE46" s="138">
        <f t="shared" si="1"/>
        <v>7.8164397377711303E-3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8"/>
        <v>87.131200000000007</v>
      </c>
      <c r="Q47" s="2"/>
      <c r="T47" s="93" t="s">
        <v>102</v>
      </c>
      <c r="U47" s="88">
        <v>93.86</v>
      </c>
      <c r="W47" s="133">
        <v>42524</v>
      </c>
      <c r="X47" s="10">
        <v>79.72</v>
      </c>
      <c r="Y47" s="10">
        <v>79.989999999999995</v>
      </c>
      <c r="Z47" s="10">
        <v>79.209999999999994</v>
      </c>
      <c r="AA47" s="10">
        <v>79.790000000000006</v>
      </c>
      <c r="AB47" s="95">
        <v>1988000</v>
      </c>
      <c r="AC47" s="10">
        <v>79.319999999999993</v>
      </c>
      <c r="AD47" s="2">
        <f t="shared" si="0"/>
        <v>0.78000000000000114</v>
      </c>
      <c r="AE47" s="138">
        <f t="shared" si="1"/>
        <v>-1.1333585190782536E-3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8"/>
        <v>86.293400000000005</v>
      </c>
      <c r="Q48" s="2"/>
      <c r="T48" s="93" t="s">
        <v>103</v>
      </c>
      <c r="U48" s="88">
        <v>0.80776400000000004</v>
      </c>
      <c r="W48" s="133">
        <v>42523</v>
      </c>
      <c r="X48" s="10">
        <v>78.7</v>
      </c>
      <c r="Y48" s="10">
        <v>79.89</v>
      </c>
      <c r="Z48" s="10">
        <v>78.61</v>
      </c>
      <c r="AA48" s="10">
        <v>79.89</v>
      </c>
      <c r="AB48" s="95">
        <v>2361100</v>
      </c>
      <c r="AC48" s="10">
        <v>79.41</v>
      </c>
      <c r="AD48" s="2">
        <f t="shared" si="0"/>
        <v>1.2800000000000011</v>
      </c>
      <c r="AE48" s="138">
        <f t="shared" si="1"/>
        <v>1.4824281150159768E-2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8"/>
        <v>85.455600000000004</v>
      </c>
      <c r="Q49" s="2"/>
      <c r="T49" s="93" t="s">
        <v>123</v>
      </c>
      <c r="U49" s="88" t="s">
        <v>541</v>
      </c>
      <c r="W49" s="133">
        <v>42522</v>
      </c>
      <c r="X49" s="10">
        <v>78.58</v>
      </c>
      <c r="Y49" s="10">
        <v>79.05</v>
      </c>
      <c r="Z49" s="10">
        <v>78.44</v>
      </c>
      <c r="AA49" s="10">
        <v>78.72</v>
      </c>
      <c r="AB49" s="95">
        <v>2595700</v>
      </c>
      <c r="AC49" s="10">
        <v>78.25</v>
      </c>
      <c r="AD49" s="2">
        <f t="shared" si="0"/>
        <v>0.60999999999999943</v>
      </c>
      <c r="AE49" s="138">
        <f t="shared" si="1"/>
        <v>-2.9306829765546327E-3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8"/>
        <v>84.617800000000003</v>
      </c>
      <c r="Q50" s="2"/>
      <c r="T50" s="93"/>
      <c r="U50" s="88"/>
      <c r="W50" s="133">
        <v>42521</v>
      </c>
      <c r="X50" s="10">
        <v>78.16</v>
      </c>
      <c r="Y50" s="10">
        <v>79.17</v>
      </c>
      <c r="Z50" s="10">
        <v>78.150000000000006</v>
      </c>
      <c r="AA50" s="10">
        <v>78.95</v>
      </c>
      <c r="AB50" s="95">
        <v>3613000</v>
      </c>
      <c r="AC50" s="10">
        <v>78.48</v>
      </c>
      <c r="AD50" s="2">
        <f t="shared" si="0"/>
        <v>1.019999999999996</v>
      </c>
      <c r="AE50" s="138">
        <f t="shared" si="1"/>
        <v>1.029866117404743E-2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8"/>
        <v>83.78</v>
      </c>
      <c r="Q51" s="2"/>
      <c r="T51" s="93" t="s">
        <v>105</v>
      </c>
      <c r="U51" s="88" t="s">
        <v>542</v>
      </c>
      <c r="W51" s="133">
        <v>42517</v>
      </c>
      <c r="X51" s="10">
        <v>77.55</v>
      </c>
      <c r="Y51" s="10">
        <v>78.36</v>
      </c>
      <c r="Z51" s="10">
        <v>77.45</v>
      </c>
      <c r="AA51" s="10">
        <v>78.150000000000006</v>
      </c>
      <c r="AB51" s="95">
        <v>1857200</v>
      </c>
      <c r="AC51" s="10">
        <v>77.680000000000007</v>
      </c>
      <c r="AD51" s="2">
        <f t="shared" si="0"/>
        <v>0.90999999999999659</v>
      </c>
      <c r="AE51" s="138">
        <f t="shared" si="1"/>
        <v>1.1063386697904631E-2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8"/>
        <v>82.9422</v>
      </c>
      <c r="Q52" s="2"/>
      <c r="T52" s="93" t="s">
        <v>106</v>
      </c>
      <c r="U52" s="88" t="s">
        <v>314</v>
      </c>
      <c r="W52" s="133">
        <v>42516</v>
      </c>
      <c r="X52" s="10">
        <v>76.650000000000006</v>
      </c>
      <c r="Y52" s="10">
        <v>77.459999999999994</v>
      </c>
      <c r="Z52" s="10">
        <v>76.400000000000006</v>
      </c>
      <c r="AA52" s="10">
        <v>77.290000000000006</v>
      </c>
      <c r="AB52" s="95">
        <v>2036500</v>
      </c>
      <c r="AC52" s="10">
        <v>76.83</v>
      </c>
      <c r="AD52" s="2">
        <f t="shared" si="0"/>
        <v>1.0599999999999881</v>
      </c>
      <c r="AE52" s="138">
        <f t="shared" si="1"/>
        <v>7.3423364363445209E-3</v>
      </c>
    </row>
    <row r="53" spans="1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8"/>
        <v>82.104399999999998</v>
      </c>
      <c r="Q53" s="2"/>
      <c r="T53" s="93" t="s">
        <v>107</v>
      </c>
      <c r="U53" s="90">
        <v>1492755</v>
      </c>
      <c r="W53" s="133">
        <v>42515</v>
      </c>
      <c r="X53" s="10">
        <v>77.78</v>
      </c>
      <c r="Y53" s="10">
        <v>77.989999999999995</v>
      </c>
      <c r="Z53" s="10">
        <v>76.69</v>
      </c>
      <c r="AA53" s="10">
        <v>76.73</v>
      </c>
      <c r="AB53" s="95">
        <v>3011000</v>
      </c>
      <c r="AC53" s="10">
        <v>76.27</v>
      </c>
      <c r="AD53" s="2">
        <f t="shared" si="0"/>
        <v>1.2999999999999972</v>
      </c>
      <c r="AE53" s="138">
        <f t="shared" si="1"/>
        <v>-9.4805194805195336E-3</v>
      </c>
    </row>
    <row r="54" spans="1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8"/>
        <v>81.266599999999997</v>
      </c>
      <c r="T54" s="93" t="s">
        <v>110</v>
      </c>
      <c r="U54" s="90">
        <v>2442140</v>
      </c>
      <c r="W54" s="133">
        <v>42514</v>
      </c>
      <c r="X54" s="10">
        <v>77.069999999999993</v>
      </c>
      <c r="Y54" s="10">
        <v>77.66</v>
      </c>
      <c r="Z54" s="10">
        <v>76.92</v>
      </c>
      <c r="AA54" s="10">
        <v>77.459999999999994</v>
      </c>
      <c r="AB54" s="95">
        <v>1674500</v>
      </c>
      <c r="AC54" s="10">
        <v>77</v>
      </c>
      <c r="AD54" s="2">
        <f t="shared" si="0"/>
        <v>0.73999999999999488</v>
      </c>
      <c r="AE54" s="138">
        <f t="shared" si="1"/>
        <v>9.4389092815940767E-3</v>
      </c>
    </row>
    <row r="55" spans="1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8"/>
        <v>80.428799999999995</v>
      </c>
      <c r="T55" s="93" t="s">
        <v>108</v>
      </c>
      <c r="U55" s="88" t="s">
        <v>543</v>
      </c>
      <c r="W55" s="133">
        <v>42513</v>
      </c>
      <c r="X55" s="10">
        <v>77.27</v>
      </c>
      <c r="Y55" s="10">
        <v>77.62</v>
      </c>
      <c r="Z55" s="10">
        <v>76.73</v>
      </c>
      <c r="AA55" s="10">
        <v>76.739999999999995</v>
      </c>
      <c r="AB55" s="95">
        <v>2032500</v>
      </c>
      <c r="AC55" s="10">
        <v>76.28</v>
      </c>
      <c r="AD55" s="2">
        <f t="shared" si="0"/>
        <v>0.89000000000000057</v>
      </c>
      <c r="AE55" s="138">
        <f t="shared" si="1"/>
        <v>-8.7069525666017E-3</v>
      </c>
    </row>
    <row r="56" spans="1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8"/>
        <v>79.590999999999994</v>
      </c>
      <c r="T56" s="93" t="s">
        <v>111</v>
      </c>
      <c r="U56" s="88">
        <v>19.53</v>
      </c>
      <c r="W56" s="133">
        <v>42510</v>
      </c>
      <c r="X56" s="10">
        <v>77.819999999999993</v>
      </c>
      <c r="Y56" s="10">
        <v>77.87</v>
      </c>
      <c r="Z56" s="10">
        <v>77.069999999999993</v>
      </c>
      <c r="AA56" s="10">
        <v>77.41</v>
      </c>
      <c r="AB56" s="95">
        <v>2707500</v>
      </c>
      <c r="AC56" s="10">
        <v>76.95</v>
      </c>
      <c r="AD56" s="2">
        <f t="shared" si="0"/>
        <v>0.80000000000001137</v>
      </c>
      <c r="AE56" s="138">
        <f t="shared" si="1"/>
        <v>1.040718095485893E-3</v>
      </c>
    </row>
    <row r="57" spans="1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8"/>
        <v>78.753199999999993</v>
      </c>
      <c r="T57" s="93" t="s">
        <v>112</v>
      </c>
      <c r="U57" s="88">
        <v>4.32</v>
      </c>
      <c r="W57" s="133">
        <v>42509</v>
      </c>
      <c r="X57" s="10">
        <v>77.19</v>
      </c>
      <c r="Y57" s="10">
        <v>78.2</v>
      </c>
      <c r="Z57" s="10">
        <v>76.709999999999994</v>
      </c>
      <c r="AA57" s="10">
        <v>77.33</v>
      </c>
      <c r="AB57" s="95">
        <v>1692500</v>
      </c>
      <c r="AC57" s="10">
        <v>76.87</v>
      </c>
      <c r="AD57" s="2">
        <f t="shared" si="0"/>
        <v>1.4900000000000091</v>
      </c>
      <c r="AE57" s="138">
        <f t="shared" si="1"/>
        <v>-6.4624531472147195E-3</v>
      </c>
    </row>
    <row r="58" spans="1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8"/>
        <v>77.915400000000005</v>
      </c>
      <c r="T58" s="93" t="s">
        <v>109</v>
      </c>
      <c r="U58" s="88" t="s">
        <v>586</v>
      </c>
      <c r="W58" s="133">
        <v>42508</v>
      </c>
      <c r="X58" s="10">
        <v>77.08</v>
      </c>
      <c r="Y58" s="10">
        <v>78.239999999999995</v>
      </c>
      <c r="Z58" s="10">
        <v>76.739999999999995</v>
      </c>
      <c r="AA58" s="10">
        <v>77.83</v>
      </c>
      <c r="AB58" s="95">
        <v>2440300</v>
      </c>
      <c r="AC58" s="10">
        <v>77.37</v>
      </c>
      <c r="AD58" s="2">
        <f t="shared" si="0"/>
        <v>1.5</v>
      </c>
      <c r="AE58" s="138">
        <f t="shared" si="1"/>
        <v>9.5250521920668962E-3</v>
      </c>
    </row>
    <row r="59" spans="1:31" x14ac:dyDescent="0.25">
      <c r="O59" s="83">
        <v>0.92</v>
      </c>
      <c r="P59" s="83">
        <f t="shared" si="18"/>
        <v>77.077600000000004</v>
      </c>
      <c r="W59" s="133">
        <v>42507</v>
      </c>
      <c r="X59" s="10">
        <v>77.39</v>
      </c>
      <c r="Y59" s="10">
        <v>77.69</v>
      </c>
      <c r="Z59" s="10">
        <v>76.69</v>
      </c>
      <c r="AA59" s="10">
        <v>77.099999999999994</v>
      </c>
      <c r="AB59" s="95">
        <v>2864400</v>
      </c>
      <c r="AC59" s="10">
        <v>76.64</v>
      </c>
      <c r="AD59" s="2">
        <f t="shared" si="0"/>
        <v>1</v>
      </c>
      <c r="AE59" s="138">
        <f t="shared" si="1"/>
        <v>-3.7696607305343077E-3</v>
      </c>
    </row>
    <row r="60" spans="1:31" x14ac:dyDescent="0.25">
      <c r="O60" s="83">
        <v>0.91</v>
      </c>
      <c r="P60" s="83">
        <f t="shared" si="18"/>
        <v>76.239800000000002</v>
      </c>
      <c r="W60" s="133">
        <v>42506</v>
      </c>
      <c r="X60" s="10">
        <v>76.34</v>
      </c>
      <c r="Y60" s="10">
        <v>77.459999999999994</v>
      </c>
      <c r="Z60" s="10">
        <v>76.22</v>
      </c>
      <c r="AA60" s="10">
        <v>77.39</v>
      </c>
      <c r="AB60" s="95">
        <v>1704100</v>
      </c>
      <c r="AC60" s="10">
        <v>76.930000000000007</v>
      </c>
      <c r="AD60" s="2">
        <f t="shared" si="0"/>
        <v>1.2399999999999949</v>
      </c>
      <c r="AE60" s="138">
        <f t="shared" si="1"/>
        <v>1.4907651715039716E-2</v>
      </c>
    </row>
    <row r="61" spans="1:31" x14ac:dyDescent="0.25">
      <c r="O61" s="83">
        <v>0.9</v>
      </c>
      <c r="P61" s="83">
        <f t="shared" si="18"/>
        <v>75.402000000000001</v>
      </c>
      <c r="W61" s="133">
        <v>42503</v>
      </c>
      <c r="X61" s="10">
        <v>77.040000000000006</v>
      </c>
      <c r="Y61" s="10">
        <v>77.31</v>
      </c>
      <c r="Z61" s="10">
        <v>76.180000000000007</v>
      </c>
      <c r="AA61" s="10">
        <v>76.25</v>
      </c>
      <c r="AB61" s="95">
        <v>2173700</v>
      </c>
      <c r="AC61" s="10">
        <v>75.8</v>
      </c>
      <c r="AD61" s="2">
        <f t="shared" si="0"/>
        <v>1.1299999999999955</v>
      </c>
      <c r="AE61" s="138">
        <f t="shared" si="1"/>
        <v>-9.6681473739222978E-3</v>
      </c>
    </row>
    <row r="62" spans="1:31" x14ac:dyDescent="0.25">
      <c r="W62" s="133">
        <v>42502</v>
      </c>
      <c r="X62" s="10">
        <v>77.31</v>
      </c>
      <c r="Y62" s="10">
        <v>77.459999999999994</v>
      </c>
      <c r="Z62" s="10">
        <v>76.61</v>
      </c>
      <c r="AA62" s="10">
        <v>77</v>
      </c>
      <c r="AB62" s="95">
        <v>2850200</v>
      </c>
      <c r="AC62" s="10">
        <v>76.540000000000006</v>
      </c>
      <c r="AD62" s="2">
        <f t="shared" si="0"/>
        <v>0.84999999999999432</v>
      </c>
      <c r="AE62" s="138">
        <f t="shared" si="1"/>
        <v>5.228758169935066E-4</v>
      </c>
    </row>
    <row r="63" spans="1:31" x14ac:dyDescent="0.25">
      <c r="L63" t="s">
        <v>65</v>
      </c>
      <c r="M63" s="2">
        <f>M81+K81-F81</f>
        <v>490.94999999999891</v>
      </c>
      <c r="W63" s="133">
        <v>42501</v>
      </c>
      <c r="X63" s="10">
        <v>78.599999999999994</v>
      </c>
      <c r="Y63" s="10">
        <v>78.78</v>
      </c>
      <c r="Z63" s="10">
        <v>76.92</v>
      </c>
      <c r="AA63" s="10">
        <v>76.959999999999994</v>
      </c>
      <c r="AB63" s="95">
        <v>3106200</v>
      </c>
      <c r="AC63" s="10">
        <v>76.5</v>
      </c>
      <c r="AD63" s="2">
        <f t="shared" si="0"/>
        <v>1.8599999999999994</v>
      </c>
      <c r="AE63" s="138">
        <f t="shared" si="1"/>
        <v>-1.9230769230769273E-2</v>
      </c>
    </row>
    <row r="64" spans="1:31" x14ac:dyDescent="0.25">
      <c r="A64" s="395" t="s">
        <v>1</v>
      </c>
      <c r="B64" s="395" t="s">
        <v>2</v>
      </c>
      <c r="C64" s="395" t="s">
        <v>4</v>
      </c>
      <c r="D64" s="397" t="s">
        <v>5</v>
      </c>
      <c r="E64" s="397" t="s">
        <v>94</v>
      </c>
      <c r="F64" s="397" t="s">
        <v>60</v>
      </c>
      <c r="G64" s="395" t="s">
        <v>3</v>
      </c>
      <c r="H64" s="395" t="s">
        <v>6</v>
      </c>
      <c r="I64" s="397" t="s">
        <v>7</v>
      </c>
      <c r="J64" s="397" t="s">
        <v>95</v>
      </c>
      <c r="K64" s="397" t="s">
        <v>61</v>
      </c>
      <c r="L64" s="395" t="s">
        <v>37</v>
      </c>
      <c r="M64" s="395" t="s">
        <v>38</v>
      </c>
      <c r="W64" s="133">
        <v>42500</v>
      </c>
      <c r="X64" s="10">
        <v>78.67</v>
      </c>
      <c r="Y64" s="10">
        <v>79.239999999999995</v>
      </c>
      <c r="Z64" s="10">
        <v>78.28</v>
      </c>
      <c r="AA64" s="10">
        <v>78.47</v>
      </c>
      <c r="AB64" s="95">
        <v>2568000</v>
      </c>
      <c r="AC64" s="10">
        <v>78</v>
      </c>
      <c r="AD64" s="2">
        <f t="shared" si="0"/>
        <v>0.95999999999999375</v>
      </c>
      <c r="AE64" s="138">
        <f t="shared" si="1"/>
        <v>0</v>
      </c>
    </row>
    <row r="65" spans="1:31" x14ac:dyDescent="0.25">
      <c r="A65" s="398" t="s">
        <v>52</v>
      </c>
      <c r="B65" s="388">
        <v>42488</v>
      </c>
      <c r="C65" s="389">
        <v>30</v>
      </c>
      <c r="D65" s="390">
        <v>79.349999999999994</v>
      </c>
      <c r="E65" s="390">
        <v>0</v>
      </c>
      <c r="F65" s="390">
        <f>D65*C65+E65</f>
        <v>2380.5</v>
      </c>
      <c r="G65" s="388">
        <v>42521</v>
      </c>
      <c r="H65" s="393">
        <v>25</v>
      </c>
      <c r="I65" s="390">
        <v>79.05</v>
      </c>
      <c r="J65" s="390">
        <v>0.04</v>
      </c>
      <c r="K65" s="390">
        <f>I65*H65-J65</f>
        <v>1976.21</v>
      </c>
      <c r="L65" s="388">
        <v>42566</v>
      </c>
      <c r="M65" s="390">
        <v>33.67</v>
      </c>
      <c r="W65" s="133">
        <v>42499</v>
      </c>
      <c r="X65" s="10">
        <v>77.05</v>
      </c>
      <c r="Y65" s="10">
        <v>78.73</v>
      </c>
      <c r="Z65" s="10">
        <v>76.91</v>
      </c>
      <c r="AA65" s="10">
        <v>78.47</v>
      </c>
      <c r="AB65" s="95">
        <v>2785000</v>
      </c>
      <c r="AC65" s="10">
        <v>78</v>
      </c>
      <c r="AD65" s="2">
        <f t="shared" si="0"/>
        <v>1.8200000000000074</v>
      </c>
      <c r="AE65" s="138">
        <f t="shared" si="1"/>
        <v>2.1076057075533505E-2</v>
      </c>
    </row>
    <row r="66" spans="1:31" x14ac:dyDescent="0.25">
      <c r="A66" s="399" t="s">
        <v>71</v>
      </c>
      <c r="B66" s="388">
        <v>42495</v>
      </c>
      <c r="C66" s="389">
        <v>20</v>
      </c>
      <c r="D66" s="390">
        <v>76.25</v>
      </c>
      <c r="E66" s="390">
        <v>0</v>
      </c>
      <c r="F66" s="390">
        <f>D66*C66+E66</f>
        <v>1525</v>
      </c>
      <c r="G66" s="388">
        <v>42552</v>
      </c>
      <c r="H66" s="393">
        <v>25</v>
      </c>
      <c r="I66" s="390">
        <v>78.28</v>
      </c>
      <c r="J66" s="390">
        <v>0.04</v>
      </c>
      <c r="K66" s="390">
        <f t="shared" ref="K66:K68" si="24">I66*H66-J66</f>
        <v>1956.96</v>
      </c>
      <c r="L66" s="389" t="s">
        <v>305</v>
      </c>
      <c r="M66" s="389"/>
      <c r="W66" s="133">
        <v>42496</v>
      </c>
      <c r="X66" s="10">
        <v>78.55</v>
      </c>
      <c r="Y66" s="10">
        <v>78.819999999999993</v>
      </c>
      <c r="Z66" s="10">
        <v>76.599999999999994</v>
      </c>
      <c r="AA66" s="10">
        <v>76.849999999999994</v>
      </c>
      <c r="AB66" s="95">
        <v>3745600</v>
      </c>
      <c r="AC66" s="10">
        <v>76.39</v>
      </c>
      <c r="AD66" s="2">
        <f t="shared" si="0"/>
        <v>2.2199999999999989</v>
      </c>
      <c r="AE66" s="138">
        <f t="shared" si="1"/>
        <v>-2.1644467213114749E-2</v>
      </c>
    </row>
    <row r="67" spans="1:31" x14ac:dyDescent="0.25">
      <c r="A67" s="389"/>
      <c r="B67" s="388">
        <v>42537</v>
      </c>
      <c r="C67" s="389">
        <v>25</v>
      </c>
      <c r="D67" s="390">
        <v>75.88</v>
      </c>
      <c r="E67" s="390">
        <v>0</v>
      </c>
      <c r="F67" s="390">
        <f>D67*C67+E67</f>
        <v>1897</v>
      </c>
      <c r="G67" s="388">
        <v>42577</v>
      </c>
      <c r="H67" s="393">
        <v>10</v>
      </c>
      <c r="I67" s="390">
        <v>83.3</v>
      </c>
      <c r="J67" s="390">
        <v>0.02</v>
      </c>
      <c r="K67" s="390">
        <f t="shared" si="24"/>
        <v>832.98</v>
      </c>
      <c r="L67" s="389"/>
      <c r="M67" s="389"/>
      <c r="W67" s="133">
        <v>42495</v>
      </c>
      <c r="X67" s="10">
        <v>76.5</v>
      </c>
      <c r="Y67" s="10">
        <v>79.069999999999993</v>
      </c>
      <c r="Z67" s="10">
        <v>75.5</v>
      </c>
      <c r="AA67" s="10">
        <v>78.55</v>
      </c>
      <c r="AB67" s="95">
        <v>5766300</v>
      </c>
      <c r="AC67" s="10">
        <v>78.08</v>
      </c>
      <c r="AD67" s="2">
        <f>Y67-Z67</f>
        <v>3.5699999999999932</v>
      </c>
      <c r="AE67" s="138" t="e">
        <f>AC67/#REF!-1</f>
        <v>#REF!</v>
      </c>
    </row>
    <row r="68" spans="1:31" x14ac:dyDescent="0.25">
      <c r="A68" s="389"/>
      <c r="B68" s="388">
        <v>42548</v>
      </c>
      <c r="C68" s="389">
        <v>25</v>
      </c>
      <c r="D68" s="390">
        <v>73.58</v>
      </c>
      <c r="E68" s="390">
        <v>0</v>
      </c>
      <c r="F68" s="390">
        <f>D68*C68+E68</f>
        <v>1839.5</v>
      </c>
      <c r="G68" s="388">
        <v>42580</v>
      </c>
      <c r="H68" s="393">
        <v>40</v>
      </c>
      <c r="I68" s="390">
        <v>83.33</v>
      </c>
      <c r="J68" s="390">
        <v>7.0000000000000007E-2</v>
      </c>
      <c r="K68" s="390">
        <f t="shared" si="24"/>
        <v>3333.1299999999997</v>
      </c>
      <c r="L68" s="389"/>
      <c r="M68" s="389"/>
      <c r="W68" s="133">
        <v>42494</v>
      </c>
      <c r="X68" s="10">
        <v>79.09</v>
      </c>
      <c r="Y68" s="10">
        <v>79.430000000000007</v>
      </c>
      <c r="Z68" s="10">
        <v>77.36</v>
      </c>
      <c r="AA68" s="10">
        <v>77.510000000000005</v>
      </c>
      <c r="AB68" s="95">
        <v>3899400</v>
      </c>
      <c r="AC68" s="10">
        <v>77.05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9"/>
      <c r="B69" s="388"/>
      <c r="C69" s="389"/>
      <c r="D69" s="390"/>
      <c r="E69" s="390"/>
      <c r="F69" s="390"/>
      <c r="G69" s="389"/>
      <c r="H69" s="393"/>
      <c r="I69" s="390"/>
      <c r="J69" s="390"/>
      <c r="K69" s="390"/>
      <c r="L69" s="389"/>
      <c r="M69" s="389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9"/>
      <c r="B70" s="389"/>
      <c r="C70" s="389"/>
      <c r="D70" s="390"/>
      <c r="E70" s="390"/>
      <c r="F70" s="390"/>
      <c r="G70" s="389"/>
      <c r="H70" s="393"/>
      <c r="I70" s="390"/>
      <c r="J70" s="390"/>
      <c r="K70" s="390"/>
      <c r="L70" s="389"/>
      <c r="M70" s="389"/>
    </row>
    <row r="71" spans="1:31" x14ac:dyDescent="0.25">
      <c r="A71" s="389"/>
      <c r="B71" s="389"/>
      <c r="C71" s="389"/>
      <c r="D71" s="390"/>
      <c r="E71" s="390"/>
      <c r="F71" s="390"/>
      <c r="G71" s="389"/>
      <c r="H71" s="393"/>
      <c r="I71" s="390"/>
      <c r="J71" s="390"/>
      <c r="K71" s="390"/>
      <c r="L71" s="389"/>
      <c r="M71" s="389"/>
    </row>
    <row r="72" spans="1:31" x14ac:dyDescent="0.25">
      <c r="A72" s="389"/>
      <c r="B72" s="389"/>
      <c r="C72" s="389"/>
      <c r="D72" s="390"/>
      <c r="E72" s="390"/>
      <c r="F72" s="390"/>
      <c r="G72" s="389"/>
      <c r="H72" s="393"/>
      <c r="I72" s="390"/>
      <c r="J72" s="390"/>
      <c r="K72" s="390"/>
      <c r="L72" s="389"/>
      <c r="M72" s="389"/>
    </row>
    <row r="73" spans="1:31" x14ac:dyDescent="0.25">
      <c r="A73" s="389"/>
      <c r="B73" s="389"/>
      <c r="C73" s="389"/>
      <c r="D73" s="390"/>
      <c r="E73" s="390"/>
      <c r="F73" s="390"/>
      <c r="G73" s="389"/>
      <c r="H73" s="393"/>
      <c r="I73" s="390"/>
      <c r="J73" s="390"/>
      <c r="K73" s="390"/>
      <c r="L73" s="389"/>
      <c r="M73" s="389"/>
    </row>
    <row r="74" spans="1:31" x14ac:dyDescent="0.25">
      <c r="A74" s="389"/>
      <c r="B74" s="389"/>
      <c r="C74" s="389"/>
      <c r="D74" s="390"/>
      <c r="E74" s="390"/>
      <c r="F74" s="390"/>
      <c r="G74" s="389"/>
      <c r="H74" s="393"/>
      <c r="I74" s="390"/>
      <c r="J74" s="390"/>
      <c r="K74" s="390"/>
      <c r="L74" s="389"/>
      <c r="M74" s="389"/>
    </row>
    <row r="75" spans="1:31" x14ac:dyDescent="0.25">
      <c r="A75" s="389"/>
      <c r="B75" s="389"/>
      <c r="C75" s="389"/>
      <c r="D75" s="390"/>
      <c r="E75" s="390"/>
      <c r="F75" s="390"/>
      <c r="G75" s="389"/>
      <c r="H75" s="393"/>
      <c r="I75" s="390"/>
      <c r="J75" s="390"/>
      <c r="K75" s="390"/>
      <c r="L75" s="389"/>
      <c r="M75" s="389"/>
    </row>
    <row r="76" spans="1:31" x14ac:dyDescent="0.25">
      <c r="A76" s="389"/>
      <c r="B76" s="389"/>
      <c r="C76" s="389"/>
      <c r="D76" s="390"/>
      <c r="E76" s="390"/>
      <c r="F76" s="390"/>
      <c r="G76" s="389"/>
      <c r="H76" s="393"/>
      <c r="I76" s="390"/>
      <c r="J76" s="390"/>
      <c r="K76" s="390"/>
      <c r="L76" s="389"/>
      <c r="M76" s="389"/>
    </row>
    <row r="77" spans="1:31" x14ac:dyDescent="0.25">
      <c r="A77" s="389"/>
      <c r="B77" s="389"/>
      <c r="C77" s="389"/>
      <c r="D77" s="390"/>
      <c r="E77" s="390"/>
      <c r="F77" s="390"/>
      <c r="G77" s="389"/>
      <c r="H77" s="393"/>
      <c r="I77" s="390"/>
      <c r="J77" s="390"/>
      <c r="K77" s="390"/>
      <c r="L77" s="389"/>
      <c r="M77" s="389"/>
    </row>
    <row r="78" spans="1:31" x14ac:dyDescent="0.25">
      <c r="A78" s="389"/>
      <c r="B78" s="389"/>
      <c r="C78" s="389"/>
      <c r="D78" s="390"/>
      <c r="E78" s="390"/>
      <c r="F78" s="390"/>
      <c r="G78" s="389"/>
      <c r="H78" s="393"/>
      <c r="I78" s="390"/>
      <c r="J78" s="390"/>
      <c r="K78" s="390"/>
      <c r="L78" s="389"/>
      <c r="M78" s="389"/>
    </row>
    <row r="79" spans="1:31" x14ac:dyDescent="0.25">
      <c r="A79" s="389"/>
      <c r="B79" s="389"/>
      <c r="C79" s="389"/>
      <c r="D79" s="390"/>
      <c r="E79" s="390"/>
      <c r="F79" s="390"/>
      <c r="G79" s="389"/>
      <c r="H79" s="393"/>
      <c r="I79" s="390"/>
      <c r="J79" s="390"/>
      <c r="K79" s="390"/>
      <c r="L79" s="389"/>
      <c r="M79" s="389"/>
    </row>
    <row r="80" spans="1:31" x14ac:dyDescent="0.25">
      <c r="A80" s="389"/>
      <c r="B80" s="389"/>
      <c r="C80" s="389"/>
      <c r="D80" s="390"/>
      <c r="E80" s="390"/>
      <c r="F80" s="390"/>
      <c r="G80" s="389"/>
      <c r="H80" s="393"/>
      <c r="I80" s="390"/>
      <c r="J80" s="390"/>
      <c r="K80" s="390"/>
      <c r="L80" s="389"/>
      <c r="M80" s="389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503" t="s">
        <v>206</v>
      </c>
      <c r="B82" s="504"/>
      <c r="C82" s="505">
        <f>SumByColor($A$19,C65:C80)</f>
        <v>0</v>
      </c>
      <c r="D82" s="505"/>
      <c r="E82" s="505"/>
      <c r="F82" s="506">
        <f>SumByColor($A$19,F65:F80)</f>
        <v>0</v>
      </c>
      <c r="G82" s="505"/>
      <c r="H82" s="505">
        <f>SumByColor($A$19,H65:H80)</f>
        <v>0</v>
      </c>
      <c r="I82" s="505"/>
      <c r="J82" s="505"/>
      <c r="K82" s="506">
        <f>SumByColor($A$19,K65:K80)</f>
        <v>0</v>
      </c>
      <c r="L82" s="505"/>
      <c r="M82" s="506">
        <f t="shared" ref="M82" si="25">SumByColor($A$19,M65:M80)</f>
        <v>0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7" priority="27">
      <formula>F29&gt;0</formula>
    </cfRule>
    <cfRule type="expression" dxfId="146" priority="28">
      <formula>F29&lt;0</formula>
    </cfRule>
  </conditionalFormatting>
  <conditionalFormatting sqref="F34:F58">
    <cfRule type="expression" dxfId="145" priority="23">
      <formula>F34&gt;0</formula>
    </cfRule>
    <cfRule type="expression" dxfId="144" priority="24">
      <formula>F34&lt;0</formula>
    </cfRule>
  </conditionalFormatting>
  <conditionalFormatting sqref="F34:F58">
    <cfRule type="expression" dxfId="143" priority="25">
      <formula>F34&gt;0</formula>
    </cfRule>
    <cfRule type="expression" dxfId="142" priority="26">
      <formula>F34&lt;0</formula>
    </cfRule>
  </conditionalFormatting>
  <conditionalFormatting sqref="H29:H58">
    <cfRule type="expression" dxfId="141" priority="21">
      <formula>H29&gt;0</formula>
    </cfRule>
    <cfRule type="expression" dxfId="140" priority="22">
      <formula>H29&lt;0</formula>
    </cfRule>
  </conditionalFormatting>
  <conditionalFormatting sqref="F25:F28">
    <cfRule type="expression" dxfId="139" priority="15">
      <formula>F25&gt;0</formula>
    </cfRule>
    <cfRule type="expression" dxfId="138" priority="16">
      <formula>F25&lt;0</formula>
    </cfRule>
  </conditionalFormatting>
  <conditionalFormatting sqref="H25:H28">
    <cfRule type="expression" dxfId="137" priority="13">
      <formula>H25&gt;0</formula>
    </cfRule>
    <cfRule type="expression" dxfId="136" priority="14">
      <formula>H25&lt;0</formula>
    </cfRule>
  </conditionalFormatting>
  <conditionalFormatting sqref="Q7">
    <cfRule type="expression" dxfId="135" priority="3">
      <formula>Q7&gt;0</formula>
    </cfRule>
    <cfRule type="expression" dxfId="134" priority="4">
      <formula>Q7&lt;0</formula>
    </cfRule>
  </conditionalFormatting>
  <conditionalFormatting sqref="Q8">
    <cfRule type="expression" dxfId="133" priority="1">
      <formula>Q8&gt;0</formula>
    </cfRule>
    <cfRule type="expression" dxfId="132" priority="2">
      <formula>Q8&lt;0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86"/>
  <sheetViews>
    <sheetView zoomScaleNormal="100" workbookViewId="0">
      <pane ySplit="1" topLeftCell="A32" activePane="bottomLeft" state="frozen"/>
      <selection activeCell="A2" sqref="A2"/>
      <selection pane="bottomLeft" activeCell="P51" sqref="P51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2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1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C29-H29</f>
        <v>400</v>
      </c>
      <c r="T2" s="1" t="s">
        <v>216</v>
      </c>
      <c r="W2" s="133">
        <v>42587</v>
      </c>
      <c r="X2" s="10">
        <v>36.979999999999997</v>
      </c>
      <c r="Y2" s="10">
        <v>37.729999999999997</v>
      </c>
      <c r="Z2" s="10">
        <v>36.86</v>
      </c>
      <c r="AA2" s="10">
        <v>37.67</v>
      </c>
      <c r="AB2" s="95">
        <v>8055300</v>
      </c>
      <c r="AC2" s="10">
        <v>37.67</v>
      </c>
      <c r="AD2" s="2">
        <f>Y2-Z2</f>
        <v>0.86999999999999744</v>
      </c>
      <c r="AE2" s="138">
        <f>AC2/AC3-1</f>
        <v>3.0925013683634539E-2</v>
      </c>
    </row>
    <row r="3" spans="1:31" x14ac:dyDescent="0.25">
      <c r="A3" s="23" t="s">
        <v>71</v>
      </c>
      <c r="B3" s="482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2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 t="s">
        <v>549</v>
      </c>
      <c r="M3" s="4"/>
      <c r="O3" s="11" t="s">
        <v>58</v>
      </c>
      <c r="Q3" s="232">
        <f>IF(Q2=0, Q4, (F29-K29-M29)/Q2)</f>
        <v>37.037100000000009</v>
      </c>
      <c r="T3" s="1">
        <v>42565</v>
      </c>
      <c r="U3" t="s">
        <v>302</v>
      </c>
      <c r="W3" s="133">
        <v>42586</v>
      </c>
      <c r="X3" s="10">
        <v>36.520000000000003</v>
      </c>
      <c r="Y3" s="10">
        <v>36.68</v>
      </c>
      <c r="Z3" s="10">
        <v>36.020000000000003</v>
      </c>
      <c r="AA3" s="10">
        <v>36.54</v>
      </c>
      <c r="AB3" s="95">
        <v>8820500</v>
      </c>
      <c r="AC3" s="10">
        <v>36.54</v>
      </c>
      <c r="AD3" s="2">
        <f t="shared" ref="AD3:AD66" si="1">Y3-Z3</f>
        <v>0.65999999999999659</v>
      </c>
      <c r="AE3" s="138">
        <f t="shared" ref="AE3:AE66" si="2">AC3/AC4-1</f>
        <v>1.6447368421053099E-3</v>
      </c>
    </row>
    <row r="4" spans="1:31" x14ac:dyDescent="0.25">
      <c r="B4" s="482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2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 t="s">
        <v>550</v>
      </c>
      <c r="M4" s="4"/>
      <c r="O4" s="11" t="s">
        <v>66</v>
      </c>
      <c r="Q4" s="203">
        <v>37.44</v>
      </c>
      <c r="T4" s="163">
        <v>42568</v>
      </c>
      <c r="U4" t="s">
        <v>322</v>
      </c>
      <c r="W4" s="133">
        <v>42585</v>
      </c>
      <c r="X4" s="10">
        <v>36.380000000000003</v>
      </c>
      <c r="Y4" s="10">
        <v>36.869999999999997</v>
      </c>
      <c r="Z4" s="10">
        <v>36.17</v>
      </c>
      <c r="AA4" s="10">
        <v>36.479999999999997</v>
      </c>
      <c r="AB4" s="95">
        <v>10985400</v>
      </c>
      <c r="AC4" s="10">
        <v>36.479999999999997</v>
      </c>
      <c r="AD4" s="2">
        <f t="shared" si="1"/>
        <v>0.69999999999999574</v>
      </c>
      <c r="AE4" s="138">
        <f t="shared" si="2"/>
        <v>2.4732069249793209E-3</v>
      </c>
    </row>
    <row r="5" spans="1:31" x14ac:dyDescent="0.25">
      <c r="B5" s="482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2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14976</v>
      </c>
      <c r="W5" s="133">
        <v>42584</v>
      </c>
      <c r="X5" s="10">
        <v>38.82</v>
      </c>
      <c r="Y5" s="10">
        <v>38.85</v>
      </c>
      <c r="Z5" s="10">
        <v>36.29</v>
      </c>
      <c r="AA5" s="10">
        <v>36.39</v>
      </c>
      <c r="AB5" s="95">
        <v>19908000</v>
      </c>
      <c r="AC5" s="10">
        <v>36.39</v>
      </c>
      <c r="AD5" s="2">
        <f t="shared" si="1"/>
        <v>2.5600000000000023</v>
      </c>
      <c r="AE5" s="138">
        <f t="shared" si="2"/>
        <v>-7.8267477203647351E-2</v>
      </c>
    </row>
    <row r="6" spans="1:31" x14ac:dyDescent="0.25">
      <c r="B6" s="482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1"/>
      <c r="H6" s="7"/>
      <c r="I6" s="44"/>
      <c r="J6" s="44"/>
      <c r="K6" s="44"/>
      <c r="L6" s="4"/>
      <c r="M6" s="4"/>
      <c r="O6" s="11" t="s">
        <v>64</v>
      </c>
      <c r="Q6" s="2">
        <f>Q3*Q2</f>
        <v>14814.840000000004</v>
      </c>
      <c r="W6" s="133">
        <v>42583</v>
      </c>
      <c r="X6" s="10">
        <v>38.92</v>
      </c>
      <c r="Y6" s="10">
        <v>39.51</v>
      </c>
      <c r="Z6" s="10">
        <v>38.78</v>
      </c>
      <c r="AA6" s="10">
        <v>39.479999999999997</v>
      </c>
      <c r="AB6" s="95">
        <v>8543600</v>
      </c>
      <c r="AC6" s="10">
        <v>39.479999999999997</v>
      </c>
      <c r="AD6" s="2">
        <f t="shared" si="1"/>
        <v>0.72999999999999687</v>
      </c>
      <c r="AE6" s="138">
        <f t="shared" si="2"/>
        <v>1.8838709677419185E-2</v>
      </c>
    </row>
    <row r="7" spans="1:31" x14ac:dyDescent="0.25">
      <c r="B7" s="482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82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188</v>
      </c>
      <c r="Q7" s="2">
        <f>Q10+Q8</f>
        <v>366.1799999999962</v>
      </c>
      <c r="R7">
        <v>250</v>
      </c>
      <c r="W7" s="133">
        <v>42580</v>
      </c>
      <c r="X7" s="10">
        <v>39.369999999999997</v>
      </c>
      <c r="Y7" s="10">
        <v>39.9</v>
      </c>
      <c r="Z7" s="10">
        <v>38.74</v>
      </c>
      <c r="AA7" s="10">
        <v>38.75</v>
      </c>
      <c r="AB7" s="95">
        <v>10460900</v>
      </c>
      <c r="AC7" s="10">
        <v>38.75</v>
      </c>
      <c r="AD7" s="2">
        <f t="shared" si="1"/>
        <v>1.1599999999999966</v>
      </c>
      <c r="AE7" s="138">
        <f t="shared" si="2"/>
        <v>-1.5497967479674801E-2</v>
      </c>
    </row>
    <row r="8" spans="1:31" x14ac:dyDescent="0.25">
      <c r="B8" s="482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82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192</v>
      </c>
      <c r="P8" s="34"/>
      <c r="Q8" s="2">
        <f>K29+M29-F29+Q2*Q4</f>
        <v>161.15999999999622</v>
      </c>
      <c r="R8" s="438"/>
      <c r="W8" s="133">
        <v>42579</v>
      </c>
      <c r="X8" s="10">
        <v>38.5</v>
      </c>
      <c r="Y8" s="10">
        <v>39.54</v>
      </c>
      <c r="Z8" s="10">
        <v>38.25</v>
      </c>
      <c r="AA8" s="10">
        <v>39.36</v>
      </c>
      <c r="AB8" s="95">
        <v>7353100</v>
      </c>
      <c r="AC8" s="10">
        <v>39.36</v>
      </c>
      <c r="AD8" s="2">
        <f t="shared" si="1"/>
        <v>1.2899999999999991</v>
      </c>
      <c r="AE8" s="138">
        <f t="shared" si="2"/>
        <v>2.1276595744680771E-2</v>
      </c>
    </row>
    <row r="9" spans="1:31" x14ac:dyDescent="0.25">
      <c r="B9" s="482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84"/>
      <c r="H9" s="7"/>
      <c r="I9" s="44"/>
      <c r="J9" s="44"/>
      <c r="K9" s="44"/>
      <c r="L9" s="4"/>
      <c r="M9" s="4"/>
      <c r="O9" s="11" t="s">
        <v>231</v>
      </c>
      <c r="Q9" s="138">
        <f>IF(Q2=0, 0, Q8/Q6)</f>
        <v>1.087828150692118E-2</v>
      </c>
      <c r="W9" s="133">
        <v>42578</v>
      </c>
      <c r="X9" s="10">
        <v>38.880000000000003</v>
      </c>
      <c r="Y9" s="10">
        <v>38.92</v>
      </c>
      <c r="Z9" s="10">
        <v>38.5</v>
      </c>
      <c r="AA9" s="10">
        <v>38.54</v>
      </c>
      <c r="AB9" s="95">
        <v>8668400</v>
      </c>
      <c r="AC9" s="10">
        <v>38.54</v>
      </c>
      <c r="AD9" s="2">
        <f t="shared" si="1"/>
        <v>0.42000000000000171</v>
      </c>
      <c r="AE9" s="138">
        <f t="shared" si="2"/>
        <v>-1.255444529848837E-2</v>
      </c>
    </row>
    <row r="10" spans="1:31" x14ac:dyDescent="0.25">
      <c r="B10" s="482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82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230</v>
      </c>
      <c r="P10" s="34"/>
      <c r="Q10" s="2">
        <f>M68</f>
        <v>205.01999999999998</v>
      </c>
      <c r="W10" s="133">
        <v>42577</v>
      </c>
      <c r="X10" s="10">
        <v>38.97</v>
      </c>
      <c r="Y10" s="10">
        <v>39.33</v>
      </c>
      <c r="Z10" s="10">
        <v>38.61</v>
      </c>
      <c r="AA10" s="10">
        <v>39.03</v>
      </c>
      <c r="AB10" s="95">
        <v>9008000</v>
      </c>
      <c r="AC10" s="10">
        <v>39.03</v>
      </c>
      <c r="AD10" s="2">
        <f t="shared" si="1"/>
        <v>0.71999999999999886</v>
      </c>
      <c r="AE10" s="138">
        <f t="shared" si="2"/>
        <v>1.7967145790553918E-3</v>
      </c>
    </row>
    <row r="11" spans="1:31" x14ac:dyDescent="0.25">
      <c r="B11" s="482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82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2.1499999999999998E-2</v>
      </c>
      <c r="W11" s="133">
        <v>42576</v>
      </c>
      <c r="X11" s="10">
        <v>39.17</v>
      </c>
      <c r="Y11" s="10">
        <v>39.26</v>
      </c>
      <c r="Z11" s="10">
        <v>38.549999999999997</v>
      </c>
      <c r="AA11" s="10">
        <v>38.96</v>
      </c>
      <c r="AB11" s="95">
        <v>7158500</v>
      </c>
      <c r="AC11" s="10">
        <v>38.96</v>
      </c>
      <c r="AD11" s="2">
        <f t="shared" si="1"/>
        <v>0.71000000000000085</v>
      </c>
      <c r="AE11" s="138">
        <f t="shared" si="2"/>
        <v>0</v>
      </c>
    </row>
    <row r="12" spans="1:31" x14ac:dyDescent="0.25">
      <c r="B12" s="482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82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42573</v>
      </c>
      <c r="X12" s="10">
        <v>39.07</v>
      </c>
      <c r="Y12" s="10">
        <v>39.19</v>
      </c>
      <c r="Z12" s="10">
        <v>38.43</v>
      </c>
      <c r="AA12" s="10">
        <v>38.96</v>
      </c>
      <c r="AB12" s="95">
        <v>9573500</v>
      </c>
      <c r="AC12" s="10">
        <v>38.96</v>
      </c>
      <c r="AD12" s="2">
        <f t="shared" si="1"/>
        <v>0.75999999999999801</v>
      </c>
      <c r="AE12" s="138">
        <f t="shared" si="2"/>
        <v>1.1422637590861928E-2</v>
      </c>
    </row>
    <row r="13" spans="1:31" x14ac:dyDescent="0.25">
      <c r="B13" s="1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42572</v>
      </c>
      <c r="X13" s="10">
        <v>39.11</v>
      </c>
      <c r="Y13" s="10">
        <v>39.26</v>
      </c>
      <c r="Z13" s="10">
        <v>38.270000000000003</v>
      </c>
      <c r="AA13" s="10">
        <v>38.520000000000003</v>
      </c>
      <c r="AB13" s="95">
        <v>17399700</v>
      </c>
      <c r="AC13" s="10">
        <v>38.520000000000003</v>
      </c>
      <c r="AD13" s="2">
        <f t="shared" si="1"/>
        <v>0.98999999999999488</v>
      </c>
      <c r="AE13" s="138">
        <f t="shared" si="2"/>
        <v>-4.2029345933847218E-2</v>
      </c>
    </row>
    <row r="14" spans="1:31" x14ac:dyDescent="0.25">
      <c r="B14" s="1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42571</v>
      </c>
      <c r="X14" s="10">
        <v>40.69</v>
      </c>
      <c r="Y14" s="10">
        <v>41.22</v>
      </c>
      <c r="Z14" s="10">
        <v>39.94</v>
      </c>
      <c r="AA14" s="10">
        <v>40.21</v>
      </c>
      <c r="AB14" s="95">
        <v>9541900</v>
      </c>
      <c r="AC14" s="10">
        <v>40.21</v>
      </c>
      <c r="AD14" s="2">
        <f t="shared" si="1"/>
        <v>1.2800000000000011</v>
      </c>
      <c r="AE14" s="138">
        <f t="shared" si="2"/>
        <v>-7.8953861337280884E-3</v>
      </c>
    </row>
    <row r="15" spans="1:31" x14ac:dyDescent="0.25">
      <c r="B15" s="1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42570</v>
      </c>
      <c r="X15" s="10">
        <v>39.880000000000003</v>
      </c>
      <c r="Y15" s="10">
        <v>40.58</v>
      </c>
      <c r="Z15" s="10">
        <v>39.5</v>
      </c>
      <c r="AA15" s="10">
        <v>40.53</v>
      </c>
      <c r="AB15" s="95">
        <v>9297000</v>
      </c>
      <c r="AC15" s="10">
        <v>40.53</v>
      </c>
      <c r="AD15" s="2">
        <f t="shared" si="1"/>
        <v>1.0799999999999983</v>
      </c>
      <c r="AE15" s="138">
        <f t="shared" si="2"/>
        <v>1.0723192019950201E-2</v>
      </c>
    </row>
    <row r="16" spans="1:31" x14ac:dyDescent="0.25">
      <c r="B16" s="1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42569</v>
      </c>
      <c r="X16" s="10">
        <v>40.17</v>
      </c>
      <c r="Y16" s="10">
        <v>40.520000000000003</v>
      </c>
      <c r="Z16" s="10">
        <v>40.06</v>
      </c>
      <c r="AA16" s="10">
        <v>40.1</v>
      </c>
      <c r="AB16" s="95">
        <v>8285500</v>
      </c>
      <c r="AC16" s="10">
        <v>40.1</v>
      </c>
      <c r="AD16" s="2">
        <f t="shared" si="1"/>
        <v>0.46000000000000085</v>
      </c>
      <c r="AE16" s="138">
        <f t="shared" si="2"/>
        <v>3.0015007503751967E-3</v>
      </c>
    </row>
    <row r="17" spans="1:31" x14ac:dyDescent="0.25">
      <c r="B17" s="1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42566</v>
      </c>
      <c r="X17" s="10">
        <v>40.46</v>
      </c>
      <c r="Y17" s="10">
        <v>40.54</v>
      </c>
      <c r="Z17" s="10">
        <v>39.71</v>
      </c>
      <c r="AA17" s="10">
        <v>39.979999999999997</v>
      </c>
      <c r="AB17" s="95">
        <v>15192400</v>
      </c>
      <c r="AC17" s="10">
        <v>39.979999999999997</v>
      </c>
      <c r="AD17" s="2">
        <f t="shared" si="1"/>
        <v>0.82999999999999829</v>
      </c>
      <c r="AE17" s="138">
        <f t="shared" si="2"/>
        <v>-2.4402147388970286E-2</v>
      </c>
    </row>
    <row r="18" spans="1:31" x14ac:dyDescent="0.25">
      <c r="B18" s="1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42565</v>
      </c>
      <c r="X18" s="10">
        <v>40.33</v>
      </c>
      <c r="Y18" s="10">
        <v>41.35</v>
      </c>
      <c r="Z18" s="10">
        <v>40.159999999999997</v>
      </c>
      <c r="AA18" s="10">
        <v>40.98</v>
      </c>
      <c r="AB18" s="95">
        <v>18543000</v>
      </c>
      <c r="AC18" s="10">
        <v>40.98</v>
      </c>
      <c r="AD18" s="2">
        <f t="shared" si="1"/>
        <v>1.1900000000000048</v>
      </c>
      <c r="AE18" s="138">
        <f t="shared" si="2"/>
        <v>3.5894843276036204E-2</v>
      </c>
    </row>
    <row r="19" spans="1:31" x14ac:dyDescent="0.25">
      <c r="W19" s="133">
        <v>42564</v>
      </c>
      <c r="X19" s="10">
        <v>40.5</v>
      </c>
      <c r="Y19" s="10">
        <v>40.6</v>
      </c>
      <c r="Z19" s="10">
        <v>39.42</v>
      </c>
      <c r="AA19" s="10">
        <v>39.56</v>
      </c>
      <c r="AB19" s="95">
        <v>13885600</v>
      </c>
      <c r="AC19" s="10">
        <v>39.56</v>
      </c>
      <c r="AD19" s="2">
        <f t="shared" si="1"/>
        <v>1.1799999999999997</v>
      </c>
      <c r="AE19" s="138">
        <f t="shared" si="2"/>
        <v>-1.6165133051479708E-2</v>
      </c>
    </row>
    <row r="20" spans="1:31" x14ac:dyDescent="0.25">
      <c r="W20" s="133">
        <v>42563</v>
      </c>
      <c r="X20" s="10">
        <v>39.200000000000003</v>
      </c>
      <c r="Y20" s="10">
        <v>40.409999999999997</v>
      </c>
      <c r="Z20" s="10">
        <v>39.130000000000003</v>
      </c>
      <c r="AA20" s="10">
        <v>40.21</v>
      </c>
      <c r="AB20" s="95">
        <v>19533000</v>
      </c>
      <c r="AC20" s="10">
        <v>40.21</v>
      </c>
      <c r="AD20" s="2">
        <f t="shared" si="1"/>
        <v>1.279999999999994</v>
      </c>
      <c r="AE20" s="138">
        <f t="shared" si="2"/>
        <v>5.4826862539349541E-2</v>
      </c>
    </row>
    <row r="21" spans="1:31" x14ac:dyDescent="0.25">
      <c r="W21" s="133">
        <v>42562</v>
      </c>
      <c r="X21" s="10">
        <v>37.67</v>
      </c>
      <c r="Y21" s="10">
        <v>38.450000000000003</v>
      </c>
      <c r="Z21" s="10">
        <v>37.6</v>
      </c>
      <c r="AA21" s="10">
        <v>38.119999999999997</v>
      </c>
      <c r="AB21" s="95">
        <v>11994100</v>
      </c>
      <c r="AC21" s="10">
        <v>38.119999999999997</v>
      </c>
      <c r="AD21" s="2">
        <f t="shared" si="1"/>
        <v>0.85000000000000142</v>
      </c>
      <c r="AE21" s="138">
        <f t="shared" si="2"/>
        <v>2.0069574525020117E-2</v>
      </c>
    </row>
    <row r="22" spans="1:31" x14ac:dyDescent="0.25">
      <c r="W22" s="133">
        <v>42559</v>
      </c>
      <c r="X22" s="10">
        <v>36.9</v>
      </c>
      <c r="Y22" s="10">
        <v>37.75</v>
      </c>
      <c r="Z22" s="10">
        <v>36.86</v>
      </c>
      <c r="AA22" s="10">
        <v>37.369999999999997</v>
      </c>
      <c r="AB22" s="95">
        <v>12621000</v>
      </c>
      <c r="AC22" s="10">
        <v>37.369999999999997</v>
      </c>
      <c r="AD22" s="2">
        <f t="shared" si="1"/>
        <v>0.89000000000000057</v>
      </c>
      <c r="AE22" s="138">
        <f t="shared" si="2"/>
        <v>2.7495188342040233E-2</v>
      </c>
    </row>
    <row r="23" spans="1:31" x14ac:dyDescent="0.25">
      <c r="W23" s="133">
        <v>42558</v>
      </c>
      <c r="X23" s="10">
        <v>35.54</v>
      </c>
      <c r="Y23" s="10">
        <v>36.479999999999997</v>
      </c>
      <c r="Z23" s="10">
        <v>35.5</v>
      </c>
      <c r="AA23" s="10">
        <v>36.369999999999997</v>
      </c>
      <c r="AB23" s="95">
        <v>8775800</v>
      </c>
      <c r="AC23" s="10">
        <v>36.369999999999997</v>
      </c>
      <c r="AD23" s="2">
        <f t="shared" si="1"/>
        <v>0.97999999999999687</v>
      </c>
      <c r="AE23" s="138">
        <f t="shared" si="2"/>
        <v>2.220348510399095E-2</v>
      </c>
    </row>
    <row r="24" spans="1:31" x14ac:dyDescent="0.25">
      <c r="W24" s="133">
        <v>42557</v>
      </c>
      <c r="X24" s="10">
        <v>34.96</v>
      </c>
      <c r="Y24" s="10">
        <v>35.61</v>
      </c>
      <c r="Z24" s="10">
        <v>34.08</v>
      </c>
      <c r="AA24" s="10">
        <v>35.58</v>
      </c>
      <c r="AB24" s="95">
        <v>14540000</v>
      </c>
      <c r="AC24" s="10">
        <v>35.58</v>
      </c>
      <c r="AD24" s="2">
        <f t="shared" si="1"/>
        <v>1.5300000000000011</v>
      </c>
      <c r="AE24" s="138">
        <f t="shared" si="2"/>
        <v>-1.122964626614209E-3</v>
      </c>
    </row>
    <row r="25" spans="1:31" x14ac:dyDescent="0.25">
      <c r="W25" s="133">
        <v>42556</v>
      </c>
      <c r="X25" s="10">
        <v>36</v>
      </c>
      <c r="Y25" s="10">
        <v>36.24</v>
      </c>
      <c r="Z25" s="10">
        <v>34.78</v>
      </c>
      <c r="AA25" s="10">
        <v>35.619999999999997</v>
      </c>
      <c r="AB25" s="95">
        <v>14239500</v>
      </c>
      <c r="AC25" s="10">
        <v>35.619999999999997</v>
      </c>
      <c r="AD25" s="2">
        <f t="shared" si="1"/>
        <v>1.4600000000000009</v>
      </c>
      <c r="AE25" s="138">
        <f t="shared" si="2"/>
        <v>-3.1275496328528885E-2</v>
      </c>
    </row>
    <row r="26" spans="1:31" x14ac:dyDescent="0.25">
      <c r="W26" s="133">
        <v>42552</v>
      </c>
      <c r="X26" s="10">
        <v>36.409999999999997</v>
      </c>
      <c r="Y26" s="10">
        <v>37</v>
      </c>
      <c r="Z26" s="10">
        <v>36.31</v>
      </c>
      <c r="AA26" s="10">
        <v>36.770000000000003</v>
      </c>
      <c r="AB26" s="95">
        <v>9408400</v>
      </c>
      <c r="AC26" s="10">
        <v>36.770000000000003</v>
      </c>
      <c r="AD26" s="2">
        <f t="shared" si="1"/>
        <v>0.68999999999999773</v>
      </c>
      <c r="AE26" s="138">
        <f t="shared" si="2"/>
        <v>9.3329673346145281E-3</v>
      </c>
    </row>
    <row r="27" spans="1:31" x14ac:dyDescent="0.25">
      <c r="W27" s="133">
        <v>42551</v>
      </c>
      <c r="X27" s="10">
        <v>36.26</v>
      </c>
      <c r="Y27" s="10">
        <v>36.43</v>
      </c>
      <c r="Z27" s="10">
        <v>35.729999999999997</v>
      </c>
      <c r="AA27" s="10">
        <v>36.43</v>
      </c>
      <c r="AB27" s="95">
        <v>12413700</v>
      </c>
      <c r="AC27" s="10">
        <v>36.43</v>
      </c>
      <c r="AD27" s="2">
        <f t="shared" si="1"/>
        <v>0.70000000000000284</v>
      </c>
      <c r="AE27" s="138">
        <f t="shared" si="2"/>
        <v>5.2428256070640167E-3</v>
      </c>
    </row>
    <row r="28" spans="1:31" x14ac:dyDescent="0.25">
      <c r="H28" s="72"/>
      <c r="W28" s="133">
        <v>42550</v>
      </c>
      <c r="X28" s="10">
        <v>35.4</v>
      </c>
      <c r="Y28" s="10">
        <v>36.380000000000003</v>
      </c>
      <c r="Z28" s="10">
        <v>34.909999999999997</v>
      </c>
      <c r="AA28" s="10">
        <v>36.24</v>
      </c>
      <c r="AB28" s="95">
        <v>15059700</v>
      </c>
      <c r="AC28" s="10">
        <v>36.24</v>
      </c>
      <c r="AD28" s="2">
        <f t="shared" si="1"/>
        <v>1.470000000000006</v>
      </c>
      <c r="AE28" s="138">
        <f t="shared" si="2"/>
        <v>4.5284107297375309E-2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33.75</v>
      </c>
      <c r="W29" s="133">
        <v>42549</v>
      </c>
      <c r="X29" s="10">
        <v>34.270000000000003</v>
      </c>
      <c r="Y29" s="10">
        <v>34.67</v>
      </c>
      <c r="Z29" s="10">
        <v>33.6</v>
      </c>
      <c r="AA29" s="10">
        <v>34.67</v>
      </c>
      <c r="AB29" s="95">
        <v>19678200</v>
      </c>
      <c r="AC29" s="10">
        <v>34.67</v>
      </c>
      <c r="AD29" s="2">
        <f t="shared" si="1"/>
        <v>1.0700000000000003</v>
      </c>
      <c r="AE29" s="138">
        <f t="shared" si="2"/>
        <v>3.9268585131894573E-2</v>
      </c>
    </row>
    <row r="30" spans="1:31" ht="15.75" thickBot="1" x14ac:dyDescent="0.3">
      <c r="A30" s="363" t="s">
        <v>206</v>
      </c>
      <c r="B30" s="364"/>
      <c r="C30" s="365">
        <f>SumByColor($A$30,C2:C28)</f>
        <v>650</v>
      </c>
      <c r="D30" s="365"/>
      <c r="E30" s="365"/>
      <c r="F30" s="366">
        <f>SumByColor($A$30,F2:F28)</f>
        <v>26193</v>
      </c>
      <c r="G30" s="365"/>
      <c r="H30" s="365">
        <f>SumByColor($A$30,H3:H28)</f>
        <v>650</v>
      </c>
      <c r="I30" s="365"/>
      <c r="J30" s="365"/>
      <c r="K30" s="366">
        <f>SumByColor($A$30,K3:K28)</f>
        <v>26492</v>
      </c>
      <c r="L30" s="365"/>
      <c r="M30" s="366">
        <f>SumByColor($A$30,M2:M28)</f>
        <v>0</v>
      </c>
      <c r="W30" s="133">
        <v>42548</v>
      </c>
      <c r="X30" s="10">
        <v>34.840000000000003</v>
      </c>
      <c r="Y30" s="10">
        <v>34.94</v>
      </c>
      <c r="Z30" s="10">
        <v>32.6</v>
      </c>
      <c r="AA30" s="10">
        <v>33.36</v>
      </c>
      <c r="AB30" s="95">
        <v>28380600</v>
      </c>
      <c r="AC30" s="10">
        <v>33.36</v>
      </c>
      <c r="AD30" s="2">
        <f t="shared" si="1"/>
        <v>2.3399999999999963</v>
      </c>
      <c r="AE30" s="138">
        <f t="shared" si="2"/>
        <v>-5.1733939738487833E-2</v>
      </c>
    </row>
    <row r="31" spans="1:31" x14ac:dyDescent="0.25">
      <c r="W31" s="133">
        <v>42545</v>
      </c>
      <c r="X31" s="10">
        <v>36.090000000000003</v>
      </c>
      <c r="Y31" s="10">
        <v>37.08</v>
      </c>
      <c r="Z31" s="10">
        <v>35.17</v>
      </c>
      <c r="AA31" s="10">
        <v>35.18</v>
      </c>
      <c r="AB31" s="95">
        <v>26090700</v>
      </c>
      <c r="AC31" s="10">
        <v>35.18</v>
      </c>
      <c r="AD31" s="2">
        <f t="shared" si="1"/>
        <v>1.9099999999999966</v>
      </c>
      <c r="AE31" s="138">
        <f t="shared" si="2"/>
        <v>-8.1701905507700401E-2</v>
      </c>
    </row>
    <row r="32" spans="1:31" x14ac:dyDescent="0.25">
      <c r="W32" s="133">
        <v>42544</v>
      </c>
      <c r="X32" s="10">
        <v>39</v>
      </c>
      <c r="Y32" s="10">
        <v>39.07</v>
      </c>
      <c r="Z32" s="10">
        <v>37.729999999999997</v>
      </c>
      <c r="AA32" s="10">
        <v>38.31</v>
      </c>
      <c r="AB32" s="95">
        <v>10956200</v>
      </c>
      <c r="AC32" s="10">
        <v>38.31</v>
      </c>
      <c r="AD32" s="2">
        <f t="shared" si="1"/>
        <v>1.3400000000000034</v>
      </c>
      <c r="AE32" s="138">
        <f t="shared" si="2"/>
        <v>-6.2256809338520069E-3</v>
      </c>
    </row>
    <row r="33" spans="2:31" x14ac:dyDescent="0.25">
      <c r="W33" s="133">
        <v>42543</v>
      </c>
      <c r="X33" s="10">
        <v>38.57</v>
      </c>
      <c r="Y33" s="10">
        <v>39.159999999999997</v>
      </c>
      <c r="Z33" s="10">
        <v>38.5</v>
      </c>
      <c r="AA33" s="10">
        <v>38.549999999999997</v>
      </c>
      <c r="AB33" s="95">
        <v>7029400</v>
      </c>
      <c r="AC33" s="10">
        <v>38.549999999999997</v>
      </c>
      <c r="AD33" s="2">
        <f t="shared" si="1"/>
        <v>0.65999999999999659</v>
      </c>
      <c r="AE33" s="138">
        <f t="shared" si="2"/>
        <v>-3.1031807602793782E-3</v>
      </c>
    </row>
    <row r="34" spans="2:31" x14ac:dyDescent="0.25">
      <c r="W34" s="133">
        <v>42542</v>
      </c>
      <c r="X34" s="10">
        <v>38.67</v>
      </c>
      <c r="Y34" s="10">
        <v>39</v>
      </c>
      <c r="Z34" s="10">
        <v>38.049999999999997</v>
      </c>
      <c r="AA34" s="10">
        <v>38.67</v>
      </c>
      <c r="AB34" s="95">
        <v>11997900</v>
      </c>
      <c r="AC34" s="10">
        <v>38.67</v>
      </c>
      <c r="AD34" s="2">
        <f t="shared" si="1"/>
        <v>0.95000000000000284</v>
      </c>
      <c r="AE34" s="138">
        <f t="shared" si="2"/>
        <v>1.5227093725387109E-2</v>
      </c>
    </row>
    <row r="35" spans="2:31" x14ac:dyDescent="0.25">
      <c r="B35" s="193" t="s">
        <v>114</v>
      </c>
      <c r="C35" s="193" t="s">
        <v>150</v>
      </c>
      <c r="D35" s="194" t="s">
        <v>149</v>
      </c>
      <c r="E35" s="196" t="s">
        <v>151</v>
      </c>
      <c r="F35" s="196" t="s">
        <v>65</v>
      </c>
      <c r="G35" s="231" t="s">
        <v>155</v>
      </c>
      <c r="H35" s="231" t="s">
        <v>88</v>
      </c>
      <c r="I35" s="231" t="s">
        <v>161</v>
      </c>
      <c r="W35" s="133">
        <v>42541</v>
      </c>
      <c r="X35" s="10">
        <v>38.43</v>
      </c>
      <c r="Y35" s="10">
        <v>38.729999999999997</v>
      </c>
      <c r="Z35" s="10">
        <v>38</v>
      </c>
      <c r="AA35" s="10">
        <v>38.090000000000003</v>
      </c>
      <c r="AB35" s="95">
        <v>9921200</v>
      </c>
      <c r="AC35" s="10">
        <v>38.090000000000003</v>
      </c>
      <c r="AD35" s="2">
        <f t="shared" si="1"/>
        <v>0.72999999999999687</v>
      </c>
      <c r="AE35" s="138">
        <f t="shared" si="2"/>
        <v>2.1047092870298822E-3</v>
      </c>
    </row>
    <row r="36" spans="2:31" x14ac:dyDescent="0.25">
      <c r="B36" s="195">
        <v>42524</v>
      </c>
      <c r="C36" s="461">
        <v>200</v>
      </c>
      <c r="D36" s="462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3">
        <f t="shared" ref="H36" si="7">(E36-D36)/D36</f>
        <v>-1.4277687807779955E-2</v>
      </c>
      <c r="I36" s="40"/>
      <c r="W36" s="133">
        <v>42538</v>
      </c>
      <c r="X36" s="10">
        <v>37.94</v>
      </c>
      <c r="Y36" s="10">
        <v>38.24</v>
      </c>
      <c r="Z36" s="10">
        <v>37.68</v>
      </c>
      <c r="AA36" s="10">
        <v>38.01</v>
      </c>
      <c r="AB36" s="95">
        <v>11157800</v>
      </c>
      <c r="AC36" s="10">
        <v>38.01</v>
      </c>
      <c r="AD36" s="2">
        <f t="shared" si="1"/>
        <v>0.56000000000000227</v>
      </c>
      <c r="AE36" s="138">
        <f t="shared" si="2"/>
        <v>-2.6301946344042815E-4</v>
      </c>
    </row>
    <row r="37" spans="2:31" x14ac:dyDescent="0.25">
      <c r="B37" s="195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3">
        <f t="shared" ref="H37" si="9">(E37-D37)/D37</f>
        <v>-2.5491149627713039E-2</v>
      </c>
      <c r="I37" s="40"/>
      <c r="W37" s="133">
        <v>42537</v>
      </c>
      <c r="X37" s="10">
        <v>38.369999999999997</v>
      </c>
      <c r="Y37" s="10">
        <v>38.57</v>
      </c>
      <c r="Z37" s="10">
        <v>37.840000000000003</v>
      </c>
      <c r="AA37" s="10">
        <v>38.020000000000003</v>
      </c>
      <c r="AB37" s="95">
        <v>13086600</v>
      </c>
      <c r="AC37" s="10">
        <v>38.020000000000003</v>
      </c>
      <c r="AD37" s="2">
        <f t="shared" si="1"/>
        <v>0.72999999999999687</v>
      </c>
      <c r="AE37" s="138">
        <f t="shared" si="2"/>
        <v>-2.2370789406016889E-2</v>
      </c>
    </row>
    <row r="38" spans="2:31" x14ac:dyDescent="0.25">
      <c r="B38" s="195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3">
        <f t="shared" ref="H38" si="11">(E38-D38)/D38</f>
        <v>-7.5542965061378723E-3</v>
      </c>
      <c r="I38" s="40"/>
      <c r="W38" s="133">
        <v>42536</v>
      </c>
      <c r="X38" s="10">
        <v>39.369999999999997</v>
      </c>
      <c r="Y38" s="10">
        <v>39.78</v>
      </c>
      <c r="Z38" s="10">
        <v>38.83</v>
      </c>
      <c r="AA38" s="10">
        <v>38.89</v>
      </c>
      <c r="AB38" s="95">
        <v>11044000</v>
      </c>
      <c r="AC38" s="10">
        <v>38.89</v>
      </c>
      <c r="AD38" s="2">
        <f t="shared" si="1"/>
        <v>0.95000000000000284</v>
      </c>
      <c r="AE38" s="138">
        <f t="shared" si="2"/>
        <v>-5.6251598056762386E-3</v>
      </c>
    </row>
    <row r="39" spans="2:31" x14ac:dyDescent="0.25">
      <c r="B39" s="195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3">
        <f t="shared" ref="H39:H45" si="13">(E39-D39)/D39</f>
        <v>-4.2252324137507721E-2</v>
      </c>
      <c r="I39" s="40"/>
      <c r="W39" s="133">
        <v>42535</v>
      </c>
      <c r="X39" s="10">
        <v>40.409999999999997</v>
      </c>
      <c r="Y39" s="10">
        <v>40.56</v>
      </c>
      <c r="Z39" s="10">
        <v>38.64</v>
      </c>
      <c r="AA39" s="10">
        <v>39.11</v>
      </c>
      <c r="AB39" s="95">
        <v>15065800</v>
      </c>
      <c r="AC39" s="10">
        <v>39.11</v>
      </c>
      <c r="AD39" s="2">
        <f t="shared" si="1"/>
        <v>1.9200000000000017</v>
      </c>
      <c r="AE39" s="138">
        <f t="shared" si="2"/>
        <v>-3.5987182647276295E-2</v>
      </c>
    </row>
    <row r="40" spans="2:31" x14ac:dyDescent="0.25">
      <c r="B40" s="195">
        <v>42535</v>
      </c>
      <c r="C40" s="239">
        <v>300</v>
      </c>
      <c r="D40" s="240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3">
        <f t="shared" si="13"/>
        <v>-5.8116908138101185E-2</v>
      </c>
      <c r="I40" s="40"/>
      <c r="W40" s="133">
        <v>42534</v>
      </c>
      <c r="X40" s="10">
        <v>41.59</v>
      </c>
      <c r="Y40" s="10">
        <v>41.7</v>
      </c>
      <c r="Z40" s="10">
        <v>40.53</v>
      </c>
      <c r="AA40" s="10">
        <v>40.57</v>
      </c>
      <c r="AB40" s="95">
        <v>9946500</v>
      </c>
      <c r="AC40" s="10">
        <v>40.57</v>
      </c>
      <c r="AD40" s="2">
        <f t="shared" si="1"/>
        <v>1.1700000000000017</v>
      </c>
      <c r="AE40" s="138">
        <f t="shared" si="2"/>
        <v>-3.4966698382492889E-2</v>
      </c>
    </row>
    <row r="41" spans="2:31" x14ac:dyDescent="0.25">
      <c r="B41" s="195">
        <v>42537</v>
      </c>
      <c r="C41" s="7">
        <v>400</v>
      </c>
      <c r="D41" s="44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3">
        <f t="shared" si="13"/>
        <v>-6.3659804604862896E-2</v>
      </c>
      <c r="I41" s="40"/>
      <c r="Q41" s="2"/>
      <c r="W41" s="133">
        <v>42531</v>
      </c>
      <c r="X41" s="10">
        <v>42.06</v>
      </c>
      <c r="Y41" s="10">
        <v>42.29</v>
      </c>
      <c r="Z41" s="10">
        <v>41.41</v>
      </c>
      <c r="AA41" s="10">
        <v>42.04</v>
      </c>
      <c r="AB41" s="95">
        <v>6787900</v>
      </c>
      <c r="AC41" s="10">
        <v>42.04</v>
      </c>
      <c r="AD41" s="2">
        <f t="shared" si="1"/>
        <v>0.88000000000000256</v>
      </c>
      <c r="AE41" s="138">
        <f t="shared" si="2"/>
        <v>-8.4905660377357917E-3</v>
      </c>
    </row>
    <row r="42" spans="2:31" ht="20.25" thickBot="1" x14ac:dyDescent="0.35">
      <c r="B42" s="195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3">
        <f t="shared" si="13"/>
        <v>-4.7651884378486317E-2</v>
      </c>
      <c r="I42" s="40"/>
      <c r="O42" s="525" t="s">
        <v>78</v>
      </c>
      <c r="P42" s="525"/>
      <c r="Q42" s="2"/>
      <c r="T42" s="91" t="s">
        <v>113</v>
      </c>
      <c r="W42" s="133">
        <v>42530</v>
      </c>
      <c r="X42" s="10">
        <v>41.75</v>
      </c>
      <c r="Y42" s="10">
        <v>42.58</v>
      </c>
      <c r="Z42" s="10">
        <v>41.52</v>
      </c>
      <c r="AA42" s="10">
        <v>42.4</v>
      </c>
      <c r="AB42" s="95">
        <v>7618100</v>
      </c>
      <c r="AC42" s="10">
        <v>42.4</v>
      </c>
      <c r="AD42" s="2">
        <f t="shared" si="1"/>
        <v>1.0599999999999952</v>
      </c>
      <c r="AE42" s="138">
        <f t="shared" si="2"/>
        <v>1.3142174432496878E-2</v>
      </c>
    </row>
    <row r="43" spans="2:31" ht="15.75" thickTop="1" x14ac:dyDescent="0.25">
      <c r="B43" s="195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3">
        <f t="shared" si="13"/>
        <v>-3.466974416606388E-2</v>
      </c>
      <c r="I43" s="40"/>
      <c r="O43" s="83">
        <v>1.1000000000000001</v>
      </c>
      <c r="P43" s="83">
        <f>O43*$Q$4</f>
        <v>41.183999999999997</v>
      </c>
      <c r="Q43" s="2"/>
      <c r="T43" s="128" t="s">
        <v>98</v>
      </c>
      <c r="U43" s="98">
        <v>36.54</v>
      </c>
      <c r="W43" s="133">
        <v>42529</v>
      </c>
      <c r="X43" s="10">
        <v>42.2</v>
      </c>
      <c r="Y43" s="10">
        <v>42.45</v>
      </c>
      <c r="Z43" s="10">
        <v>41.1</v>
      </c>
      <c r="AA43" s="10">
        <v>41.85</v>
      </c>
      <c r="AB43" s="95">
        <v>13861700</v>
      </c>
      <c r="AC43" s="10">
        <v>41.85</v>
      </c>
      <c r="AD43" s="2">
        <f t="shared" si="1"/>
        <v>1.3500000000000014</v>
      </c>
      <c r="AE43" s="138">
        <f t="shared" si="2"/>
        <v>-5.9382422802850554E-3</v>
      </c>
    </row>
    <row r="44" spans="2:31" x14ac:dyDescent="0.25">
      <c r="B44" s="195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3">
        <f t="shared" si="13"/>
        <v>-0.10907612865973948</v>
      </c>
      <c r="I44" s="40"/>
      <c r="O44" s="83">
        <v>1.0900000000000001</v>
      </c>
      <c r="P44" s="83">
        <f t="shared" ref="P44:P63" si="14">O44*$Q$4</f>
        <v>40.809600000000003</v>
      </c>
      <c r="Q44" s="2"/>
      <c r="T44" s="93" t="s">
        <v>99</v>
      </c>
      <c r="U44" s="88">
        <v>36.979999999999997</v>
      </c>
      <c r="W44" s="133">
        <v>42528</v>
      </c>
      <c r="X44" s="10">
        <v>41.35</v>
      </c>
      <c r="Y44" s="10">
        <v>42.81</v>
      </c>
      <c r="Z44" s="10">
        <v>41</v>
      </c>
      <c r="AA44" s="10">
        <v>42.1</v>
      </c>
      <c r="AB44" s="95">
        <v>11445900</v>
      </c>
      <c r="AC44" s="10">
        <v>42.1</v>
      </c>
      <c r="AD44" s="2">
        <f t="shared" si="1"/>
        <v>1.8100000000000023</v>
      </c>
      <c r="AE44" s="138">
        <f t="shared" si="2"/>
        <v>1.9864341085271242E-2</v>
      </c>
    </row>
    <row r="45" spans="2:31" x14ac:dyDescent="0.25">
      <c r="B45" s="195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3">
        <f t="shared" si="13"/>
        <v>-0.13468871100781787</v>
      </c>
      <c r="I45" s="40"/>
      <c r="O45" s="83">
        <v>1.08</v>
      </c>
      <c r="P45" s="83">
        <f t="shared" si="14"/>
        <v>40.435200000000002</v>
      </c>
      <c r="Q45" s="2"/>
      <c r="T45" s="93" t="s">
        <v>100</v>
      </c>
      <c r="U45" s="88" t="s">
        <v>436</v>
      </c>
      <c r="W45" s="133">
        <v>42527</v>
      </c>
      <c r="X45" s="10">
        <v>41.54</v>
      </c>
      <c r="Y45" s="10">
        <v>41.6</v>
      </c>
      <c r="Z45" s="10">
        <v>41</v>
      </c>
      <c r="AA45" s="10">
        <v>41.28</v>
      </c>
      <c r="AB45" s="95">
        <v>11538400</v>
      </c>
      <c r="AC45" s="10">
        <v>41.28</v>
      </c>
      <c r="AD45" s="2">
        <f t="shared" si="1"/>
        <v>0.60000000000000142</v>
      </c>
      <c r="AE45" s="138">
        <f t="shared" si="2"/>
        <v>-6.9761847486167206E-3</v>
      </c>
    </row>
    <row r="46" spans="2:31" x14ac:dyDescent="0.25">
      <c r="B46" s="195">
        <v>42549</v>
      </c>
      <c r="C46" s="465">
        <v>600</v>
      </c>
      <c r="D46" s="466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3">
        <f t="shared" ref="H46" si="17">(E46-D46)/D46</f>
        <v>-0.10070916099043895</v>
      </c>
      <c r="I46" s="40"/>
      <c r="O46" s="83">
        <v>1.07</v>
      </c>
      <c r="P46" s="83">
        <f t="shared" si="14"/>
        <v>40.0608</v>
      </c>
      <c r="Q46" s="2"/>
      <c r="T46" s="93" t="s">
        <v>101</v>
      </c>
      <c r="U46" s="88" t="s">
        <v>437</v>
      </c>
      <c r="W46" s="133">
        <v>42524</v>
      </c>
      <c r="X46" s="10">
        <v>42.22</v>
      </c>
      <c r="Y46" s="10">
        <v>42.4</v>
      </c>
      <c r="Z46" s="10">
        <v>41.25</v>
      </c>
      <c r="AA46" s="10">
        <v>41.57</v>
      </c>
      <c r="AB46" s="95">
        <v>15958000</v>
      </c>
      <c r="AC46" s="10">
        <v>41.57</v>
      </c>
      <c r="AD46" s="2">
        <f t="shared" si="1"/>
        <v>1.1499999999999986</v>
      </c>
      <c r="AE46" s="138">
        <f t="shared" si="2"/>
        <v>-2.0730270906949455E-2</v>
      </c>
    </row>
    <row r="47" spans="2:31" x14ac:dyDescent="0.25">
      <c r="B47" s="195">
        <v>42552</v>
      </c>
      <c r="C47" s="286">
        <v>600</v>
      </c>
      <c r="D47" s="343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3">
        <f t="shared" ref="H47" si="20">(E47-D47)/D47</f>
        <v>-4.6238126611434643E-2</v>
      </c>
      <c r="I47" s="40"/>
      <c r="O47" s="83">
        <v>1.06</v>
      </c>
      <c r="P47" s="83">
        <f t="shared" si="14"/>
        <v>39.686399999999999</v>
      </c>
      <c r="Q47" s="2"/>
      <c r="T47" s="93" t="s">
        <v>102</v>
      </c>
      <c r="U47" s="88">
        <v>53.75</v>
      </c>
      <c r="W47" s="133">
        <v>42523</v>
      </c>
      <c r="X47" s="10">
        <v>42.77</v>
      </c>
      <c r="Y47" s="10">
        <v>43.46</v>
      </c>
      <c r="Z47" s="10">
        <v>42.4</v>
      </c>
      <c r="AA47" s="10">
        <v>42.45</v>
      </c>
      <c r="AB47" s="95">
        <v>10103500</v>
      </c>
      <c r="AC47" s="10">
        <v>42.45</v>
      </c>
      <c r="AD47" s="2">
        <f t="shared" si="1"/>
        <v>1.0600000000000023</v>
      </c>
      <c r="AE47" s="138">
        <f t="shared" si="2"/>
        <v>-2.4362215582624525E-2</v>
      </c>
    </row>
    <row r="48" spans="2:31" x14ac:dyDescent="0.25">
      <c r="B48" s="195">
        <v>42556</v>
      </c>
      <c r="C48" s="286">
        <v>600</v>
      </c>
      <c r="D48" s="343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3">
        <f t="shared" ref="H48" si="23">(E48-D48)/D48</f>
        <v>-7.6067502580889512E-2</v>
      </c>
      <c r="I48" s="40"/>
      <c r="O48" s="83">
        <v>1.05</v>
      </c>
      <c r="P48" s="83">
        <f t="shared" si="14"/>
        <v>39.311999999999998</v>
      </c>
      <c r="Q48" s="2"/>
      <c r="T48" s="93" t="s">
        <v>103</v>
      </c>
      <c r="U48" s="88">
        <v>1.10025</v>
      </c>
      <c r="W48" s="133">
        <v>42522</v>
      </c>
      <c r="X48" s="10">
        <v>43.46</v>
      </c>
      <c r="Y48" s="10">
        <v>43.71</v>
      </c>
      <c r="Z48" s="10">
        <v>43.07</v>
      </c>
      <c r="AA48" s="10">
        <v>43.51</v>
      </c>
      <c r="AB48" s="95">
        <v>7047600</v>
      </c>
      <c r="AC48" s="10">
        <v>43.51</v>
      </c>
      <c r="AD48" s="2">
        <f t="shared" si="1"/>
        <v>0.64000000000000057</v>
      </c>
      <c r="AE48" s="138">
        <f t="shared" si="2"/>
        <v>1.1504832029451961E-3</v>
      </c>
    </row>
    <row r="49" spans="2:31" x14ac:dyDescent="0.25">
      <c r="B49" s="195">
        <v>42559</v>
      </c>
      <c r="C49" s="286">
        <v>600</v>
      </c>
      <c r="D49" s="343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3">
        <f t="shared" ref="H49" si="26">(E49-D49)/D49</f>
        <v>-3.0674973931719283E-2</v>
      </c>
      <c r="I49" s="40"/>
      <c r="O49" s="83">
        <v>1.04</v>
      </c>
      <c r="P49" s="83">
        <f t="shared" si="14"/>
        <v>38.937599999999996</v>
      </c>
      <c r="Q49" s="2"/>
      <c r="T49" s="93" t="s">
        <v>123</v>
      </c>
      <c r="U49" s="88" t="s">
        <v>310</v>
      </c>
      <c r="W49" s="133">
        <v>42521</v>
      </c>
      <c r="X49" s="10">
        <v>43.25</v>
      </c>
      <c r="Y49" s="10">
        <v>43.51</v>
      </c>
      <c r="Z49" s="10">
        <v>42.65</v>
      </c>
      <c r="AA49" s="10">
        <v>43.46</v>
      </c>
      <c r="AB49" s="95">
        <v>9315100</v>
      </c>
      <c r="AC49" s="10">
        <v>43.46</v>
      </c>
      <c r="AD49" s="2">
        <f t="shared" si="1"/>
        <v>0.85999999999999943</v>
      </c>
      <c r="AE49" s="138">
        <f t="shared" si="2"/>
        <v>7.8849721706866216E-3</v>
      </c>
    </row>
    <row r="50" spans="2:31" x14ac:dyDescent="0.25">
      <c r="B50" s="195">
        <v>42562</v>
      </c>
      <c r="C50" s="286">
        <v>600</v>
      </c>
      <c r="D50" s="343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3">
        <f t="shared" ref="H50:H52" si="29">(E50-D50)/D50</f>
        <v>-1.1221033082074899E-2</v>
      </c>
      <c r="I50" s="40"/>
      <c r="O50" s="83">
        <v>1.03</v>
      </c>
      <c r="P50" s="83">
        <f t="shared" si="14"/>
        <v>38.563200000000002</v>
      </c>
      <c r="Q50" s="2"/>
      <c r="T50" s="93"/>
      <c r="U50" s="88"/>
      <c r="W50" s="133">
        <v>42517</v>
      </c>
      <c r="X50" s="10">
        <v>42.83</v>
      </c>
      <c r="Y50" s="10">
        <v>43.44</v>
      </c>
      <c r="Z50" s="10">
        <v>42.81</v>
      </c>
      <c r="AA50" s="10">
        <v>43.12</v>
      </c>
      <c r="AB50" s="95">
        <v>5509400</v>
      </c>
      <c r="AC50" s="10">
        <v>43.12</v>
      </c>
      <c r="AD50" s="2">
        <f t="shared" si="1"/>
        <v>0.62999999999999545</v>
      </c>
      <c r="AE50" s="138">
        <f t="shared" si="2"/>
        <v>8.4190832553787676E-3</v>
      </c>
    </row>
    <row r="51" spans="2:31" x14ac:dyDescent="0.25">
      <c r="B51" s="195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3">
        <f t="shared" si="29"/>
        <v>4.7266324957286276E-2</v>
      </c>
      <c r="I51" s="40"/>
      <c r="O51" s="83">
        <v>1.02</v>
      </c>
      <c r="P51" s="83">
        <f>O51*$Q$4</f>
        <v>38.188800000000001</v>
      </c>
      <c r="Q51" s="2"/>
      <c r="T51" s="93" t="s">
        <v>105</v>
      </c>
      <c r="U51" s="88" t="s">
        <v>438</v>
      </c>
      <c r="W51" s="133">
        <v>42516</v>
      </c>
      <c r="X51" s="10">
        <v>43.47</v>
      </c>
      <c r="Y51" s="10">
        <v>43.6</v>
      </c>
      <c r="Z51" s="10">
        <v>42.4</v>
      </c>
      <c r="AA51" s="10">
        <v>42.76</v>
      </c>
      <c r="AB51" s="95">
        <v>8512400</v>
      </c>
      <c r="AC51" s="10">
        <v>42.76</v>
      </c>
      <c r="AD51" s="2">
        <f t="shared" si="1"/>
        <v>1.2000000000000028</v>
      </c>
      <c r="AE51" s="138">
        <f t="shared" si="2"/>
        <v>-1.7011494252873627E-2</v>
      </c>
    </row>
    <row r="52" spans="2:31" x14ac:dyDescent="0.25">
      <c r="B52" s="195">
        <v>42566</v>
      </c>
      <c r="C52" s="7">
        <v>400</v>
      </c>
      <c r="D52" s="44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3">
        <f t="shared" si="29"/>
        <v>5.559706714051478E-2</v>
      </c>
      <c r="I52" s="40"/>
      <c r="O52" s="83">
        <v>1.01</v>
      </c>
      <c r="P52" s="83">
        <f t="shared" si="14"/>
        <v>37.814399999999999</v>
      </c>
      <c r="Q52" s="2"/>
      <c r="T52" s="93" t="s">
        <v>106</v>
      </c>
      <c r="U52" s="88" t="s">
        <v>277</v>
      </c>
      <c r="W52" s="133">
        <v>42515</v>
      </c>
      <c r="X52" s="10">
        <v>43.68</v>
      </c>
      <c r="Y52" s="10">
        <v>44.11</v>
      </c>
      <c r="Z52" s="10">
        <v>43.38</v>
      </c>
      <c r="AA52" s="10">
        <v>43.5</v>
      </c>
      <c r="AB52" s="95">
        <v>7600800</v>
      </c>
      <c r="AC52" s="10">
        <v>43.5</v>
      </c>
      <c r="AD52" s="2">
        <f t="shared" si="1"/>
        <v>0.72999999999999687</v>
      </c>
      <c r="AE52" s="138">
        <f t="shared" si="2"/>
        <v>-2.9796011918404863E-3</v>
      </c>
    </row>
    <row r="53" spans="2:31" x14ac:dyDescent="0.25">
      <c r="B53" s="195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3">
        <f t="shared" ref="H53" si="32">(E53-D53)/D53</f>
        <v>5.8765442529631E-2</v>
      </c>
      <c r="I53" s="40"/>
      <c r="O53" s="83">
        <v>1</v>
      </c>
      <c r="P53" s="83">
        <f t="shared" si="14"/>
        <v>37.44</v>
      </c>
      <c r="Q53" s="2"/>
      <c r="T53" s="93" t="s">
        <v>107</v>
      </c>
      <c r="U53" s="90">
        <v>8097455</v>
      </c>
      <c r="W53" s="133">
        <v>42514</v>
      </c>
      <c r="X53" s="10">
        <v>43.1</v>
      </c>
      <c r="Y53" s="10">
        <v>43.77</v>
      </c>
      <c r="Z53" s="10">
        <v>43.05</v>
      </c>
      <c r="AA53" s="10">
        <v>43.63</v>
      </c>
      <c r="AB53" s="95">
        <v>9359900</v>
      </c>
      <c r="AC53" s="10">
        <v>43.63</v>
      </c>
      <c r="AD53" s="2">
        <f t="shared" si="1"/>
        <v>0.72000000000000597</v>
      </c>
      <c r="AE53" s="138">
        <f t="shared" si="2"/>
        <v>1.5832363213038381E-2</v>
      </c>
    </row>
    <row r="54" spans="2:31" x14ac:dyDescent="0.25">
      <c r="B54" s="195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3">
        <f t="shared" ref="H54:H56" si="35">(E54-D54)/D54</f>
        <v>7.0118787673963692E-2</v>
      </c>
      <c r="I54" s="40"/>
      <c r="O54" s="83">
        <v>0.99</v>
      </c>
      <c r="P54" s="83">
        <f t="shared" si="14"/>
        <v>37.065599999999996</v>
      </c>
      <c r="T54" s="93" t="s">
        <v>110</v>
      </c>
      <c r="U54" s="90">
        <v>11588000</v>
      </c>
      <c r="W54" s="133">
        <v>42513</v>
      </c>
      <c r="X54" s="10">
        <v>43</v>
      </c>
      <c r="Y54" s="10">
        <v>43.6</v>
      </c>
      <c r="Z54" s="10">
        <v>42.91</v>
      </c>
      <c r="AA54" s="10">
        <v>42.95</v>
      </c>
      <c r="AB54" s="95">
        <v>5227000</v>
      </c>
      <c r="AC54" s="10">
        <v>42.95</v>
      </c>
      <c r="AD54" s="2">
        <f t="shared" si="1"/>
        <v>0.69000000000000483</v>
      </c>
      <c r="AE54" s="138">
        <f t="shared" si="2"/>
        <v>-3.4802784222737193E-3</v>
      </c>
    </row>
    <row r="55" spans="2:31" x14ac:dyDescent="0.25">
      <c r="B55" s="195">
        <v>42571</v>
      </c>
      <c r="C55" s="458">
        <v>300</v>
      </c>
      <c r="D55" s="464">
        <v>36.805999999999997</v>
      </c>
      <c r="E55" s="343">
        <v>40.21</v>
      </c>
      <c r="F55" s="40">
        <f t="shared" si="33"/>
        <v>1021.2000000000011</v>
      </c>
      <c r="G55" s="40">
        <f t="shared" si="34"/>
        <v>11041.8</v>
      </c>
      <c r="H55" s="233">
        <f t="shared" si="35"/>
        <v>9.2484920936803883E-2</v>
      </c>
      <c r="I55" s="40"/>
      <c r="O55" s="83">
        <v>0.98</v>
      </c>
      <c r="P55" s="83">
        <f t="shared" si="14"/>
        <v>36.691199999999995</v>
      </c>
      <c r="T55" s="93" t="s">
        <v>108</v>
      </c>
      <c r="U55" s="88" t="s">
        <v>439</v>
      </c>
      <c r="W55" s="133">
        <v>42510</v>
      </c>
      <c r="X55" s="10">
        <v>43.42</v>
      </c>
      <c r="Y55" s="10">
        <v>43.82</v>
      </c>
      <c r="Z55" s="10">
        <v>42.97</v>
      </c>
      <c r="AA55" s="10">
        <v>43.1</v>
      </c>
      <c r="AB55" s="95">
        <v>5964600</v>
      </c>
      <c r="AC55" s="10">
        <v>43.1</v>
      </c>
      <c r="AD55" s="2">
        <f t="shared" si="1"/>
        <v>0.85000000000000142</v>
      </c>
      <c r="AE55" s="138">
        <f t="shared" si="2"/>
        <v>0</v>
      </c>
    </row>
    <row r="56" spans="2:31" x14ac:dyDescent="0.25">
      <c r="B56" s="195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3">
        <f t="shared" si="35"/>
        <v>3.9412402791194859E-2</v>
      </c>
      <c r="I56" s="40"/>
      <c r="O56" s="83">
        <v>0.97</v>
      </c>
      <c r="P56" s="83">
        <f t="shared" si="14"/>
        <v>36.316799999999994</v>
      </c>
      <c r="T56" s="93" t="s">
        <v>111</v>
      </c>
      <c r="U56" s="88">
        <v>6.14</v>
      </c>
      <c r="W56" s="133">
        <v>42509</v>
      </c>
      <c r="X56" s="10">
        <v>43.27</v>
      </c>
      <c r="Y56" s="10">
        <v>43.88</v>
      </c>
      <c r="Z56" s="10">
        <v>42.55</v>
      </c>
      <c r="AA56" s="10">
        <v>43.1</v>
      </c>
      <c r="AB56" s="95">
        <v>8860800</v>
      </c>
      <c r="AC56" s="10">
        <v>43.1</v>
      </c>
      <c r="AD56" s="2">
        <f t="shared" si="1"/>
        <v>1.3300000000000054</v>
      </c>
      <c r="AE56" s="138">
        <f t="shared" si="2"/>
        <v>-1.7327861377108955E-2</v>
      </c>
    </row>
    <row r="57" spans="2:31" x14ac:dyDescent="0.25">
      <c r="B57" s="195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3">
        <f t="shared" ref="H57" si="38">(E57-D57)/D57</f>
        <v>5.1285233975725576E-2</v>
      </c>
      <c r="I57" s="40"/>
      <c r="O57" s="83">
        <v>0.96</v>
      </c>
      <c r="P57" s="83">
        <f t="shared" si="14"/>
        <v>35.942399999999999</v>
      </c>
      <c r="T57" s="93" t="s">
        <v>112</v>
      </c>
      <c r="U57" s="88">
        <v>6.14</v>
      </c>
      <c r="W57" s="133">
        <v>42508</v>
      </c>
      <c r="X57" s="10">
        <v>43.45</v>
      </c>
      <c r="Y57" s="10">
        <v>44.66</v>
      </c>
      <c r="Z57" s="10">
        <v>43.45</v>
      </c>
      <c r="AA57" s="10">
        <v>43.86</v>
      </c>
      <c r="AB57" s="95">
        <v>10382900</v>
      </c>
      <c r="AC57" s="10">
        <v>43.86</v>
      </c>
      <c r="AD57" s="2">
        <f t="shared" si="1"/>
        <v>1.2099999999999937</v>
      </c>
      <c r="AE57" s="138">
        <f t="shared" si="2"/>
        <v>4.3508129150446884E-3</v>
      </c>
    </row>
    <row r="58" spans="2:31" x14ac:dyDescent="0.25">
      <c r="B58" s="195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3">
        <f t="shared" ref="H58" si="41">(E58-D58)/D58</f>
        <v>5.3174093482355481E-2</v>
      </c>
      <c r="I58" s="40"/>
      <c r="O58" s="83">
        <v>0.95</v>
      </c>
      <c r="P58" s="83">
        <f t="shared" si="14"/>
        <v>35.567999999999998</v>
      </c>
      <c r="T58" s="93" t="s">
        <v>109</v>
      </c>
      <c r="U58" s="88" t="s">
        <v>570</v>
      </c>
      <c r="W58" s="133">
        <v>42507</v>
      </c>
      <c r="X58" s="10">
        <v>42.79</v>
      </c>
      <c r="Y58" s="10">
        <v>44.4</v>
      </c>
      <c r="Z58" s="10">
        <v>42.75</v>
      </c>
      <c r="AA58" s="10">
        <v>43.67</v>
      </c>
      <c r="AB58" s="95">
        <v>16203000</v>
      </c>
      <c r="AC58" s="10">
        <v>43.67</v>
      </c>
      <c r="AD58" s="2">
        <f t="shared" si="1"/>
        <v>1.6499999999999986</v>
      </c>
      <c r="AE58" s="138">
        <f t="shared" si="2"/>
        <v>1.558139534883729E-2</v>
      </c>
    </row>
    <row r="59" spans="2:31" x14ac:dyDescent="0.25">
      <c r="B59" s="195">
        <v>42580</v>
      </c>
      <c r="C59" s="239">
        <v>300</v>
      </c>
      <c r="D59" s="240">
        <v>36.606099999999998</v>
      </c>
      <c r="E59" s="40">
        <v>39.659999999999997</v>
      </c>
      <c r="F59" s="40">
        <f t="shared" ref="F59:F61" si="42">C59*(E59-D59)</f>
        <v>916.16999999999962</v>
      </c>
      <c r="G59" s="40">
        <f t="shared" ref="G59:G61" si="43">D59*C59</f>
        <v>10981.83</v>
      </c>
      <c r="H59" s="233">
        <f t="shared" ref="H59:H61" si="44">(E59-D59)/D59</f>
        <v>8.3425986379319264E-2</v>
      </c>
      <c r="I59" s="40"/>
      <c r="O59" s="83">
        <v>0.94</v>
      </c>
      <c r="P59" s="83">
        <f t="shared" si="14"/>
        <v>35.193599999999996</v>
      </c>
      <c r="W59" s="133">
        <v>42506</v>
      </c>
      <c r="X59" s="10">
        <v>42.55</v>
      </c>
      <c r="Y59" s="10">
        <v>43.16</v>
      </c>
      <c r="Z59" s="10">
        <v>42.05</v>
      </c>
      <c r="AA59" s="10">
        <v>43</v>
      </c>
      <c r="AB59" s="95">
        <v>12303100</v>
      </c>
      <c r="AC59" s="10">
        <v>43</v>
      </c>
      <c r="AD59" s="2">
        <f t="shared" si="1"/>
        <v>1.1099999999999994</v>
      </c>
      <c r="AE59" s="138">
        <f t="shared" si="2"/>
        <v>3.3653846153846034E-2</v>
      </c>
    </row>
    <row r="60" spans="2:31" x14ac:dyDescent="0.25">
      <c r="B60" s="195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3">
        <f t="shared" si="44"/>
        <v>4.8847891342065075E-2</v>
      </c>
      <c r="I60" s="40"/>
      <c r="O60" s="83">
        <v>0.93</v>
      </c>
      <c r="P60" s="83">
        <f t="shared" si="14"/>
        <v>34.819200000000002</v>
      </c>
      <c r="W60" s="133">
        <v>42503</v>
      </c>
      <c r="X60" s="10">
        <v>40.75</v>
      </c>
      <c r="Y60" s="10">
        <v>42.18</v>
      </c>
      <c r="Z60" s="10">
        <v>40.75</v>
      </c>
      <c r="AA60" s="10">
        <v>41.6</v>
      </c>
      <c r="AB60" s="95">
        <v>10758600</v>
      </c>
      <c r="AC60" s="10">
        <v>41.6</v>
      </c>
      <c r="AD60" s="2">
        <f t="shared" si="1"/>
        <v>1.4299999999999997</v>
      </c>
      <c r="AE60" s="138">
        <f t="shared" si="2"/>
        <v>1.2904796688580467E-2</v>
      </c>
    </row>
    <row r="61" spans="2:31" x14ac:dyDescent="0.25">
      <c r="B61" s="195">
        <v>42584</v>
      </c>
      <c r="C61" s="7">
        <v>400</v>
      </c>
      <c r="D61" s="44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3">
        <f t="shared" si="44"/>
        <v>-1.747167029816054E-2</v>
      </c>
      <c r="I61" s="40"/>
      <c r="O61" s="83">
        <v>0.92</v>
      </c>
      <c r="P61" s="83">
        <f t="shared" si="14"/>
        <v>34.444800000000001</v>
      </c>
      <c r="W61" s="133">
        <v>42502</v>
      </c>
      <c r="X61" s="10">
        <v>42.44</v>
      </c>
      <c r="Y61" s="10">
        <v>42.47</v>
      </c>
      <c r="Z61" s="10">
        <v>40.64</v>
      </c>
      <c r="AA61" s="10">
        <v>41.07</v>
      </c>
      <c r="AB61" s="95">
        <v>13454000</v>
      </c>
      <c r="AC61" s="10">
        <v>41.07</v>
      </c>
      <c r="AD61" s="2">
        <f t="shared" si="1"/>
        <v>1.8299999999999983</v>
      </c>
      <c r="AE61" s="138">
        <f t="shared" si="2"/>
        <v>-2.9078014184397039E-2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O62" s="83">
        <v>0.91</v>
      </c>
      <c r="P62" s="83">
        <f t="shared" si="14"/>
        <v>34.070399999999999</v>
      </c>
      <c r="W62" s="133">
        <v>42501</v>
      </c>
      <c r="X62" s="10">
        <v>42.69</v>
      </c>
      <c r="Y62" s="10">
        <v>43.31</v>
      </c>
      <c r="Z62" s="10">
        <v>42.29</v>
      </c>
      <c r="AA62" s="10">
        <v>42.3</v>
      </c>
      <c r="AB62" s="95">
        <v>9037700</v>
      </c>
      <c r="AC62" s="10">
        <v>42.3</v>
      </c>
      <c r="AD62" s="2">
        <f t="shared" si="1"/>
        <v>1.0200000000000031</v>
      </c>
      <c r="AE62" s="138">
        <f t="shared" si="2"/>
        <v>-1.5133876600698648E-2</v>
      </c>
    </row>
    <row r="63" spans="2:31" x14ac:dyDescent="0.25">
      <c r="B63" s="195"/>
      <c r="C63" s="10"/>
      <c r="D63" s="40"/>
      <c r="E63" s="40"/>
      <c r="F63" s="40"/>
      <c r="G63" s="40"/>
      <c r="H63" s="233"/>
      <c r="I63" s="40"/>
      <c r="O63" s="83">
        <v>0.9</v>
      </c>
      <c r="P63" s="83">
        <f t="shared" si="14"/>
        <v>33.695999999999998</v>
      </c>
      <c r="W63" s="133">
        <v>42500</v>
      </c>
      <c r="X63" s="10">
        <v>42.49</v>
      </c>
      <c r="Y63" s="10">
        <v>43.04</v>
      </c>
      <c r="Z63" s="10">
        <v>42.41</v>
      </c>
      <c r="AA63" s="10">
        <v>42.95</v>
      </c>
      <c r="AB63" s="95">
        <v>9299300</v>
      </c>
      <c r="AC63" s="10">
        <v>42.95</v>
      </c>
      <c r="AD63" s="2">
        <f t="shared" si="1"/>
        <v>0.63000000000000256</v>
      </c>
      <c r="AE63" s="138">
        <f t="shared" si="2"/>
        <v>1.2971698113207752E-2</v>
      </c>
    </row>
    <row r="64" spans="2:31" x14ac:dyDescent="0.25">
      <c r="B64" s="195"/>
      <c r="C64" s="10"/>
      <c r="D64" s="40"/>
      <c r="E64" s="40"/>
      <c r="F64" s="40"/>
      <c r="G64" s="40"/>
      <c r="H64" s="233"/>
      <c r="I64" s="40"/>
      <c r="W64" s="133">
        <v>42499</v>
      </c>
      <c r="X64" s="10">
        <v>42.11</v>
      </c>
      <c r="Y64" s="10">
        <v>42.84</v>
      </c>
      <c r="Z64" s="10">
        <v>41.99</v>
      </c>
      <c r="AA64" s="10">
        <v>42.4</v>
      </c>
      <c r="AB64" s="95">
        <v>10512100</v>
      </c>
      <c r="AC64" s="10">
        <v>42.4</v>
      </c>
      <c r="AD64" s="2">
        <f t="shared" si="1"/>
        <v>0.85000000000000142</v>
      </c>
      <c r="AE64" s="138" t="e">
        <f t="shared" si="2"/>
        <v>#DIV/0!</v>
      </c>
    </row>
    <row r="65" spans="1:31" x14ac:dyDescent="0.25">
      <c r="W65" s="133">
        <v>42499</v>
      </c>
      <c r="X65" s="10" t="s">
        <v>186</v>
      </c>
      <c r="Y65" s="10"/>
      <c r="Z65" s="10"/>
      <c r="AA65" s="10"/>
      <c r="AB65" s="95"/>
      <c r="AC65" s="10"/>
      <c r="AD65" s="2">
        <f t="shared" si="1"/>
        <v>0</v>
      </c>
      <c r="AE65" s="138">
        <f t="shared" si="2"/>
        <v>-1</v>
      </c>
    </row>
    <row r="66" spans="1:31" x14ac:dyDescent="0.25">
      <c r="W66" s="133">
        <v>42496</v>
      </c>
      <c r="X66" s="10">
        <v>41.61</v>
      </c>
      <c r="Y66" s="10">
        <v>42.26</v>
      </c>
      <c r="Z66" s="10">
        <v>40.950000000000003</v>
      </c>
      <c r="AA66" s="10">
        <v>42.04</v>
      </c>
      <c r="AB66" s="95">
        <v>10777200</v>
      </c>
      <c r="AC66" s="10">
        <v>41.91</v>
      </c>
      <c r="AD66" s="2">
        <f t="shared" si="1"/>
        <v>1.3099999999999952</v>
      </c>
      <c r="AE66" s="138">
        <f t="shared" si="2"/>
        <v>6.9678039404132974E-3</v>
      </c>
    </row>
    <row r="67" spans="1:31" x14ac:dyDescent="0.25">
      <c r="W67" s="133">
        <v>42495</v>
      </c>
      <c r="X67" s="10">
        <v>41.59</v>
      </c>
      <c r="Y67" s="10">
        <v>42.27</v>
      </c>
      <c r="Z67" s="10">
        <v>41.45</v>
      </c>
      <c r="AA67" s="10">
        <v>41.75</v>
      </c>
      <c r="AB67" s="95">
        <v>10271100</v>
      </c>
      <c r="AC67" s="10">
        <v>41.62</v>
      </c>
      <c r="AD67" s="2">
        <f>Y67-Z67</f>
        <v>0.82000000000000028</v>
      </c>
      <c r="AE67" s="138" t="e">
        <f>AC67/#REF!-1</f>
        <v>#REF!</v>
      </c>
    </row>
    <row r="68" spans="1:31" x14ac:dyDescent="0.25">
      <c r="L68" t="s">
        <v>230</v>
      </c>
      <c r="M68" s="474">
        <f>M86+K86-F86</f>
        <v>205.01999999999998</v>
      </c>
      <c r="W68" s="133">
        <v>42494</v>
      </c>
      <c r="X68" s="10">
        <v>42.37</v>
      </c>
      <c r="Y68" s="10">
        <v>42.56</v>
      </c>
      <c r="Z68" s="10">
        <v>41.17</v>
      </c>
      <c r="AA68" s="10">
        <v>41.43</v>
      </c>
      <c r="AB68" s="95">
        <v>14860400</v>
      </c>
      <c r="AC68" s="10">
        <v>41.3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7" t="s">
        <v>1</v>
      </c>
      <c r="B69" s="267" t="s">
        <v>2</v>
      </c>
      <c r="C69" s="267" t="s">
        <v>4</v>
      </c>
      <c r="D69" s="268" t="s">
        <v>5</v>
      </c>
      <c r="E69" s="268" t="s">
        <v>94</v>
      </c>
      <c r="F69" s="268" t="s">
        <v>60</v>
      </c>
      <c r="G69" s="267" t="s">
        <v>3</v>
      </c>
      <c r="H69" s="267" t="s">
        <v>6</v>
      </c>
      <c r="I69" s="268" t="s">
        <v>7</v>
      </c>
      <c r="J69" s="268" t="s">
        <v>95</v>
      </c>
      <c r="K69" s="268" t="s">
        <v>61</v>
      </c>
      <c r="L69" s="267" t="s">
        <v>37</v>
      </c>
      <c r="M69" s="267" t="s">
        <v>38</v>
      </c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9" t="s">
        <v>32</v>
      </c>
      <c r="B70" s="270">
        <v>42405</v>
      </c>
      <c r="C70" s="265">
        <v>30</v>
      </c>
      <c r="D70" s="266">
        <v>41.95</v>
      </c>
      <c r="E70" s="266">
        <v>0</v>
      </c>
      <c r="F70" s="266">
        <f t="shared" ref="F70" si="45">D70*C70+E70</f>
        <v>1258.5</v>
      </c>
      <c r="G70" s="270">
        <v>42445</v>
      </c>
      <c r="H70" s="271">
        <v>30</v>
      </c>
      <c r="I70" s="266">
        <v>48.65</v>
      </c>
      <c r="J70" s="266">
        <v>0.03</v>
      </c>
      <c r="K70" s="266">
        <f>H70*I70-J70</f>
        <v>1459.47</v>
      </c>
      <c r="L70" s="270">
        <v>42438</v>
      </c>
      <c r="M70" s="265">
        <v>4.05</v>
      </c>
    </row>
    <row r="71" spans="1:31" x14ac:dyDescent="0.25">
      <c r="A71" s="272" t="s">
        <v>71</v>
      </c>
      <c r="B71" s="270"/>
      <c r="C71" s="265"/>
      <c r="D71" s="266"/>
      <c r="E71" s="266"/>
      <c r="F71" s="266"/>
      <c r="G71" s="270"/>
      <c r="H71" s="271"/>
      <c r="I71" s="266"/>
      <c r="J71" s="266"/>
      <c r="K71" s="266"/>
      <c r="L71" s="270"/>
      <c r="M71" s="266"/>
    </row>
    <row r="72" spans="1:31" x14ac:dyDescent="0.25">
      <c r="A72" s="265"/>
      <c r="B72" s="270"/>
      <c r="C72" s="265"/>
      <c r="D72" s="266"/>
      <c r="E72" s="266"/>
      <c r="F72" s="266"/>
      <c r="G72" s="270"/>
      <c r="H72" s="271"/>
      <c r="I72" s="266"/>
      <c r="J72" s="266"/>
      <c r="K72" s="266"/>
      <c r="L72" s="265"/>
      <c r="M72" s="265"/>
    </row>
    <row r="73" spans="1:31" x14ac:dyDescent="0.25">
      <c r="A73" s="265"/>
      <c r="B73" s="270"/>
      <c r="C73" s="265"/>
      <c r="D73" s="266"/>
      <c r="E73" s="266"/>
      <c r="F73" s="266"/>
      <c r="G73" s="270"/>
      <c r="H73" s="271"/>
      <c r="I73" s="266"/>
      <c r="J73" s="266"/>
      <c r="K73" s="266"/>
      <c r="L73" s="265"/>
      <c r="M73" s="265"/>
    </row>
    <row r="74" spans="1:31" x14ac:dyDescent="0.25">
      <c r="A74" s="265"/>
      <c r="B74" s="270"/>
      <c r="C74" s="265"/>
      <c r="D74" s="266"/>
      <c r="E74" s="266"/>
      <c r="F74" s="266"/>
      <c r="G74" s="265"/>
      <c r="H74" s="271"/>
      <c r="I74" s="266"/>
      <c r="J74" s="266"/>
      <c r="K74" s="266"/>
      <c r="L74" s="265"/>
      <c r="M74" s="265"/>
    </row>
    <row r="75" spans="1:31" x14ac:dyDescent="0.25">
      <c r="A75" s="265"/>
      <c r="B75" s="270"/>
      <c r="C75" s="265"/>
      <c r="D75" s="266"/>
      <c r="E75" s="266"/>
      <c r="F75" s="266"/>
      <c r="G75" s="265"/>
      <c r="H75" s="271"/>
      <c r="I75" s="266"/>
      <c r="J75" s="266"/>
      <c r="K75" s="266"/>
      <c r="L75" s="265"/>
      <c r="M75" s="265"/>
    </row>
    <row r="76" spans="1:31" x14ac:dyDescent="0.25">
      <c r="A76" s="265"/>
      <c r="B76" s="270"/>
      <c r="C76" s="265"/>
      <c r="D76" s="266"/>
      <c r="E76" s="266"/>
      <c r="F76" s="266"/>
      <c r="G76" s="265"/>
      <c r="H76" s="271"/>
      <c r="I76" s="266"/>
      <c r="J76" s="266"/>
      <c r="K76" s="266"/>
      <c r="L76" s="265"/>
      <c r="M76" s="265"/>
    </row>
    <row r="77" spans="1:31" x14ac:dyDescent="0.25">
      <c r="A77" s="265"/>
      <c r="B77" s="270"/>
      <c r="C77" s="265"/>
      <c r="D77" s="266"/>
      <c r="E77" s="266"/>
      <c r="F77" s="266"/>
      <c r="G77" s="265"/>
      <c r="H77" s="271"/>
      <c r="I77" s="266"/>
      <c r="J77" s="266"/>
      <c r="K77" s="266"/>
      <c r="L77" s="265"/>
      <c r="M77" s="265"/>
    </row>
    <row r="78" spans="1:31" x14ac:dyDescent="0.25">
      <c r="A78" s="265"/>
      <c r="B78" s="265"/>
      <c r="C78" s="265"/>
      <c r="D78" s="266"/>
      <c r="E78" s="266"/>
      <c r="F78" s="266"/>
      <c r="G78" s="265"/>
      <c r="H78" s="265"/>
      <c r="I78" s="266"/>
      <c r="J78" s="266"/>
      <c r="K78" s="266"/>
      <c r="L78" s="265"/>
      <c r="M78" s="265"/>
    </row>
    <row r="79" spans="1:31" x14ac:dyDescent="0.25">
      <c r="A79" s="265"/>
      <c r="B79" s="265"/>
      <c r="C79" s="265"/>
      <c r="D79" s="266"/>
      <c r="E79" s="266"/>
      <c r="F79" s="266"/>
      <c r="G79" s="265"/>
      <c r="H79" s="265"/>
      <c r="I79" s="266"/>
      <c r="J79" s="266"/>
      <c r="K79" s="266"/>
      <c r="L79" s="265"/>
      <c r="M79" s="265"/>
    </row>
    <row r="80" spans="1:31" x14ac:dyDescent="0.25">
      <c r="A80" s="265"/>
      <c r="B80" s="265"/>
      <c r="C80" s="265"/>
      <c r="D80" s="266"/>
      <c r="E80" s="266"/>
      <c r="F80" s="266"/>
      <c r="G80" s="265"/>
      <c r="H80" s="265"/>
      <c r="I80" s="266"/>
      <c r="J80" s="266"/>
      <c r="K80" s="266"/>
      <c r="L80" s="265"/>
      <c r="M80" s="265"/>
    </row>
    <row r="81" spans="1:13" x14ac:dyDescent="0.25">
      <c r="A81" s="265"/>
      <c r="B81" s="265"/>
      <c r="C81" s="265"/>
      <c r="D81" s="266"/>
      <c r="E81" s="266"/>
      <c r="F81" s="266"/>
      <c r="G81" s="265"/>
      <c r="H81" s="265"/>
      <c r="I81" s="266"/>
      <c r="J81" s="266"/>
      <c r="K81" s="266"/>
      <c r="L81" s="265"/>
      <c r="M81" s="265"/>
    </row>
    <row r="82" spans="1:13" x14ac:dyDescent="0.25">
      <c r="A82" s="265"/>
      <c r="B82" s="265"/>
      <c r="C82" s="265"/>
      <c r="D82" s="266"/>
      <c r="E82" s="266"/>
      <c r="F82" s="266"/>
      <c r="G82" s="265"/>
      <c r="H82" s="265"/>
      <c r="I82" s="266"/>
      <c r="J82" s="266"/>
      <c r="K82" s="266"/>
      <c r="L82" s="265"/>
      <c r="M82" s="265"/>
    </row>
    <row r="83" spans="1:13" x14ac:dyDescent="0.25">
      <c r="A83" s="265"/>
      <c r="B83" s="265"/>
      <c r="C83" s="265"/>
      <c r="D83" s="266"/>
      <c r="E83" s="266"/>
      <c r="F83" s="266"/>
      <c r="G83" s="265"/>
      <c r="H83" s="265"/>
      <c r="I83" s="266"/>
      <c r="J83" s="266"/>
      <c r="K83" s="266"/>
      <c r="L83" s="265"/>
      <c r="M83" s="265"/>
    </row>
    <row r="84" spans="1:13" x14ac:dyDescent="0.25">
      <c r="A84" s="265"/>
      <c r="B84" s="265"/>
      <c r="C84" s="265"/>
      <c r="D84" s="266"/>
      <c r="E84" s="266"/>
      <c r="F84" s="266"/>
      <c r="G84" s="265"/>
      <c r="H84" s="265"/>
      <c r="I84" s="266"/>
      <c r="J84" s="266"/>
      <c r="K84" s="266"/>
      <c r="L84" s="265"/>
      <c r="M84" s="265"/>
    </row>
    <row r="85" spans="1:13" x14ac:dyDescent="0.25">
      <c r="A85" s="265"/>
      <c r="B85" s="265"/>
      <c r="C85" s="265"/>
      <c r="D85" s="266"/>
      <c r="E85" s="266"/>
      <c r="F85" s="266"/>
      <c r="G85" s="265"/>
      <c r="H85" s="271"/>
      <c r="I85" s="266"/>
      <c r="J85" s="266"/>
      <c r="K85" s="266"/>
      <c r="L85" s="265"/>
      <c r="M85" s="265"/>
    </row>
    <row r="86" spans="1:13" x14ac:dyDescent="0.25">
      <c r="A86" s="32" t="s">
        <v>81</v>
      </c>
      <c r="B86" s="14"/>
      <c r="C86" s="14">
        <f>SUM(C70:C78)</f>
        <v>30</v>
      </c>
      <c r="D86" s="18"/>
      <c r="E86" s="18"/>
      <c r="F86" s="18">
        <f>SUM(F70:F78)</f>
        <v>1258.5</v>
      </c>
      <c r="G86" s="14"/>
      <c r="H86" s="73">
        <f>SUM(H70:H74)</f>
        <v>30</v>
      </c>
      <c r="I86" s="18"/>
      <c r="J86" s="18"/>
      <c r="K86" s="18">
        <f>SUM(K70:K74)</f>
        <v>1459.47</v>
      </c>
      <c r="L86" s="14"/>
      <c r="M86" s="18">
        <f>SUM(M70:M85)</f>
        <v>4.05</v>
      </c>
    </row>
  </sheetData>
  <mergeCells count="1">
    <mergeCell ref="O42:P42"/>
  </mergeCells>
  <conditionalFormatting sqref="F45:F59 F61:F64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64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64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2">
        <v>42226</v>
      </c>
      <c r="C2" s="7">
        <v>10</v>
      </c>
      <c r="D2" s="44">
        <v>113.72</v>
      </c>
      <c r="E2" s="44">
        <v>0</v>
      </c>
      <c r="F2" s="44">
        <f t="shared" ref="F2:F8" si="0">C2*D2</f>
        <v>1137.2</v>
      </c>
      <c r="G2" s="482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30</v>
      </c>
      <c r="W2" s="133">
        <v>42587</v>
      </c>
      <c r="X2" s="10">
        <v>95.4</v>
      </c>
      <c r="Y2" s="10">
        <v>96</v>
      </c>
      <c r="Z2" s="10">
        <v>95.35</v>
      </c>
      <c r="AA2" s="10">
        <v>95.83</v>
      </c>
      <c r="AB2" s="95">
        <v>6504000</v>
      </c>
      <c r="AC2" s="10">
        <v>95.83</v>
      </c>
      <c r="AD2" s="2">
        <f>Y2-Z2</f>
        <v>0.65000000000000568</v>
      </c>
      <c r="AE2" s="138">
        <f>AC2/AC3-1</f>
        <v>7.0407734342161632E-3</v>
      </c>
    </row>
    <row r="3" spans="1:31" x14ac:dyDescent="0.25">
      <c r="A3" s="23" t="s">
        <v>71</v>
      </c>
      <c r="B3" s="482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2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(F18-K18-M18)/Q2)</f>
        <v>93.171999999999983</v>
      </c>
      <c r="T3" s="1"/>
      <c r="W3" s="133">
        <v>42586</v>
      </c>
      <c r="X3" s="10">
        <v>95.53</v>
      </c>
      <c r="Y3" s="10">
        <v>95.98</v>
      </c>
      <c r="Z3" s="10">
        <v>94.71</v>
      </c>
      <c r="AA3" s="10">
        <v>95.16</v>
      </c>
      <c r="AB3" s="95">
        <v>10038300</v>
      </c>
      <c r="AC3" s="10">
        <v>95.16</v>
      </c>
      <c r="AD3" s="2">
        <f t="shared" ref="AD3:AD66" si="1">Y3-Z3</f>
        <v>1.2700000000000102</v>
      </c>
      <c r="AE3" s="138">
        <f t="shared" ref="AE3:AE66" si="2">AC3/AC4-1</f>
        <v>-9.6784264751795801E-3</v>
      </c>
    </row>
    <row r="4" spans="1:31" x14ac:dyDescent="0.25">
      <c r="B4" s="482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2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95.75</v>
      </c>
      <c r="T4" s="163"/>
      <c r="W4" s="133">
        <v>42585</v>
      </c>
      <c r="X4" s="10">
        <v>95.06</v>
      </c>
      <c r="Y4" s="10">
        <v>96.43</v>
      </c>
      <c r="Z4" s="10">
        <v>95</v>
      </c>
      <c r="AA4" s="10">
        <v>96.09</v>
      </c>
      <c r="AB4" s="95">
        <v>9068700</v>
      </c>
      <c r="AC4" s="10">
        <v>96.09</v>
      </c>
      <c r="AD4" s="2">
        <f t="shared" si="1"/>
        <v>1.4300000000000068</v>
      </c>
      <c r="AE4" s="138">
        <f t="shared" si="2"/>
        <v>1.1367224502683904E-2</v>
      </c>
    </row>
    <row r="5" spans="1:31" x14ac:dyDescent="0.25">
      <c r="B5" s="482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2872.5</v>
      </c>
      <c r="W5" s="133">
        <v>42584</v>
      </c>
      <c r="X5" s="10">
        <v>95.35</v>
      </c>
      <c r="Y5" s="10">
        <v>95.75</v>
      </c>
      <c r="Z5" s="10">
        <v>94.56</v>
      </c>
      <c r="AA5" s="10">
        <v>95.01</v>
      </c>
      <c r="AB5" s="95">
        <v>7644100</v>
      </c>
      <c r="AC5" s="10">
        <v>95.01</v>
      </c>
      <c r="AD5" s="2">
        <f t="shared" si="1"/>
        <v>1.1899999999999977</v>
      </c>
      <c r="AE5" s="138">
        <f t="shared" si="2"/>
        <v>-5.5474146954155312E-3</v>
      </c>
    </row>
    <row r="6" spans="1:31" x14ac:dyDescent="0.25">
      <c r="B6" s="482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2795.1599999999994</v>
      </c>
      <c r="W6" s="133">
        <v>42583</v>
      </c>
      <c r="X6" s="10">
        <v>96.15</v>
      </c>
      <c r="Y6" s="10">
        <v>96.2</v>
      </c>
      <c r="Z6" s="10">
        <v>95.08</v>
      </c>
      <c r="AA6" s="10">
        <v>95.54</v>
      </c>
      <c r="AB6" s="95">
        <v>7131600</v>
      </c>
      <c r="AC6" s="10">
        <v>95.54</v>
      </c>
      <c r="AD6" s="2">
        <f t="shared" si="1"/>
        <v>1.1200000000000045</v>
      </c>
      <c r="AE6" s="138">
        <f t="shared" si="2"/>
        <v>-4.2730588848358675E-3</v>
      </c>
    </row>
    <row r="7" spans="1:31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188</v>
      </c>
      <c r="Q7" s="2">
        <f>Q10+Q8</f>
        <v>77.340000000000146</v>
      </c>
      <c r="R7">
        <v>15</v>
      </c>
      <c r="W7" s="133">
        <v>42580</v>
      </c>
      <c r="X7" s="10">
        <v>95.85</v>
      </c>
      <c r="Y7" s="10">
        <v>96.38</v>
      </c>
      <c r="Z7" s="10">
        <v>95.85</v>
      </c>
      <c r="AA7" s="10">
        <v>95.95</v>
      </c>
      <c r="AB7" s="95">
        <v>8264000</v>
      </c>
      <c r="AC7" s="10">
        <v>95.95</v>
      </c>
      <c r="AD7" s="2">
        <f t="shared" si="1"/>
        <v>0.53000000000000114</v>
      </c>
      <c r="AE7" s="138">
        <f t="shared" si="2"/>
        <v>4.1705765822142027E-4</v>
      </c>
    </row>
    <row r="8" spans="1:31" x14ac:dyDescent="0.25">
      <c r="B8" s="1">
        <v>42586</v>
      </c>
      <c r="C8" s="4">
        <v>15</v>
      </c>
      <c r="D8" s="3">
        <v>94.88</v>
      </c>
      <c r="E8" s="3">
        <v>0</v>
      </c>
      <c r="F8" s="3">
        <f t="shared" si="0"/>
        <v>1423.1999999999998</v>
      </c>
      <c r="H8" s="72"/>
      <c r="O8" s="11" t="s">
        <v>192</v>
      </c>
      <c r="P8" s="34"/>
      <c r="Q8" s="2">
        <f>K18+M18-F18+Q2*Q4</f>
        <v>77.340000000000146</v>
      </c>
      <c r="W8" s="133">
        <v>42579</v>
      </c>
      <c r="X8" s="10">
        <v>96.4</v>
      </c>
      <c r="Y8" s="10">
        <v>96.49</v>
      </c>
      <c r="Z8" s="10">
        <v>95.82</v>
      </c>
      <c r="AA8" s="10">
        <v>95.91</v>
      </c>
      <c r="AB8" s="95">
        <v>7713500</v>
      </c>
      <c r="AC8" s="10">
        <v>95.91</v>
      </c>
      <c r="AD8" s="2">
        <f t="shared" si="1"/>
        <v>0.67000000000000171</v>
      </c>
      <c r="AE8" s="138">
        <f t="shared" si="2"/>
        <v>-4.3600124571784304E-3</v>
      </c>
    </row>
    <row r="9" spans="1:31" x14ac:dyDescent="0.25">
      <c r="C9" s="4"/>
      <c r="D9" s="3"/>
      <c r="E9" s="3"/>
      <c r="F9" s="3"/>
      <c r="H9" s="72"/>
      <c r="O9" s="11" t="s">
        <v>231</v>
      </c>
      <c r="Q9" s="138">
        <f>IF(Q2=0, 0, Q8/Q6)</f>
        <v>2.7669256858283663E-2</v>
      </c>
      <c r="W9" s="133">
        <v>42578</v>
      </c>
      <c r="X9" s="10">
        <v>96.7</v>
      </c>
      <c r="Y9" s="10">
        <v>96.93</v>
      </c>
      <c r="Z9" s="10">
        <v>95.86</v>
      </c>
      <c r="AA9" s="10">
        <v>96.33</v>
      </c>
      <c r="AB9" s="95">
        <v>6911400</v>
      </c>
      <c r="AC9" s="10">
        <v>96.33</v>
      </c>
      <c r="AD9" s="2">
        <f t="shared" si="1"/>
        <v>1.0700000000000074</v>
      </c>
      <c r="AE9" s="138">
        <f t="shared" si="2"/>
        <v>-3.7232392181197893E-3</v>
      </c>
    </row>
    <row r="10" spans="1:31" x14ac:dyDescent="0.25">
      <c r="O10" s="11" t="s">
        <v>230</v>
      </c>
      <c r="P10" s="34"/>
      <c r="Q10" s="2">
        <f>M32</f>
        <v>0</v>
      </c>
      <c r="W10" s="133">
        <v>42577</v>
      </c>
      <c r="X10" s="10">
        <v>97.02</v>
      </c>
      <c r="Y10" s="10">
        <v>97.16</v>
      </c>
      <c r="Z10" s="10">
        <v>96.34</v>
      </c>
      <c r="AA10" s="10">
        <v>96.69</v>
      </c>
      <c r="AB10" s="95">
        <v>6274800</v>
      </c>
      <c r="AC10" s="10">
        <v>96.69</v>
      </c>
      <c r="AD10" s="2">
        <f t="shared" si="1"/>
        <v>0.81999999999999318</v>
      </c>
      <c r="AE10" s="138">
        <f t="shared" si="2"/>
        <v>-7.1875962624500245E-3</v>
      </c>
    </row>
    <row r="11" spans="1:31" x14ac:dyDescent="0.25">
      <c r="O11" s="11" t="s">
        <v>184</v>
      </c>
      <c r="P11" s="34"/>
      <c r="Q11" s="138">
        <f>VALUE(TRIM(CLEAN(MID(U58, FIND("(", U58)+1, 5))))</f>
        <v>1.4800000000000001E-2</v>
      </c>
      <c r="W11" s="133">
        <v>42576</v>
      </c>
      <c r="X11" s="10">
        <v>97.9</v>
      </c>
      <c r="Y11" s="10">
        <v>98.06</v>
      </c>
      <c r="Z11" s="10">
        <v>97.25</v>
      </c>
      <c r="AA11" s="10">
        <v>97.39</v>
      </c>
      <c r="AB11" s="95">
        <v>4825500</v>
      </c>
      <c r="AC11" s="10">
        <v>97.39</v>
      </c>
      <c r="AD11" s="2">
        <f t="shared" si="1"/>
        <v>0.81000000000000227</v>
      </c>
      <c r="AE11" s="138">
        <f t="shared" si="2"/>
        <v>-3.274997441408134E-3</v>
      </c>
    </row>
    <row r="12" spans="1:31" x14ac:dyDescent="0.25">
      <c r="W12" s="133">
        <v>42573</v>
      </c>
      <c r="X12" s="10">
        <v>98.39</v>
      </c>
      <c r="Y12" s="10">
        <v>98.42</v>
      </c>
      <c r="Z12" s="10">
        <v>97.47</v>
      </c>
      <c r="AA12" s="10">
        <v>97.71</v>
      </c>
      <c r="AB12" s="95">
        <v>5381700</v>
      </c>
      <c r="AC12" s="10">
        <v>97.71</v>
      </c>
      <c r="AD12" s="2">
        <f t="shared" si="1"/>
        <v>0.95000000000000284</v>
      </c>
      <c r="AE12" s="138">
        <f t="shared" si="2"/>
        <v>-3.06091215182136E-3</v>
      </c>
    </row>
    <row r="13" spans="1:31" x14ac:dyDescent="0.25">
      <c r="W13" s="133">
        <v>42572</v>
      </c>
      <c r="X13" s="10">
        <v>98.17</v>
      </c>
      <c r="Y13" s="10">
        <v>99.13</v>
      </c>
      <c r="Z13" s="10">
        <v>97.62</v>
      </c>
      <c r="AA13" s="10">
        <v>98.01</v>
      </c>
      <c r="AB13" s="95">
        <v>6726600</v>
      </c>
      <c r="AC13" s="10">
        <v>98.01</v>
      </c>
      <c r="AD13" s="2">
        <f t="shared" si="1"/>
        <v>1.5099999999999909</v>
      </c>
      <c r="AE13" s="138">
        <f t="shared" si="2"/>
        <v>-2.1380574221135928E-3</v>
      </c>
    </row>
    <row r="14" spans="1:31" x14ac:dyDescent="0.25">
      <c r="W14" s="133">
        <v>42571</v>
      </c>
      <c r="X14" s="10">
        <v>98.65</v>
      </c>
      <c r="Y14" s="10">
        <v>98.69</v>
      </c>
      <c r="Z14" s="10">
        <v>97.14</v>
      </c>
      <c r="AA14" s="10">
        <v>98.22</v>
      </c>
      <c r="AB14" s="95">
        <v>10664900</v>
      </c>
      <c r="AC14" s="10">
        <v>98.22</v>
      </c>
      <c r="AD14" s="2">
        <f t="shared" si="1"/>
        <v>1.5499999999999972</v>
      </c>
      <c r="AE14" s="138">
        <f t="shared" si="2"/>
        <v>-1.2566602995878196E-2</v>
      </c>
    </row>
    <row r="15" spans="1:31" x14ac:dyDescent="0.25">
      <c r="W15" s="133">
        <v>42570</v>
      </c>
      <c r="X15" s="10">
        <v>99.81</v>
      </c>
      <c r="Y15" s="10">
        <v>99.99</v>
      </c>
      <c r="Z15" s="10">
        <v>99.36</v>
      </c>
      <c r="AA15" s="10">
        <v>99.47</v>
      </c>
      <c r="AB15" s="95">
        <v>5742700</v>
      </c>
      <c r="AC15" s="10">
        <v>99.47</v>
      </c>
      <c r="AD15" s="2">
        <f t="shared" si="1"/>
        <v>0.62999999999999545</v>
      </c>
      <c r="AE15" s="138">
        <f t="shared" si="2"/>
        <v>-6.7898152770844433E-3</v>
      </c>
    </row>
    <row r="16" spans="1:31" x14ac:dyDescent="0.25">
      <c r="W16" s="133">
        <v>42569</v>
      </c>
      <c r="X16" s="10">
        <v>99.9</v>
      </c>
      <c r="Y16" s="10">
        <v>100.71</v>
      </c>
      <c r="Z16" s="10">
        <v>99.87</v>
      </c>
      <c r="AA16" s="10">
        <v>100.15</v>
      </c>
      <c r="AB16" s="95">
        <v>5051300</v>
      </c>
      <c r="AC16" s="10">
        <v>100.15</v>
      </c>
      <c r="AD16" s="2">
        <f t="shared" si="1"/>
        <v>0.8399999999999892</v>
      </c>
      <c r="AE16" s="138">
        <f t="shared" si="2"/>
        <v>3.507014028056199E-3</v>
      </c>
    </row>
    <row r="17" spans="1:31" x14ac:dyDescent="0.25">
      <c r="W17" s="133">
        <v>42566</v>
      </c>
      <c r="X17" s="10">
        <v>100.42</v>
      </c>
      <c r="Y17" s="10">
        <v>100.54</v>
      </c>
      <c r="Z17" s="10">
        <v>99.54</v>
      </c>
      <c r="AA17" s="10">
        <v>99.8</v>
      </c>
      <c r="AB17" s="95">
        <v>5764400</v>
      </c>
      <c r="AC17" s="10">
        <v>99.8</v>
      </c>
      <c r="AD17" s="2">
        <f t="shared" si="1"/>
        <v>1</v>
      </c>
      <c r="AE17" s="138">
        <f t="shared" si="2"/>
        <v>-1.7005101530459532E-3</v>
      </c>
    </row>
    <row r="18" spans="1:31" x14ac:dyDescent="0.25">
      <c r="A18" s="32" t="s">
        <v>81</v>
      </c>
      <c r="B18" s="14"/>
      <c r="C18" s="14">
        <f>SUM(C2:C8)</f>
        <v>85</v>
      </c>
      <c r="D18" s="18"/>
      <c r="E18" s="18"/>
      <c r="F18" s="18">
        <f>SUM(F2:F8)</f>
        <v>8576.0499999999993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10.65</v>
      </c>
      <c r="W18" s="133">
        <v>42565</v>
      </c>
      <c r="X18" s="10">
        <v>100.42</v>
      </c>
      <c r="Y18" s="10">
        <v>100.8</v>
      </c>
      <c r="Z18" s="10">
        <v>99.68</v>
      </c>
      <c r="AA18" s="10">
        <v>99.97</v>
      </c>
      <c r="AB18" s="95">
        <v>7461500</v>
      </c>
      <c r="AC18" s="10">
        <v>99.97</v>
      </c>
      <c r="AD18" s="2">
        <f t="shared" si="1"/>
        <v>1.1199999999999903</v>
      </c>
      <c r="AE18" s="138">
        <f t="shared" si="2"/>
        <v>9.0108129755717137E-4</v>
      </c>
    </row>
    <row r="19" spans="1:31" ht="15.75" thickBot="1" x14ac:dyDescent="0.3">
      <c r="A19" s="363" t="s">
        <v>206</v>
      </c>
      <c r="B19" s="364"/>
      <c r="C19" s="365">
        <f>SumByColor($A$19,C2:C17)</f>
        <v>55</v>
      </c>
      <c r="D19" s="365"/>
      <c r="E19" s="365"/>
      <c r="F19" s="366">
        <f>SumByColor($A$19,F2:F17)</f>
        <v>5548</v>
      </c>
      <c r="G19" s="365"/>
      <c r="H19" s="365">
        <f>SumByColor($A$19,H2:H17)</f>
        <v>55</v>
      </c>
      <c r="I19" s="365"/>
      <c r="J19" s="365"/>
      <c r="K19" s="366">
        <f>SumByColor($A$19,K2:K17)</f>
        <v>5770</v>
      </c>
      <c r="L19" s="365"/>
      <c r="M19" s="366">
        <f t="shared" ref="M19" si="3">SumByColor($A$19,M2:M17)</f>
        <v>11</v>
      </c>
      <c r="W19" s="133">
        <v>42564</v>
      </c>
      <c r="X19" s="10">
        <v>100.46</v>
      </c>
      <c r="Y19" s="10">
        <v>100.8</v>
      </c>
      <c r="Z19" s="10">
        <v>99.85</v>
      </c>
      <c r="AA19" s="10">
        <v>99.88</v>
      </c>
      <c r="AB19" s="95">
        <v>5494700</v>
      </c>
      <c r="AC19" s="10">
        <v>99.88</v>
      </c>
      <c r="AD19" s="2">
        <f t="shared" si="1"/>
        <v>0.95000000000000284</v>
      </c>
      <c r="AE19" s="138">
        <f t="shared" si="2"/>
        <v>-3.1936127744511822E-3</v>
      </c>
    </row>
    <row r="20" spans="1:31" x14ac:dyDescent="0.25">
      <c r="W20" s="133">
        <v>42563</v>
      </c>
      <c r="X20" s="10">
        <v>100.18</v>
      </c>
      <c r="Y20" s="10">
        <v>100.79</v>
      </c>
      <c r="Z20" s="10">
        <v>100</v>
      </c>
      <c r="AA20" s="10">
        <v>100.2</v>
      </c>
      <c r="AB20" s="95">
        <v>8508500</v>
      </c>
      <c r="AC20" s="10">
        <v>100.2</v>
      </c>
      <c r="AD20" s="2">
        <f t="shared" si="1"/>
        <v>0.79000000000000625</v>
      </c>
      <c r="AE20" s="138">
        <f t="shared" si="2"/>
        <v>2.2004400880175634E-3</v>
      </c>
    </row>
    <row r="21" spans="1:31" x14ac:dyDescent="0.25">
      <c r="W21" s="133">
        <v>42562</v>
      </c>
      <c r="X21" s="10">
        <v>99.8</v>
      </c>
      <c r="Y21" s="10">
        <v>100.35</v>
      </c>
      <c r="Z21" s="10">
        <v>99.4</v>
      </c>
      <c r="AA21" s="10">
        <v>99.98</v>
      </c>
      <c r="AB21" s="95">
        <v>5428000</v>
      </c>
      <c r="AC21" s="10">
        <v>99.98</v>
      </c>
      <c r="AD21" s="2">
        <f t="shared" si="1"/>
        <v>0.94999999999998863</v>
      </c>
      <c r="AE21" s="138">
        <f t="shared" si="2"/>
        <v>3.6137321822926616E-3</v>
      </c>
    </row>
    <row r="22" spans="1:31" x14ac:dyDescent="0.25">
      <c r="W22" s="133">
        <v>42559</v>
      </c>
      <c r="X22" s="10">
        <v>99.25</v>
      </c>
      <c r="Y22" s="10">
        <v>99.85</v>
      </c>
      <c r="Z22" s="10">
        <v>98.77</v>
      </c>
      <c r="AA22" s="10">
        <v>99.62</v>
      </c>
      <c r="AB22" s="95">
        <v>6045800</v>
      </c>
      <c r="AC22" s="10">
        <v>99.62</v>
      </c>
      <c r="AD22" s="2">
        <f t="shared" si="1"/>
        <v>1.0799999999999983</v>
      </c>
      <c r="AE22" s="138">
        <f t="shared" si="2"/>
        <v>1.2295498424956808E-2</v>
      </c>
    </row>
    <row r="23" spans="1:31" x14ac:dyDescent="0.25">
      <c r="W23" s="133">
        <v>42558</v>
      </c>
      <c r="X23" s="10">
        <v>97.63</v>
      </c>
      <c r="Y23" s="10">
        <v>98.48</v>
      </c>
      <c r="Z23" s="10">
        <v>97.58</v>
      </c>
      <c r="AA23" s="10">
        <v>98.41</v>
      </c>
      <c r="AB23" s="95">
        <v>5146000</v>
      </c>
      <c r="AC23" s="10">
        <v>98.41</v>
      </c>
      <c r="AD23" s="2">
        <f t="shared" si="1"/>
        <v>0.90000000000000568</v>
      </c>
      <c r="AE23" s="138" t="e">
        <f t="shared" si="2"/>
        <v>#DIV/0!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42558</v>
      </c>
      <c r="X24" s="10" t="s">
        <v>291</v>
      </c>
      <c r="Y24" s="10"/>
      <c r="Z24" s="10"/>
      <c r="AA24" s="10"/>
      <c r="AB24" s="95"/>
      <c r="AC24" s="10"/>
      <c r="AD24" s="2">
        <f t="shared" si="1"/>
        <v>0</v>
      </c>
      <c r="AE24" s="138">
        <f t="shared" si="2"/>
        <v>-1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42557</v>
      </c>
      <c r="X25" s="10">
        <v>97</v>
      </c>
      <c r="Y25" s="10">
        <v>98.52</v>
      </c>
      <c r="Z25" s="10">
        <v>96.76</v>
      </c>
      <c r="AA25" s="10">
        <v>98.45</v>
      </c>
      <c r="AB25" s="95">
        <v>6223300</v>
      </c>
      <c r="AC25" s="10">
        <v>97.74</v>
      </c>
      <c r="AD25" s="2">
        <f t="shared" si="1"/>
        <v>1.7599999999999909</v>
      </c>
      <c r="AE25" s="138">
        <f t="shared" si="2"/>
        <v>8.0445544554454962E-3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42556</v>
      </c>
      <c r="X26" s="10">
        <v>97.77</v>
      </c>
      <c r="Y26" s="10">
        <v>98</v>
      </c>
      <c r="Z26" s="10">
        <v>97.17</v>
      </c>
      <c r="AA26" s="10">
        <v>97.66</v>
      </c>
      <c r="AB26" s="95">
        <v>5846400</v>
      </c>
      <c r="AC26" s="10">
        <v>96.96</v>
      </c>
      <c r="AD26" s="2">
        <f t="shared" si="1"/>
        <v>0.82999999999999829</v>
      </c>
      <c r="AE26" s="138">
        <f t="shared" si="2"/>
        <v>-3.6991368680641123E-3</v>
      </c>
    </row>
    <row r="27" spans="1:31" x14ac:dyDescent="0.25">
      <c r="B27" s="195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42552</v>
      </c>
      <c r="X27" s="10">
        <v>97.75</v>
      </c>
      <c r="Y27" s="10">
        <v>98.64</v>
      </c>
      <c r="Z27" s="10">
        <v>97.71</v>
      </c>
      <c r="AA27" s="10">
        <v>98.03</v>
      </c>
      <c r="AB27" s="95">
        <v>5681600</v>
      </c>
      <c r="AC27" s="10">
        <v>97.32</v>
      </c>
      <c r="AD27" s="2">
        <f t="shared" si="1"/>
        <v>0.93000000000000682</v>
      </c>
      <c r="AE27" s="138">
        <f t="shared" si="2"/>
        <v>2.1624961383996943E-3</v>
      </c>
    </row>
    <row r="28" spans="1:31" x14ac:dyDescent="0.25">
      <c r="B28" s="195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42551</v>
      </c>
      <c r="X28" s="10">
        <v>97.1</v>
      </c>
      <c r="Y28" s="10">
        <v>98.07</v>
      </c>
      <c r="Z28" s="10">
        <v>96.88</v>
      </c>
      <c r="AA28" s="10">
        <v>97.82</v>
      </c>
      <c r="AB28" s="95">
        <v>7189500</v>
      </c>
      <c r="AC28" s="10">
        <v>97.11</v>
      </c>
      <c r="AD28" s="2">
        <f t="shared" si="1"/>
        <v>1.1899999999999977</v>
      </c>
      <c r="AE28" s="138">
        <f t="shared" si="2"/>
        <v>8.6206896551723755E-3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42550</v>
      </c>
      <c r="X29" s="10">
        <v>96.91</v>
      </c>
      <c r="Y29" s="10">
        <v>97.29</v>
      </c>
      <c r="Z29" s="10">
        <v>96.28</v>
      </c>
      <c r="AA29" s="10">
        <v>96.98</v>
      </c>
      <c r="AB29" s="95">
        <v>6563600</v>
      </c>
      <c r="AC29" s="10">
        <v>96.28</v>
      </c>
      <c r="AD29" s="2">
        <f t="shared" si="1"/>
        <v>1.0100000000000051</v>
      </c>
      <c r="AE29" s="138">
        <f t="shared" si="2"/>
        <v>9.6476510067113885E-3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42549</v>
      </c>
      <c r="X30" s="10">
        <v>95.46</v>
      </c>
      <c r="Y30" s="10">
        <v>96.28</v>
      </c>
      <c r="Z30" s="10">
        <v>95.14</v>
      </c>
      <c r="AA30" s="10">
        <v>96.05</v>
      </c>
      <c r="AB30" s="95">
        <v>7143100</v>
      </c>
      <c r="AC30" s="10">
        <v>95.36</v>
      </c>
      <c r="AD30" s="2">
        <f t="shared" si="1"/>
        <v>1.1400000000000006</v>
      </c>
      <c r="AE30" s="138">
        <f t="shared" si="2"/>
        <v>1.7716115261472654E-2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42548</v>
      </c>
      <c r="X31" s="10">
        <v>94.91</v>
      </c>
      <c r="Y31" s="10">
        <v>95.23</v>
      </c>
      <c r="Z31" s="10">
        <v>94</v>
      </c>
      <c r="AA31" s="10">
        <v>94.38</v>
      </c>
      <c r="AB31" s="95">
        <v>9438400</v>
      </c>
      <c r="AC31" s="10">
        <v>93.7</v>
      </c>
      <c r="AD31" s="2">
        <f t="shared" si="1"/>
        <v>1.230000000000004</v>
      </c>
      <c r="AE31" s="138">
        <f t="shared" si="2"/>
        <v>-1.3995580343049596E-2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42545</v>
      </c>
      <c r="X32" s="10">
        <v>96.01</v>
      </c>
      <c r="Y32" s="10">
        <v>97.28</v>
      </c>
      <c r="Z32" s="10">
        <v>95.14</v>
      </c>
      <c r="AA32" s="10">
        <v>95.72</v>
      </c>
      <c r="AB32" s="95">
        <v>15079900</v>
      </c>
      <c r="AC32" s="10">
        <v>95.03</v>
      </c>
      <c r="AD32" s="2">
        <f t="shared" si="1"/>
        <v>2.1400000000000006</v>
      </c>
      <c r="AE32" s="138">
        <f t="shared" si="2"/>
        <v>-3.3363849048926864E-2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42544</v>
      </c>
      <c r="X33" s="10">
        <v>99.44</v>
      </c>
      <c r="Y33" s="10">
        <v>99.62</v>
      </c>
      <c r="Z33" s="10">
        <v>98.61</v>
      </c>
      <c r="AA33" s="10">
        <v>99.02</v>
      </c>
      <c r="AB33" s="95">
        <v>5826100</v>
      </c>
      <c r="AC33" s="10">
        <v>98.31</v>
      </c>
      <c r="AD33" s="2">
        <f t="shared" si="1"/>
        <v>1.0100000000000051</v>
      </c>
      <c r="AE33" s="138">
        <f t="shared" si="2"/>
        <v>2.3450244698206557E-3</v>
      </c>
    </row>
    <row r="34" spans="2:31" x14ac:dyDescent="0.25">
      <c r="B34" s="195">
        <v>42482</v>
      </c>
      <c r="C34" s="239">
        <v>15</v>
      </c>
      <c r="D34" s="2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42543</v>
      </c>
      <c r="X34" s="10">
        <v>99.08</v>
      </c>
      <c r="Y34" s="10">
        <v>99.62</v>
      </c>
      <c r="Z34" s="10">
        <v>98.7</v>
      </c>
      <c r="AA34" s="10">
        <v>98.79</v>
      </c>
      <c r="AB34" s="95">
        <v>4948900</v>
      </c>
      <c r="AC34" s="10">
        <v>98.08</v>
      </c>
      <c r="AD34" s="2">
        <f t="shared" si="1"/>
        <v>0.92000000000000171</v>
      </c>
      <c r="AE34" s="138">
        <f t="shared" si="2"/>
        <v>-3.0577922739782881E-4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42542</v>
      </c>
      <c r="X35" s="10">
        <v>99.73</v>
      </c>
      <c r="Y35" s="10">
        <v>99.79</v>
      </c>
      <c r="Z35" s="10">
        <v>98.77</v>
      </c>
      <c r="AA35" s="10">
        <v>98.82</v>
      </c>
      <c r="AB35" s="95">
        <v>5202500</v>
      </c>
      <c r="AC35" s="10">
        <v>98.11</v>
      </c>
      <c r="AD35" s="2">
        <f t="shared" si="1"/>
        <v>1.0200000000000102</v>
      </c>
      <c r="AE35" s="138">
        <f t="shared" si="2"/>
        <v>-7.4860900354071225E-3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42541</v>
      </c>
      <c r="X36" s="10">
        <v>100.08</v>
      </c>
      <c r="Y36" s="10">
        <v>100.96</v>
      </c>
      <c r="Z36" s="10">
        <v>99.5</v>
      </c>
      <c r="AA36" s="10">
        <v>99.57</v>
      </c>
      <c r="AB36" s="95">
        <v>8268600</v>
      </c>
      <c r="AC36" s="10">
        <v>98.85</v>
      </c>
      <c r="AD36" s="2">
        <f t="shared" si="1"/>
        <v>1.4599999999999937</v>
      </c>
      <c r="AE36" s="138">
        <f t="shared" si="2"/>
        <v>5.697425984331872E-3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3">
        <f t="shared" ref="H37:H42" si="9">(E37-D37)/D37</f>
        <v>3.8470718423850456E-2</v>
      </c>
      <c r="I37" s="40"/>
      <c r="W37" s="133">
        <v>42538</v>
      </c>
      <c r="X37" s="10">
        <v>98.41</v>
      </c>
      <c r="Y37" s="10">
        <v>99.14</v>
      </c>
      <c r="Z37" s="10">
        <v>98.27</v>
      </c>
      <c r="AA37" s="10">
        <v>99</v>
      </c>
      <c r="AB37" s="95">
        <v>8959400</v>
      </c>
      <c r="AC37" s="10">
        <v>98.29</v>
      </c>
      <c r="AD37" s="2">
        <f t="shared" si="1"/>
        <v>0.87000000000000455</v>
      </c>
      <c r="AE37" s="138">
        <f t="shared" si="2"/>
        <v>6.3479062148050769E-3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3">
        <f t="shared" si="9"/>
        <v>8.4687655955041519E-2</v>
      </c>
      <c r="I38" s="40"/>
      <c r="W38" s="133">
        <v>42537</v>
      </c>
      <c r="X38" s="10">
        <v>97.8</v>
      </c>
      <c r="Y38" s="10">
        <v>98.63</v>
      </c>
      <c r="Z38" s="10">
        <v>96.86</v>
      </c>
      <c r="AA38" s="10">
        <v>98.38</v>
      </c>
      <c r="AB38" s="95">
        <v>7129700</v>
      </c>
      <c r="AC38" s="10">
        <v>97.67</v>
      </c>
      <c r="AD38" s="2">
        <f t="shared" si="1"/>
        <v>1.769999999999996</v>
      </c>
      <c r="AE38" s="138">
        <f t="shared" si="2"/>
        <v>1.1275112751127914E-3</v>
      </c>
    </row>
    <row r="39" spans="2:31" x14ac:dyDescent="0.25">
      <c r="B39" s="195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3">
        <f t="shared" si="9"/>
        <v>7.9154642306941136E-2</v>
      </c>
      <c r="I39" s="40"/>
      <c r="W39" s="133">
        <v>42536</v>
      </c>
      <c r="X39" s="10">
        <v>98.19</v>
      </c>
      <c r="Y39" s="10">
        <v>99</v>
      </c>
      <c r="Z39" s="10">
        <v>98.19</v>
      </c>
      <c r="AA39" s="10">
        <v>98.27</v>
      </c>
      <c r="AB39" s="95">
        <v>6663200</v>
      </c>
      <c r="AC39" s="10">
        <v>97.56</v>
      </c>
      <c r="AD39" s="2">
        <f t="shared" si="1"/>
        <v>0.81000000000000227</v>
      </c>
      <c r="AE39" s="138">
        <f t="shared" si="2"/>
        <v>-1.3307400962226934E-3</v>
      </c>
    </row>
    <row r="40" spans="2:31" ht="20.25" thickBot="1" x14ac:dyDescent="0.35">
      <c r="B40" s="195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3">
        <f t="shared" si="9"/>
        <v>6.55933343459109E-2</v>
      </c>
      <c r="I40" s="40"/>
      <c r="O40" s="525" t="s">
        <v>78</v>
      </c>
      <c r="P40" s="525"/>
      <c r="W40" s="133">
        <v>42535</v>
      </c>
      <c r="X40" s="10">
        <v>97.2</v>
      </c>
      <c r="Y40" s="10">
        <v>98.55</v>
      </c>
      <c r="Z40" s="10">
        <v>97.18</v>
      </c>
      <c r="AA40" s="10">
        <v>98.4</v>
      </c>
      <c r="AB40" s="95">
        <v>6125700</v>
      </c>
      <c r="AC40" s="10">
        <v>97.69</v>
      </c>
      <c r="AD40" s="2">
        <f t="shared" si="1"/>
        <v>1.3699999999999903</v>
      </c>
      <c r="AE40" s="138">
        <f t="shared" si="2"/>
        <v>8.4649530298337439E-3</v>
      </c>
    </row>
    <row r="41" spans="2:31" ht="15.75" thickTop="1" x14ac:dyDescent="0.25">
      <c r="B41" s="195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3">
        <f t="shared" si="9"/>
        <v>6.0060320697810518E-2</v>
      </c>
      <c r="I41" s="40"/>
      <c r="O41" s="83">
        <v>1.1000000000000001</v>
      </c>
      <c r="P41" s="83">
        <f>O41*$Q$4</f>
        <v>105.325</v>
      </c>
      <c r="Q41" s="2"/>
      <c r="W41" s="133">
        <v>42534</v>
      </c>
      <c r="X41" s="10">
        <v>96.75</v>
      </c>
      <c r="Y41" s="10">
        <v>98.98</v>
      </c>
      <c r="Z41" s="10">
        <v>96.7</v>
      </c>
      <c r="AA41" s="10">
        <v>97.57</v>
      </c>
      <c r="AB41" s="95">
        <v>8766300</v>
      </c>
      <c r="AC41" s="10">
        <v>96.87</v>
      </c>
      <c r="AD41" s="2">
        <f t="shared" si="1"/>
        <v>2.2800000000000011</v>
      </c>
      <c r="AE41" s="138">
        <f t="shared" si="2"/>
        <v>2.3799668874171509E-3</v>
      </c>
    </row>
    <row r="42" spans="2:31" ht="20.25" thickBot="1" x14ac:dyDescent="0.35">
      <c r="B42" s="195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3">
        <f t="shared" si="9"/>
        <v>5.6588625859786856E-2</v>
      </c>
      <c r="I42" s="40"/>
      <c r="O42" s="83">
        <v>1.0900000000000001</v>
      </c>
      <c r="P42" s="83">
        <f t="shared" ref="P42:P61" si="10">O42*$Q$4</f>
        <v>104.36750000000001</v>
      </c>
      <c r="Q42" s="2"/>
      <c r="T42" s="91" t="s">
        <v>113</v>
      </c>
      <c r="W42" s="133">
        <v>42531</v>
      </c>
      <c r="X42" s="10">
        <v>97.15</v>
      </c>
      <c r="Y42" s="10">
        <v>97.71</v>
      </c>
      <c r="Z42" s="10">
        <v>96.78</v>
      </c>
      <c r="AA42" s="10">
        <v>97.34</v>
      </c>
      <c r="AB42" s="95">
        <v>7204400</v>
      </c>
      <c r="AC42" s="10">
        <v>96.64</v>
      </c>
      <c r="AD42" s="2">
        <f t="shared" si="1"/>
        <v>0.92999999999999261</v>
      </c>
      <c r="AE42" s="138">
        <f t="shared" si="2"/>
        <v>-5.0447853392360242E-3</v>
      </c>
    </row>
    <row r="43" spans="2:31" ht="15.75" thickTop="1" x14ac:dyDescent="0.25">
      <c r="B43" s="195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3">
        <f t="shared" ref="H43" si="13">(E43-D43)/D43</f>
        <v>4.8994293401609899E-2</v>
      </c>
      <c r="I43" s="40"/>
      <c r="O43" s="83">
        <v>1.08</v>
      </c>
      <c r="P43" s="83">
        <f t="shared" si="10"/>
        <v>103.41000000000001</v>
      </c>
      <c r="Q43" s="2"/>
      <c r="T43" s="128" t="s">
        <v>98</v>
      </c>
      <c r="U43" s="98">
        <v>95.16</v>
      </c>
      <c r="W43" s="133">
        <v>42530</v>
      </c>
      <c r="X43" s="10">
        <v>97.82</v>
      </c>
      <c r="Y43" s="10">
        <v>97.93</v>
      </c>
      <c r="Z43" s="10">
        <v>97.1</v>
      </c>
      <c r="AA43" s="10">
        <v>97.84</v>
      </c>
      <c r="AB43" s="95">
        <v>5379400</v>
      </c>
      <c r="AC43" s="10">
        <v>97.13</v>
      </c>
      <c r="AD43" s="2">
        <f t="shared" si="1"/>
        <v>0.83000000000001251</v>
      </c>
      <c r="AE43" s="138">
        <f t="shared" si="2"/>
        <v>-2.0548648926332902E-3</v>
      </c>
    </row>
    <row r="44" spans="2:31" x14ac:dyDescent="0.25">
      <c r="B44" s="195">
        <v>42579</v>
      </c>
      <c r="C44" s="239">
        <v>15</v>
      </c>
      <c r="D44" s="240">
        <v>91.463999999999999</v>
      </c>
      <c r="E44" s="40">
        <v>95.91</v>
      </c>
      <c r="F44" s="40">
        <f t="shared" ref="F44:F45" si="14">C44*(E44-D44)</f>
        <v>66.689999999999969</v>
      </c>
      <c r="G44" s="40">
        <f t="shared" ref="G44:G45" si="15">D44*C44</f>
        <v>1371.96</v>
      </c>
      <c r="H44" s="233">
        <f t="shared" ref="H44:H45" si="16">(E44-D44)/D44</f>
        <v>4.8609288900551016E-2</v>
      </c>
      <c r="I44" s="40" t="s">
        <v>197</v>
      </c>
      <c r="O44" s="83">
        <v>1.07</v>
      </c>
      <c r="P44" s="83">
        <f t="shared" si="10"/>
        <v>102.4525</v>
      </c>
      <c r="Q44" s="2"/>
      <c r="T44" s="93" t="s">
        <v>99</v>
      </c>
      <c r="U44" s="88">
        <v>95.4</v>
      </c>
      <c r="W44" s="133">
        <v>42529</v>
      </c>
      <c r="X44" s="10">
        <v>98.49</v>
      </c>
      <c r="Y44" s="10">
        <v>98.82</v>
      </c>
      <c r="Z44" s="10">
        <v>97.7</v>
      </c>
      <c r="AA44" s="10">
        <v>98.04</v>
      </c>
      <c r="AB44" s="95">
        <v>5466200</v>
      </c>
      <c r="AC44" s="10">
        <v>97.33</v>
      </c>
      <c r="AD44" s="2">
        <f t="shared" si="1"/>
        <v>1.1199999999999903</v>
      </c>
      <c r="AE44" s="138">
        <f t="shared" si="2"/>
        <v>-3.1749283080705348E-3</v>
      </c>
    </row>
    <row r="45" spans="2:31" x14ac:dyDescent="0.25">
      <c r="B45" s="195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3">
        <f t="shared" si="16"/>
        <v>2.1336882325162062E-2</v>
      </c>
      <c r="I45" s="40"/>
      <c r="O45" s="83">
        <v>1.06</v>
      </c>
      <c r="P45" s="83">
        <f t="shared" si="10"/>
        <v>101.495</v>
      </c>
      <c r="Q45" s="2"/>
      <c r="T45" s="93" t="s">
        <v>100</v>
      </c>
      <c r="U45" s="88" t="s">
        <v>440</v>
      </c>
      <c r="W45" s="133">
        <v>42528</v>
      </c>
      <c r="X45" s="10">
        <v>99</v>
      </c>
      <c r="Y45" s="10">
        <v>99.04</v>
      </c>
      <c r="Z45" s="10">
        <v>98.32</v>
      </c>
      <c r="AA45" s="10">
        <v>98.35</v>
      </c>
      <c r="AB45" s="95">
        <v>5608400</v>
      </c>
      <c r="AC45" s="10">
        <v>97.64</v>
      </c>
      <c r="AD45" s="2">
        <f t="shared" si="1"/>
        <v>0.72000000000001307</v>
      </c>
      <c r="AE45" s="138">
        <f t="shared" si="2"/>
        <v>-4.3846232283062392E-3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0"/>
        <v>100.53750000000001</v>
      </c>
      <c r="Q46" s="2"/>
      <c r="T46" s="93" t="s">
        <v>101</v>
      </c>
      <c r="U46" s="88" t="s">
        <v>441</v>
      </c>
      <c r="W46" s="133">
        <v>42527</v>
      </c>
      <c r="X46" s="10">
        <v>98.96</v>
      </c>
      <c r="Y46" s="10">
        <v>99.12</v>
      </c>
      <c r="Z46" s="10">
        <v>98.47</v>
      </c>
      <c r="AA46" s="10">
        <v>98.78</v>
      </c>
      <c r="AB46" s="95">
        <v>4986600</v>
      </c>
      <c r="AC46" s="10">
        <v>98.07</v>
      </c>
      <c r="AD46" s="2">
        <f t="shared" si="1"/>
        <v>0.65000000000000568</v>
      </c>
      <c r="AE46" s="138">
        <f t="shared" si="2"/>
        <v>3.0599755201943246E-4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0"/>
        <v>99.58</v>
      </c>
      <c r="Q47" s="2"/>
      <c r="T47" s="93" t="s">
        <v>102</v>
      </c>
      <c r="U47" s="88">
        <v>109.15</v>
      </c>
      <c r="W47" s="133">
        <v>42524</v>
      </c>
      <c r="X47" s="10">
        <v>98.66</v>
      </c>
      <c r="Y47" s="10">
        <v>98.92</v>
      </c>
      <c r="Z47" s="10">
        <v>97.73</v>
      </c>
      <c r="AA47" s="10">
        <v>98.75</v>
      </c>
      <c r="AB47" s="95">
        <v>6857500</v>
      </c>
      <c r="AC47" s="10">
        <v>98.04</v>
      </c>
      <c r="AD47" s="2">
        <f t="shared" si="1"/>
        <v>1.1899999999999977</v>
      </c>
      <c r="AE47" s="138">
        <f t="shared" si="2"/>
        <v>3.0609121518221372E-4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0"/>
        <v>98.622500000000002</v>
      </c>
      <c r="Q48" s="2"/>
      <c r="T48" s="93" t="s">
        <v>103</v>
      </c>
      <c r="U48" s="88">
        <v>1.46468</v>
      </c>
      <c r="W48" s="133">
        <v>42523</v>
      </c>
      <c r="X48" s="10">
        <v>98.07</v>
      </c>
      <c r="Y48" s="10">
        <v>98.72</v>
      </c>
      <c r="Z48" s="10">
        <v>97.87</v>
      </c>
      <c r="AA48" s="10">
        <v>98.72</v>
      </c>
      <c r="AB48" s="95">
        <v>4830100</v>
      </c>
      <c r="AC48" s="10">
        <v>98.01</v>
      </c>
      <c r="AD48" s="2">
        <f t="shared" si="1"/>
        <v>0.84999999999999432</v>
      </c>
      <c r="AE48" s="138">
        <f t="shared" si="2"/>
        <v>2.0447806972703209E-3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0"/>
        <v>97.665000000000006</v>
      </c>
      <c r="Q49" s="2"/>
      <c r="T49" s="93" t="s">
        <v>104</v>
      </c>
      <c r="U49" s="88" t="s">
        <v>288</v>
      </c>
      <c r="W49" s="133">
        <v>42522</v>
      </c>
      <c r="X49" s="10">
        <v>98.67</v>
      </c>
      <c r="Y49" s="10">
        <v>98.99</v>
      </c>
      <c r="Z49" s="10">
        <v>97.73</v>
      </c>
      <c r="AA49" s="10">
        <v>98.52</v>
      </c>
      <c r="AB49" s="95">
        <v>7243900</v>
      </c>
      <c r="AC49" s="10">
        <v>97.81</v>
      </c>
      <c r="AD49" s="2">
        <f t="shared" si="1"/>
        <v>1.2599999999999909</v>
      </c>
      <c r="AE49" s="138">
        <f t="shared" si="2"/>
        <v>-7.0050761421319718E-3</v>
      </c>
    </row>
    <row r="50" spans="2:31" x14ac:dyDescent="0.25">
      <c r="O50" s="83">
        <v>1.01</v>
      </c>
      <c r="P50" s="83">
        <f t="shared" si="10"/>
        <v>96.707499999999996</v>
      </c>
      <c r="Q50" s="2"/>
      <c r="T50" s="93"/>
      <c r="U50" s="88"/>
      <c r="W50" s="133">
        <v>42521</v>
      </c>
      <c r="X50" s="10">
        <v>99.85</v>
      </c>
      <c r="Y50" s="10">
        <v>99.89</v>
      </c>
      <c r="Z50" s="10">
        <v>98.57</v>
      </c>
      <c r="AA50" s="10">
        <v>99.22</v>
      </c>
      <c r="AB50" s="95">
        <v>10396200</v>
      </c>
      <c r="AC50" s="10">
        <v>98.5</v>
      </c>
      <c r="AD50" s="2">
        <f t="shared" si="1"/>
        <v>1.3200000000000074</v>
      </c>
      <c r="AE50" s="138">
        <f t="shared" si="2"/>
        <v>-1.0746208697398729E-2</v>
      </c>
    </row>
    <row r="51" spans="2:31" x14ac:dyDescent="0.25">
      <c r="O51" s="83">
        <v>1</v>
      </c>
      <c r="P51" s="83">
        <f t="shared" si="10"/>
        <v>95.75</v>
      </c>
      <c r="Q51" s="2"/>
      <c r="T51" s="93" t="s">
        <v>105</v>
      </c>
      <c r="U51" s="88" t="s">
        <v>442</v>
      </c>
      <c r="W51" s="133">
        <v>42517</v>
      </c>
      <c r="X51" s="10">
        <v>99.81</v>
      </c>
      <c r="Y51" s="10">
        <v>100.53</v>
      </c>
      <c r="Z51" s="10">
        <v>99.81</v>
      </c>
      <c r="AA51" s="10">
        <v>100.29</v>
      </c>
      <c r="AB51" s="95">
        <v>4589100</v>
      </c>
      <c r="AC51" s="10">
        <v>99.57</v>
      </c>
      <c r="AD51" s="2">
        <f t="shared" si="1"/>
        <v>0.71999999999999886</v>
      </c>
      <c r="AE51" s="138">
        <f t="shared" si="2"/>
        <v>4.844081138358991E-3</v>
      </c>
    </row>
    <row r="52" spans="2:31" x14ac:dyDescent="0.25">
      <c r="O52" s="83">
        <v>0.99</v>
      </c>
      <c r="P52" s="83">
        <f t="shared" si="10"/>
        <v>94.792500000000004</v>
      </c>
      <c r="Q52" s="2"/>
      <c r="T52" s="93" t="s">
        <v>106</v>
      </c>
      <c r="U52" s="88" t="s">
        <v>367</v>
      </c>
      <c r="W52" s="133">
        <v>42516</v>
      </c>
      <c r="X52" s="10">
        <v>99.89</v>
      </c>
      <c r="Y52" s="10">
        <v>100.49</v>
      </c>
      <c r="Z52" s="10">
        <v>99.57</v>
      </c>
      <c r="AA52" s="10">
        <v>99.81</v>
      </c>
      <c r="AB52" s="95">
        <v>3852600</v>
      </c>
      <c r="AC52" s="10">
        <v>99.09</v>
      </c>
      <c r="AD52" s="2">
        <f t="shared" si="1"/>
        <v>0.92000000000000171</v>
      </c>
      <c r="AE52" s="138">
        <f t="shared" si="2"/>
        <v>-5.043373007866947E-4</v>
      </c>
    </row>
    <row r="53" spans="2:31" x14ac:dyDescent="0.25">
      <c r="O53" s="83">
        <v>0.98</v>
      </c>
      <c r="P53" s="83">
        <f t="shared" si="10"/>
        <v>93.834999999999994</v>
      </c>
      <c r="Q53" s="2"/>
      <c r="T53" s="93" t="s">
        <v>107</v>
      </c>
      <c r="U53" s="90">
        <v>6528537</v>
      </c>
      <c r="W53" s="133">
        <v>42515</v>
      </c>
      <c r="X53" s="10">
        <v>99.92</v>
      </c>
      <c r="Y53" s="10">
        <v>100.8</v>
      </c>
      <c r="Z53" s="10">
        <v>99.81</v>
      </c>
      <c r="AA53" s="10">
        <v>99.86</v>
      </c>
      <c r="AB53" s="95">
        <v>5667300</v>
      </c>
      <c r="AC53" s="10">
        <v>99.14</v>
      </c>
      <c r="AD53" s="2">
        <f t="shared" si="1"/>
        <v>0.98999999999999488</v>
      </c>
      <c r="AE53" s="138">
        <f t="shared" si="2"/>
        <v>3.5428687114080759E-3</v>
      </c>
    </row>
    <row r="54" spans="2:31" x14ac:dyDescent="0.25">
      <c r="O54" s="83">
        <v>0.97</v>
      </c>
      <c r="P54" s="83">
        <f t="shared" si="10"/>
        <v>92.877499999999998</v>
      </c>
      <c r="T54" s="93" t="s">
        <v>110</v>
      </c>
      <c r="U54" s="90">
        <v>7497890</v>
      </c>
      <c r="W54" s="133">
        <v>42514</v>
      </c>
      <c r="X54" s="10">
        <v>99.45</v>
      </c>
      <c r="Y54" s="10">
        <v>100.04</v>
      </c>
      <c r="Z54" s="10">
        <v>99.38</v>
      </c>
      <c r="AA54" s="10">
        <v>99.51</v>
      </c>
      <c r="AB54" s="95">
        <v>5250800</v>
      </c>
      <c r="AC54" s="10">
        <v>98.79</v>
      </c>
      <c r="AD54" s="2">
        <f t="shared" si="1"/>
        <v>0.6600000000000108</v>
      </c>
      <c r="AE54" s="138">
        <f t="shared" si="2"/>
        <v>3.3516148689824998E-3</v>
      </c>
    </row>
    <row r="55" spans="2:31" x14ac:dyDescent="0.25">
      <c r="O55" s="83">
        <v>0.96</v>
      </c>
      <c r="P55" s="83">
        <f t="shared" si="10"/>
        <v>91.92</v>
      </c>
      <c r="T55" s="93" t="s">
        <v>108</v>
      </c>
      <c r="U55" s="88" t="s">
        <v>443</v>
      </c>
      <c r="W55" s="133">
        <v>42513</v>
      </c>
      <c r="X55" s="10">
        <v>99.6</v>
      </c>
      <c r="Y55" s="10">
        <v>100.33</v>
      </c>
      <c r="Z55" s="10">
        <v>99.12</v>
      </c>
      <c r="AA55" s="10">
        <v>99.18</v>
      </c>
      <c r="AB55" s="95">
        <v>5588600</v>
      </c>
      <c r="AC55" s="10">
        <v>98.46</v>
      </c>
      <c r="AD55" s="2">
        <f t="shared" si="1"/>
        <v>1.2099999999999937</v>
      </c>
      <c r="AE55" s="138">
        <f t="shared" si="2"/>
        <v>-6.0569351907935332E-3</v>
      </c>
    </row>
    <row r="56" spans="2:31" x14ac:dyDescent="0.25">
      <c r="O56" s="83">
        <v>0.95</v>
      </c>
      <c r="P56" s="83">
        <f t="shared" si="10"/>
        <v>90.962499999999991</v>
      </c>
      <c r="T56" s="93" t="s">
        <v>111</v>
      </c>
      <c r="U56" s="88">
        <v>17.649999999999999</v>
      </c>
      <c r="W56" s="133">
        <v>42510</v>
      </c>
      <c r="X56" s="10">
        <v>99</v>
      </c>
      <c r="Y56" s="10">
        <v>99.93</v>
      </c>
      <c r="Z56" s="10">
        <v>98.77</v>
      </c>
      <c r="AA56" s="10">
        <v>99.78</v>
      </c>
      <c r="AB56" s="95">
        <v>7297000</v>
      </c>
      <c r="AC56" s="10">
        <v>99.06</v>
      </c>
      <c r="AD56" s="2">
        <f t="shared" si="1"/>
        <v>1.1600000000000108</v>
      </c>
      <c r="AE56" s="138">
        <f t="shared" si="2"/>
        <v>1.3920163766632632E-2</v>
      </c>
    </row>
    <row r="57" spans="2:31" x14ac:dyDescent="0.25">
      <c r="O57" s="83">
        <v>0.94</v>
      </c>
      <c r="P57" s="83">
        <f t="shared" si="10"/>
        <v>90.004999999999995</v>
      </c>
      <c r="T57" s="93" t="s">
        <v>112</v>
      </c>
      <c r="U57" s="88">
        <v>5.43</v>
      </c>
      <c r="W57" s="133">
        <v>42509</v>
      </c>
      <c r="X57" s="10">
        <v>98.58</v>
      </c>
      <c r="Y57" s="10">
        <v>98.61</v>
      </c>
      <c r="Z57" s="10">
        <v>97.51</v>
      </c>
      <c r="AA57" s="10">
        <v>98.41</v>
      </c>
      <c r="AB57" s="95">
        <v>7063500</v>
      </c>
      <c r="AC57" s="10">
        <v>97.7</v>
      </c>
      <c r="AD57" s="2">
        <f t="shared" si="1"/>
        <v>1.0999999999999943</v>
      </c>
      <c r="AE57" s="138">
        <f t="shared" si="2"/>
        <v>-6.0026452334928093E-3</v>
      </c>
    </row>
    <row r="58" spans="2:31" x14ac:dyDescent="0.25">
      <c r="O58" s="83">
        <v>0.93</v>
      </c>
      <c r="P58" s="83">
        <f t="shared" si="10"/>
        <v>89.047499999999999</v>
      </c>
      <c r="T58" s="93" t="s">
        <v>109</v>
      </c>
      <c r="U58" s="88" t="s">
        <v>360</v>
      </c>
      <c r="W58" s="133">
        <v>42508</v>
      </c>
      <c r="X58" s="10">
        <v>99.59</v>
      </c>
      <c r="Y58" s="10">
        <v>99.77</v>
      </c>
      <c r="Z58" s="10">
        <v>98.36</v>
      </c>
      <c r="AA58" s="10">
        <v>99</v>
      </c>
      <c r="AB58" s="95">
        <v>9323100</v>
      </c>
      <c r="AC58" s="10">
        <v>98.29</v>
      </c>
      <c r="AD58" s="2">
        <f t="shared" si="1"/>
        <v>1.4099999999999966</v>
      </c>
      <c r="AE58" s="138">
        <f t="shared" si="2"/>
        <v>-9.3731102600281835E-3</v>
      </c>
    </row>
    <row r="59" spans="2:31" x14ac:dyDescent="0.25">
      <c r="O59" s="83">
        <v>0.92</v>
      </c>
      <c r="P59" s="83">
        <f t="shared" si="10"/>
        <v>88.09</v>
      </c>
      <c r="W59" s="133">
        <v>42507</v>
      </c>
      <c r="X59" s="10">
        <v>100.79</v>
      </c>
      <c r="Y59" s="10">
        <v>101.29</v>
      </c>
      <c r="Z59" s="10">
        <v>99.55</v>
      </c>
      <c r="AA59" s="10">
        <v>99.94</v>
      </c>
      <c r="AB59" s="95">
        <v>8694400</v>
      </c>
      <c r="AC59" s="10">
        <v>99.22</v>
      </c>
      <c r="AD59" s="2">
        <f t="shared" si="1"/>
        <v>1.7400000000000091</v>
      </c>
      <c r="AE59" s="138">
        <f t="shared" si="2"/>
        <v>-4.2151746286631653E-3</v>
      </c>
    </row>
    <row r="60" spans="2:31" x14ac:dyDescent="0.25">
      <c r="O60" s="83">
        <v>0.91</v>
      </c>
      <c r="P60" s="83">
        <f t="shared" si="10"/>
        <v>87.132500000000007</v>
      </c>
      <c r="W60" s="133">
        <v>42506</v>
      </c>
      <c r="X60" s="10">
        <v>100.41</v>
      </c>
      <c r="Y60" s="10">
        <v>100.67</v>
      </c>
      <c r="Z60" s="10">
        <v>99.37</v>
      </c>
      <c r="AA60" s="10">
        <v>100.36</v>
      </c>
      <c r="AB60" s="95">
        <v>9113000</v>
      </c>
      <c r="AC60" s="10">
        <v>99.64</v>
      </c>
      <c r="AD60" s="2">
        <f t="shared" si="1"/>
        <v>1.2999999999999972</v>
      </c>
      <c r="AE60" s="138">
        <f t="shared" si="2"/>
        <v>-1.6032064128256307E-3</v>
      </c>
    </row>
    <row r="61" spans="2:31" x14ac:dyDescent="0.25">
      <c r="O61" s="83">
        <v>0.9</v>
      </c>
      <c r="P61" s="83">
        <f t="shared" si="10"/>
        <v>86.174999999999997</v>
      </c>
      <c r="W61" s="133">
        <v>42503</v>
      </c>
      <c r="X61" s="10">
        <v>101.71</v>
      </c>
      <c r="Y61" s="10">
        <v>102.04</v>
      </c>
      <c r="Z61" s="10">
        <v>100.36</v>
      </c>
      <c r="AA61" s="10">
        <v>100.52</v>
      </c>
      <c r="AB61" s="95">
        <v>9570200</v>
      </c>
      <c r="AC61" s="10">
        <v>99.8</v>
      </c>
      <c r="AD61" s="2">
        <f t="shared" si="1"/>
        <v>1.6800000000000068</v>
      </c>
      <c r="AE61" s="138">
        <f t="shared" si="2"/>
        <v>-1.1685482273717684E-2</v>
      </c>
    </row>
    <row r="62" spans="2:31" x14ac:dyDescent="0.25">
      <c r="W62" s="133">
        <v>42502</v>
      </c>
      <c r="X62" s="10">
        <v>102.5</v>
      </c>
      <c r="Y62" s="10">
        <v>102.85</v>
      </c>
      <c r="Z62" s="10">
        <v>101.13</v>
      </c>
      <c r="AA62" s="10">
        <v>101.71</v>
      </c>
      <c r="AB62" s="95">
        <v>11251700</v>
      </c>
      <c r="AC62" s="10">
        <v>100.98</v>
      </c>
      <c r="AD62" s="2">
        <f t="shared" si="1"/>
        <v>1.7199999999999989</v>
      </c>
      <c r="AE62" s="138">
        <f t="shared" si="2"/>
        <v>-5.6129985228950963E-3</v>
      </c>
    </row>
    <row r="63" spans="2:31" x14ac:dyDescent="0.25">
      <c r="W63" s="133">
        <v>42501</v>
      </c>
      <c r="X63" s="10">
        <v>101.46</v>
      </c>
      <c r="Y63" s="10">
        <v>102.5</v>
      </c>
      <c r="Z63" s="10">
        <v>100.62</v>
      </c>
      <c r="AA63" s="10">
        <v>102.29</v>
      </c>
      <c r="AB63" s="95">
        <v>27068100</v>
      </c>
      <c r="AC63" s="10">
        <v>101.55</v>
      </c>
      <c r="AD63" s="2">
        <f t="shared" si="1"/>
        <v>1.8799999999999955</v>
      </c>
      <c r="AE63" s="138">
        <f t="shared" si="2"/>
        <v>-4.0442218652556039E-2</v>
      </c>
    </row>
    <row r="64" spans="2:31" x14ac:dyDescent="0.25">
      <c r="W64" s="133">
        <v>42500</v>
      </c>
      <c r="X64" s="10">
        <v>105.53</v>
      </c>
      <c r="Y64" s="10">
        <v>106.75</v>
      </c>
      <c r="Z64" s="10">
        <v>105.45</v>
      </c>
      <c r="AA64" s="10">
        <v>106.6</v>
      </c>
      <c r="AB64" s="95">
        <v>15177200</v>
      </c>
      <c r="AC64" s="10">
        <v>105.83</v>
      </c>
      <c r="AD64" s="2">
        <f t="shared" si="1"/>
        <v>1.2999999999999972</v>
      </c>
      <c r="AE64" s="138">
        <f t="shared" si="2"/>
        <v>1.1952572193536071E-2</v>
      </c>
    </row>
    <row r="65" spans="23:31" x14ac:dyDescent="0.25">
      <c r="W65" s="133">
        <v>42499</v>
      </c>
      <c r="X65" s="10">
        <v>106.01</v>
      </c>
      <c r="Y65" s="10">
        <v>106.68</v>
      </c>
      <c r="Z65" s="10">
        <v>104.97</v>
      </c>
      <c r="AA65" s="10">
        <v>105.34</v>
      </c>
      <c r="AB65" s="95">
        <v>8130300</v>
      </c>
      <c r="AC65" s="10">
        <v>104.58</v>
      </c>
      <c r="AD65" s="2">
        <f t="shared" si="1"/>
        <v>1.710000000000008</v>
      </c>
      <c r="AE65" s="138">
        <f t="shared" si="2"/>
        <v>-1.9087612139722099E-3</v>
      </c>
    </row>
    <row r="66" spans="23:31" x14ac:dyDescent="0.25">
      <c r="W66" s="133">
        <v>42496</v>
      </c>
      <c r="X66" s="10">
        <v>104.51</v>
      </c>
      <c r="Y66" s="10">
        <v>105.74</v>
      </c>
      <c r="Z66" s="10">
        <v>104.39</v>
      </c>
      <c r="AA66" s="10">
        <v>105.54</v>
      </c>
      <c r="AB66" s="95">
        <v>7407500</v>
      </c>
      <c r="AC66" s="10">
        <v>104.78</v>
      </c>
      <c r="AD66" s="2">
        <f t="shared" si="1"/>
        <v>1.3499999999999943</v>
      </c>
      <c r="AE66" s="138">
        <f t="shared" si="2"/>
        <v>5.8558126139962585E-3</v>
      </c>
    </row>
    <row r="67" spans="23:31" x14ac:dyDescent="0.25">
      <c r="W67" s="133">
        <v>42495</v>
      </c>
      <c r="X67" s="10">
        <v>103.98</v>
      </c>
      <c r="Y67" s="10">
        <v>105.13</v>
      </c>
      <c r="Z67" s="10">
        <v>103.45</v>
      </c>
      <c r="AA67" s="10">
        <v>104.93</v>
      </c>
      <c r="AB67" s="95">
        <v>6466000</v>
      </c>
      <c r="AC67" s="10">
        <v>104.17</v>
      </c>
      <c r="AD67" s="2">
        <f>Y67-Z67</f>
        <v>1.6799999999999926</v>
      </c>
      <c r="AE67" s="138" t="e">
        <f>AC67/#REF!-1</f>
        <v>#REF!</v>
      </c>
    </row>
    <row r="68" spans="23:31" x14ac:dyDescent="0.25">
      <c r="W68" s="133">
        <v>42494</v>
      </c>
      <c r="X68" s="10">
        <v>103.31</v>
      </c>
      <c r="Y68" s="10">
        <v>104.48</v>
      </c>
      <c r="Z68" s="10">
        <v>103.2</v>
      </c>
      <c r="AA68" s="10">
        <v>103.67</v>
      </c>
      <c r="AB68" s="95">
        <v>6445100</v>
      </c>
      <c r="AC68" s="10">
        <v>102.92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9">
    <cfRule type="expression" dxfId="105" priority="11">
      <formula>F32&gt;0</formula>
    </cfRule>
    <cfRule type="expression" dxfId="104" priority="12">
      <formula>F32&lt;0</formula>
    </cfRule>
  </conditionalFormatting>
  <conditionalFormatting sqref="F32:F49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9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42587</v>
      </c>
      <c r="X2" s="9">
        <v>4.96</v>
      </c>
      <c r="Y2" s="9">
        <v>4.9800000000000004</v>
      </c>
      <c r="Z2" s="9">
        <v>4.8499999999999996</v>
      </c>
      <c r="AA2" s="9">
        <v>4.8600000000000003</v>
      </c>
      <c r="AB2" s="104">
        <v>22382400</v>
      </c>
      <c r="AC2" s="9">
        <v>4.8600000000000003</v>
      </c>
      <c r="AD2" s="40">
        <f>Y2-Z2</f>
        <v>0.13000000000000078</v>
      </c>
      <c r="AE2" s="162">
        <f>AC2/AC3-1</f>
        <v>-1.4198782961460377E-2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4.93</v>
      </c>
      <c r="T3" s="1"/>
      <c r="W3" s="110">
        <v>42586</v>
      </c>
      <c r="X3" s="9">
        <v>4.88</v>
      </c>
      <c r="Y3" s="9">
        <v>4.96</v>
      </c>
      <c r="Z3" s="9">
        <v>4.7699999999999996</v>
      </c>
      <c r="AA3" s="9">
        <v>4.93</v>
      </c>
      <c r="AB3" s="104">
        <v>27512400</v>
      </c>
      <c r="AC3" s="9">
        <v>4.93</v>
      </c>
      <c r="AD3" s="40">
        <f t="shared" ref="AD3:AD66" si="0">Y3-Z3</f>
        <v>0.19000000000000039</v>
      </c>
      <c r="AE3" s="162">
        <f t="shared" ref="AE3:AE66" si="1">AC3/AC4-1</f>
        <v>2.2821576763485396E-2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4.93</v>
      </c>
      <c r="T4" s="163"/>
      <c r="W4" s="110">
        <v>42585</v>
      </c>
      <c r="X4" s="9">
        <v>4.8499999999999996</v>
      </c>
      <c r="Y4" s="9">
        <v>4.87</v>
      </c>
      <c r="Z4" s="9">
        <v>4.76</v>
      </c>
      <c r="AA4" s="9">
        <v>4.82</v>
      </c>
      <c r="AB4" s="104">
        <v>27920700</v>
      </c>
      <c r="AC4" s="9">
        <v>4.82</v>
      </c>
      <c r="AD4" s="40">
        <f t="shared" si="0"/>
        <v>0.11000000000000032</v>
      </c>
      <c r="AE4" s="162">
        <f t="shared" si="1"/>
        <v>-6.1855670103091454E-3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42584</v>
      </c>
      <c r="X5" s="9">
        <v>4.93</v>
      </c>
      <c r="Y5" s="9">
        <v>4.9400000000000004</v>
      </c>
      <c r="Z5" s="9">
        <v>4.66</v>
      </c>
      <c r="AA5" s="9">
        <v>4.8499999999999996</v>
      </c>
      <c r="AB5" s="104">
        <v>70072300</v>
      </c>
      <c r="AC5" s="9">
        <v>4.8499999999999996</v>
      </c>
      <c r="AD5" s="40">
        <f t="shared" si="0"/>
        <v>0.28000000000000025</v>
      </c>
      <c r="AE5" s="162">
        <f t="shared" si="1"/>
        <v>-4.5275590551181133E-2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42583</v>
      </c>
      <c r="X6" s="9">
        <v>5.2</v>
      </c>
      <c r="Y6" s="9">
        <v>5.22</v>
      </c>
      <c r="Z6" s="9">
        <v>5.0599999999999996</v>
      </c>
      <c r="AA6" s="9">
        <v>5.08</v>
      </c>
      <c r="AB6" s="104">
        <v>22528900</v>
      </c>
      <c r="AC6" s="9">
        <v>5.08</v>
      </c>
      <c r="AD6" s="40">
        <f t="shared" si="0"/>
        <v>0.16000000000000014</v>
      </c>
      <c r="AE6" s="162">
        <f t="shared" si="1"/>
        <v>-2.3076923076923106E-2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188</v>
      </c>
      <c r="Q7" s="2">
        <f>Q10+Q8</f>
        <v>434.93000000000029</v>
      </c>
      <c r="R7">
        <v>0</v>
      </c>
      <c r="W7" s="110">
        <v>42580</v>
      </c>
      <c r="X7" s="9">
        <v>5.0999999999999996</v>
      </c>
      <c r="Y7" s="9">
        <v>5.2</v>
      </c>
      <c r="Z7" s="9">
        <v>5.0999999999999996</v>
      </c>
      <c r="AA7" s="9">
        <v>5.2</v>
      </c>
      <c r="AB7" s="104">
        <v>14295600</v>
      </c>
      <c r="AC7" s="9">
        <v>5.2</v>
      </c>
      <c r="AD7" s="40">
        <f t="shared" si="0"/>
        <v>0.10000000000000053</v>
      </c>
      <c r="AE7" s="162">
        <f t="shared" si="1"/>
        <v>2.16110019646365E-2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192</v>
      </c>
      <c r="P8" s="34"/>
      <c r="Q8" s="2">
        <f>K18+M18-F18+Q2*Q4</f>
        <v>0</v>
      </c>
      <c r="W8" s="110">
        <v>42579</v>
      </c>
      <c r="X8" s="9">
        <v>5.09</v>
      </c>
      <c r="Y8" s="9">
        <v>5.14</v>
      </c>
      <c r="Z8" s="9">
        <v>5.08</v>
      </c>
      <c r="AA8" s="9">
        <v>5.09</v>
      </c>
      <c r="AB8" s="104">
        <v>9470900</v>
      </c>
      <c r="AC8" s="9">
        <v>5.09</v>
      </c>
      <c r="AD8" s="40">
        <f t="shared" si="0"/>
        <v>5.9999999999999609E-2</v>
      </c>
      <c r="AE8" s="162">
        <f t="shared" si="1"/>
        <v>0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231</v>
      </c>
      <c r="Q9" s="138">
        <f>IF(Q2=0, 0, Q8/Q6)</f>
        <v>0</v>
      </c>
      <c r="W9" s="110">
        <v>42578</v>
      </c>
      <c r="X9" s="9">
        <v>5.15</v>
      </c>
      <c r="Y9" s="9">
        <v>5.17</v>
      </c>
      <c r="Z9" s="9">
        <v>5.07</v>
      </c>
      <c r="AA9" s="9">
        <v>5.09</v>
      </c>
      <c r="AB9" s="104">
        <v>13254600</v>
      </c>
      <c r="AC9" s="9">
        <v>5.09</v>
      </c>
      <c r="AD9" s="40">
        <f t="shared" si="0"/>
        <v>9.9999999999999645E-2</v>
      </c>
      <c r="AE9" s="162">
        <f t="shared" si="1"/>
        <v>-1.1650485436893288E-2</v>
      </c>
    </row>
    <row r="10" spans="1:31" x14ac:dyDescent="0.25">
      <c r="O10" s="11" t="s">
        <v>230</v>
      </c>
      <c r="P10" s="34"/>
      <c r="Q10" s="2">
        <f>M43</f>
        <v>434.93000000000029</v>
      </c>
      <c r="W10" s="110">
        <v>42577</v>
      </c>
      <c r="X10" s="9">
        <v>5.15</v>
      </c>
      <c r="Y10" s="9">
        <v>5.19</v>
      </c>
      <c r="Z10" s="9">
        <v>5.1100000000000003</v>
      </c>
      <c r="AA10" s="9">
        <v>5.15</v>
      </c>
      <c r="AB10" s="104">
        <v>7036000</v>
      </c>
      <c r="AC10" s="9">
        <v>5.15</v>
      </c>
      <c r="AD10" s="40">
        <f t="shared" si="0"/>
        <v>8.0000000000000071E-2</v>
      </c>
      <c r="AE10" s="162">
        <f t="shared" si="1"/>
        <v>3.8986354775829568E-3</v>
      </c>
    </row>
    <row r="11" spans="1:31" x14ac:dyDescent="0.25">
      <c r="O11" s="11" t="s">
        <v>184</v>
      </c>
      <c r="P11" s="34"/>
      <c r="Q11" s="138">
        <f>VALUE(TRIM(CLEAN(MID(U58, FIND("(", U58)+1, 5))))</f>
        <v>8.5300000000000001E-2</v>
      </c>
      <c r="W11" s="110">
        <v>42576</v>
      </c>
      <c r="X11" s="9">
        <v>5.17</v>
      </c>
      <c r="Y11" s="9">
        <v>5.2</v>
      </c>
      <c r="Z11" s="9">
        <v>5.13</v>
      </c>
      <c r="AA11" s="9">
        <v>5.13</v>
      </c>
      <c r="AB11" s="104">
        <v>10026600</v>
      </c>
      <c r="AC11" s="9">
        <v>5.13</v>
      </c>
      <c r="AD11" s="40">
        <f t="shared" si="0"/>
        <v>7.0000000000000284E-2</v>
      </c>
      <c r="AE11" s="162">
        <f t="shared" si="1"/>
        <v>-7.7369439071567347E-3</v>
      </c>
    </row>
    <row r="12" spans="1:31" x14ac:dyDescent="0.25">
      <c r="W12" s="110">
        <v>42573</v>
      </c>
      <c r="X12" s="9">
        <v>5.1100000000000003</v>
      </c>
      <c r="Y12" s="9">
        <v>5.2</v>
      </c>
      <c r="Z12" s="9">
        <v>5.08</v>
      </c>
      <c r="AA12" s="9">
        <v>5.17</v>
      </c>
      <c r="AB12" s="104">
        <v>12124200</v>
      </c>
      <c r="AC12" s="9">
        <v>5.17</v>
      </c>
      <c r="AD12" s="40">
        <f t="shared" si="0"/>
        <v>0.12000000000000011</v>
      </c>
      <c r="AE12" s="162">
        <f t="shared" si="1"/>
        <v>1.3725490196078383E-2</v>
      </c>
    </row>
    <row r="13" spans="1:31" x14ac:dyDescent="0.25">
      <c r="W13" s="110">
        <v>42572</v>
      </c>
      <c r="X13" s="9">
        <v>5.05</v>
      </c>
      <c r="Y13" s="9">
        <v>5.15</v>
      </c>
      <c r="Z13" s="9">
        <v>5.04</v>
      </c>
      <c r="AA13" s="9">
        <v>5.0999999999999996</v>
      </c>
      <c r="AB13" s="104">
        <v>15305500</v>
      </c>
      <c r="AC13" s="9">
        <v>5.0999999999999996</v>
      </c>
      <c r="AD13" s="40">
        <f t="shared" si="0"/>
        <v>0.11000000000000032</v>
      </c>
      <c r="AE13" s="162">
        <f t="shared" si="1"/>
        <v>1.1904761904761862E-2</v>
      </c>
    </row>
    <row r="14" spans="1:31" x14ac:dyDescent="0.25">
      <c r="W14" s="110">
        <v>42571</v>
      </c>
      <c r="X14" s="9">
        <v>5.05</v>
      </c>
      <c r="Y14" s="9">
        <v>5.0599999999999996</v>
      </c>
      <c r="Z14" s="9">
        <v>4.9800000000000004</v>
      </c>
      <c r="AA14" s="9">
        <v>5.04</v>
      </c>
      <c r="AB14" s="104">
        <v>10299200</v>
      </c>
      <c r="AC14" s="9">
        <v>5.04</v>
      </c>
      <c r="AD14" s="40">
        <f t="shared" si="0"/>
        <v>7.9999999999999183E-2</v>
      </c>
      <c r="AE14" s="162">
        <f t="shared" si="1"/>
        <v>3.9840637450199168E-3</v>
      </c>
    </row>
    <row r="15" spans="1:31" x14ac:dyDescent="0.25">
      <c r="W15" s="110">
        <v>42570</v>
      </c>
      <c r="X15" s="9">
        <v>5.17</v>
      </c>
      <c r="Y15" s="9">
        <v>5.18</v>
      </c>
      <c r="Z15" s="9">
        <v>5.0199999999999996</v>
      </c>
      <c r="AA15" s="9">
        <v>5.0199999999999996</v>
      </c>
      <c r="AB15" s="104">
        <v>16074400</v>
      </c>
      <c r="AC15" s="9">
        <v>5.0199999999999996</v>
      </c>
      <c r="AD15" s="40">
        <f t="shared" si="0"/>
        <v>0.16000000000000014</v>
      </c>
      <c r="AE15" s="162">
        <f t="shared" si="1"/>
        <v>-3.4615384615384714E-2</v>
      </c>
    </row>
    <row r="16" spans="1:31" x14ac:dyDescent="0.25">
      <c r="W16" s="110">
        <v>42569</v>
      </c>
      <c r="X16" s="9">
        <v>5.0999999999999996</v>
      </c>
      <c r="Y16" s="9">
        <v>5.21</v>
      </c>
      <c r="Z16" s="9">
        <v>5.01</v>
      </c>
      <c r="AA16" s="9">
        <v>5.2</v>
      </c>
      <c r="AB16" s="104">
        <v>18997000</v>
      </c>
      <c r="AC16" s="9">
        <v>5.2</v>
      </c>
      <c r="AD16" s="40">
        <f t="shared" si="0"/>
        <v>0.20000000000000018</v>
      </c>
      <c r="AE16" s="162">
        <f t="shared" si="1"/>
        <v>5.8027079303675233E-3</v>
      </c>
    </row>
    <row r="17" spans="1:31" x14ac:dyDescent="0.25">
      <c r="H17" s="72"/>
      <c r="W17" s="110">
        <v>42566</v>
      </c>
      <c r="X17" s="9">
        <v>5.13</v>
      </c>
      <c r="Y17" s="9">
        <v>5.17</v>
      </c>
      <c r="Z17" s="9">
        <v>5.1100000000000003</v>
      </c>
      <c r="AA17" s="9">
        <v>5.17</v>
      </c>
      <c r="AB17" s="104">
        <v>11643500</v>
      </c>
      <c r="AC17" s="9">
        <v>5.17</v>
      </c>
      <c r="AD17" s="40">
        <f t="shared" si="0"/>
        <v>5.9999999999999609E-2</v>
      </c>
      <c r="AE17" s="162">
        <f t="shared" si="1"/>
        <v>1.1741682974559575E-2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42565</v>
      </c>
      <c r="X18" s="9">
        <v>5.09</v>
      </c>
      <c r="Y18" s="9">
        <v>5.13</v>
      </c>
      <c r="Z18" s="9">
        <v>5.0599999999999996</v>
      </c>
      <c r="AA18" s="9">
        <v>5.1100000000000003</v>
      </c>
      <c r="AB18" s="104">
        <v>12098800</v>
      </c>
      <c r="AC18" s="9">
        <v>5.1100000000000003</v>
      </c>
      <c r="AD18" s="40">
        <f t="shared" si="0"/>
        <v>7.0000000000000284E-2</v>
      </c>
      <c r="AE18" s="162">
        <f t="shared" si="1"/>
        <v>9.8814229249013508E-3</v>
      </c>
    </row>
    <row r="19" spans="1:31" x14ac:dyDescent="0.25">
      <c r="W19" s="110">
        <v>42564</v>
      </c>
      <c r="X19" s="9">
        <v>5.07</v>
      </c>
      <c r="Y19" s="9">
        <v>5.13</v>
      </c>
      <c r="Z19" s="9">
        <v>5</v>
      </c>
      <c r="AA19" s="9">
        <v>5.0599999999999996</v>
      </c>
      <c r="AB19" s="104">
        <v>11936000</v>
      </c>
      <c r="AC19" s="9">
        <v>5.0599999999999996</v>
      </c>
      <c r="AD19" s="40">
        <f t="shared" si="0"/>
        <v>0.12999999999999989</v>
      </c>
      <c r="AE19" s="162">
        <f t="shared" si="1"/>
        <v>3.9682539682539542E-3</v>
      </c>
    </row>
    <row r="20" spans="1:31" x14ac:dyDescent="0.25">
      <c r="W20" s="110">
        <v>42563</v>
      </c>
      <c r="X20" s="9">
        <v>4.96</v>
      </c>
      <c r="Y20" s="9">
        <v>5.14</v>
      </c>
      <c r="Z20" s="9">
        <v>4.9400000000000004</v>
      </c>
      <c r="AA20" s="9">
        <v>5.04</v>
      </c>
      <c r="AB20" s="104">
        <v>17159800</v>
      </c>
      <c r="AC20" s="9">
        <v>5.04</v>
      </c>
      <c r="AD20" s="40">
        <f t="shared" si="0"/>
        <v>0.19999999999999929</v>
      </c>
      <c r="AE20" s="162">
        <f t="shared" si="1"/>
        <v>2.4390243902439046E-2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42562</v>
      </c>
      <c r="X21" s="9">
        <v>4.97</v>
      </c>
      <c r="Y21" s="9">
        <v>5.0199999999999996</v>
      </c>
      <c r="Z21" s="9">
        <v>4.9000000000000004</v>
      </c>
      <c r="AA21" s="9">
        <v>4.92</v>
      </c>
      <c r="AB21" s="104">
        <v>14997900</v>
      </c>
      <c r="AC21" s="9">
        <v>4.92</v>
      </c>
      <c r="AD21" s="40">
        <f t="shared" si="0"/>
        <v>0.11999999999999922</v>
      </c>
      <c r="AE21" s="162">
        <f t="shared" si="1"/>
        <v>-1.0060362173038184E-2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42559</v>
      </c>
      <c r="X22" s="9">
        <v>4.95</v>
      </c>
      <c r="Y22" s="9">
        <v>5.04</v>
      </c>
      <c r="Z22" s="9">
        <v>4.91</v>
      </c>
      <c r="AA22" s="9">
        <v>4.97</v>
      </c>
      <c r="AB22" s="104">
        <v>13103600</v>
      </c>
      <c r="AC22" s="9">
        <v>4.97</v>
      </c>
      <c r="AD22" s="40">
        <f t="shared" si="0"/>
        <v>0.12999999999999989</v>
      </c>
      <c r="AE22" s="162">
        <f t="shared" si="1"/>
        <v>1.2219959266802416E-2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42558</v>
      </c>
      <c r="X23" s="9">
        <v>4.8899999999999997</v>
      </c>
      <c r="Y23" s="9">
        <v>4.9400000000000004</v>
      </c>
      <c r="Z23" s="9">
        <v>4.8499999999999996</v>
      </c>
      <c r="AA23" s="9">
        <v>4.91</v>
      </c>
      <c r="AB23" s="104">
        <v>9954000</v>
      </c>
      <c r="AC23" s="9">
        <v>4.91</v>
      </c>
      <c r="AD23" s="40">
        <f t="shared" si="0"/>
        <v>9.0000000000000746E-2</v>
      </c>
      <c r="AE23" s="162">
        <f t="shared" si="1"/>
        <v>6.147540983606703E-3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42557</v>
      </c>
      <c r="X24" s="9">
        <v>4.9400000000000004</v>
      </c>
      <c r="Y24" s="9">
        <v>4.96</v>
      </c>
      <c r="Z24" s="9">
        <v>4.78</v>
      </c>
      <c r="AA24" s="9">
        <v>4.88</v>
      </c>
      <c r="AB24" s="104">
        <v>23933100</v>
      </c>
      <c r="AC24" s="9">
        <v>4.88</v>
      </c>
      <c r="AD24" s="40">
        <f t="shared" si="0"/>
        <v>0.17999999999999972</v>
      </c>
      <c r="AE24" s="162">
        <f t="shared" si="1"/>
        <v>-2.0080321285140701E-2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42556</v>
      </c>
      <c r="X25" s="9">
        <v>4.9400000000000004</v>
      </c>
      <c r="Y25" s="9">
        <v>5</v>
      </c>
      <c r="Z25" s="9">
        <v>4.8600000000000003</v>
      </c>
      <c r="AA25" s="9">
        <v>4.9800000000000004</v>
      </c>
      <c r="AB25" s="104">
        <v>12801900</v>
      </c>
      <c r="AC25" s="9">
        <v>4.9800000000000004</v>
      </c>
      <c r="AD25" s="40">
        <f t="shared" si="0"/>
        <v>0.13999999999999968</v>
      </c>
      <c r="AE25" s="162">
        <f t="shared" si="1"/>
        <v>4.0322580645162365E-3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42552</v>
      </c>
      <c r="X26" s="9">
        <v>4.9400000000000004</v>
      </c>
      <c r="Y26" s="9">
        <v>4.96</v>
      </c>
      <c r="Z26" s="9">
        <v>4.8899999999999997</v>
      </c>
      <c r="AA26" s="9">
        <v>4.96</v>
      </c>
      <c r="AB26" s="104">
        <v>8855100</v>
      </c>
      <c r="AC26" s="9">
        <v>4.96</v>
      </c>
      <c r="AD26" s="40">
        <f t="shared" si="0"/>
        <v>7.0000000000000284E-2</v>
      </c>
      <c r="AE26" s="162">
        <f t="shared" si="1"/>
        <v>4.0485829959513442E-3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42551</v>
      </c>
      <c r="X27" s="9">
        <v>4.9400000000000004</v>
      </c>
      <c r="Y27" s="9">
        <v>4.9400000000000004</v>
      </c>
      <c r="Z27" s="9">
        <v>4.8</v>
      </c>
      <c r="AA27" s="9">
        <v>4.9400000000000004</v>
      </c>
      <c r="AB27" s="104">
        <v>14303400</v>
      </c>
      <c r="AC27" s="9">
        <v>4.9400000000000004</v>
      </c>
      <c r="AD27" s="40">
        <f t="shared" si="0"/>
        <v>0.14000000000000057</v>
      </c>
      <c r="AE27" s="162">
        <f t="shared" si="1"/>
        <v>1.8556701030927991E-2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42550</v>
      </c>
      <c r="X28" s="9">
        <v>4.8899999999999997</v>
      </c>
      <c r="Y28" s="9">
        <v>4.8899999999999997</v>
      </c>
      <c r="Z28" s="9">
        <v>4.78</v>
      </c>
      <c r="AA28" s="9">
        <v>4.8499999999999996</v>
      </c>
      <c r="AB28" s="104">
        <v>17053000</v>
      </c>
      <c r="AC28" s="9">
        <v>4.8499999999999996</v>
      </c>
      <c r="AD28" s="40">
        <f t="shared" si="0"/>
        <v>0.10999999999999943</v>
      </c>
      <c r="AE28" s="162">
        <f t="shared" si="1"/>
        <v>2.3206751054852148E-2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42549</v>
      </c>
      <c r="X29" s="9">
        <v>4.7</v>
      </c>
      <c r="Y29" s="9">
        <v>4.76</v>
      </c>
      <c r="Z29" s="9">
        <v>4.67</v>
      </c>
      <c r="AA29" s="9">
        <v>4.74</v>
      </c>
      <c r="AB29" s="104">
        <v>16223000</v>
      </c>
      <c r="AC29" s="9">
        <v>4.74</v>
      </c>
      <c r="AD29" s="40">
        <f t="shared" si="0"/>
        <v>8.9999999999999858E-2</v>
      </c>
      <c r="AE29" s="162">
        <f t="shared" si="1"/>
        <v>3.0434782608695699E-2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42548</v>
      </c>
      <c r="X30" s="9">
        <v>4.88</v>
      </c>
      <c r="Y30" s="9">
        <v>4.91</v>
      </c>
      <c r="Z30" s="9">
        <v>4.57</v>
      </c>
      <c r="AA30" s="9">
        <v>4.5999999999999996</v>
      </c>
      <c r="AB30" s="104">
        <v>24747500</v>
      </c>
      <c r="AC30" s="9">
        <v>4.5999999999999996</v>
      </c>
      <c r="AD30" s="40">
        <f t="shared" si="0"/>
        <v>0.33999999999999986</v>
      </c>
      <c r="AE30" s="162">
        <f t="shared" si="1"/>
        <v>-5.5441478439425151E-2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42545</v>
      </c>
      <c r="X31" s="9">
        <v>4.92</v>
      </c>
      <c r="Y31" s="9">
        <v>5.05</v>
      </c>
      <c r="Z31" s="9">
        <v>4.83</v>
      </c>
      <c r="AA31" s="9">
        <v>4.87</v>
      </c>
      <c r="AB31" s="104">
        <v>26870900</v>
      </c>
      <c r="AC31" s="9">
        <v>4.87</v>
      </c>
      <c r="AD31" s="40">
        <f t="shared" si="0"/>
        <v>0.21999999999999975</v>
      </c>
      <c r="AE31" s="162">
        <f t="shared" si="1"/>
        <v>-4.5098039215686225E-2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42544</v>
      </c>
      <c r="X32" s="9">
        <v>5.17</v>
      </c>
      <c r="Y32" s="9">
        <v>5.18</v>
      </c>
      <c r="Z32" s="9">
        <v>5.04</v>
      </c>
      <c r="AA32" s="9">
        <v>5.0999999999999996</v>
      </c>
      <c r="AB32" s="104">
        <v>13295600</v>
      </c>
      <c r="AC32" s="9">
        <v>5.0999999999999996</v>
      </c>
      <c r="AD32" s="40">
        <f t="shared" si="0"/>
        <v>0.13999999999999968</v>
      </c>
      <c r="AE32" s="162">
        <f t="shared" si="1"/>
        <v>1.9646365422396617E-3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42543</v>
      </c>
      <c r="X33" s="9">
        <v>5.19</v>
      </c>
      <c r="Y33" s="9">
        <v>5.22</v>
      </c>
      <c r="Z33" s="9">
        <v>5.07</v>
      </c>
      <c r="AA33" s="9">
        <v>5.09</v>
      </c>
      <c r="AB33" s="104">
        <v>22433700</v>
      </c>
      <c r="AC33" s="9">
        <v>5.09</v>
      </c>
      <c r="AD33" s="40">
        <f t="shared" si="0"/>
        <v>0.14999999999999947</v>
      </c>
      <c r="AE33" s="162">
        <f t="shared" si="1"/>
        <v>-2.303262955854124E-2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42542</v>
      </c>
      <c r="X34" s="9">
        <v>5.17</v>
      </c>
      <c r="Y34" s="9">
        <v>5.21</v>
      </c>
      <c r="Z34" s="9">
        <v>5.09</v>
      </c>
      <c r="AA34" s="9">
        <v>5.21</v>
      </c>
      <c r="AB34" s="104">
        <v>10720000</v>
      </c>
      <c r="AC34" s="9">
        <v>5.21</v>
      </c>
      <c r="AD34" s="40">
        <f t="shared" si="0"/>
        <v>0.12000000000000011</v>
      </c>
      <c r="AE34" s="162">
        <f t="shared" si="1"/>
        <v>7.7369439071566237E-3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42541</v>
      </c>
      <c r="X35" s="9">
        <v>5.16</v>
      </c>
      <c r="Y35" s="9">
        <v>5.2</v>
      </c>
      <c r="Z35" s="9">
        <v>5.14</v>
      </c>
      <c r="AA35" s="9">
        <v>5.17</v>
      </c>
      <c r="AB35" s="104">
        <v>14614300</v>
      </c>
      <c r="AC35" s="9">
        <v>5.17</v>
      </c>
      <c r="AD35" s="40">
        <f t="shared" si="0"/>
        <v>6.0000000000000497E-2</v>
      </c>
      <c r="AE35" s="162">
        <f t="shared" si="1"/>
        <v>1.1741682974559575E-2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42538</v>
      </c>
      <c r="X36" s="9">
        <v>5.04</v>
      </c>
      <c r="Y36" s="9">
        <v>5.15</v>
      </c>
      <c r="Z36" s="9">
        <v>5.0199999999999996</v>
      </c>
      <c r="AA36" s="9">
        <v>5.1100000000000003</v>
      </c>
      <c r="AB36" s="104">
        <v>18634800</v>
      </c>
      <c r="AC36" s="9">
        <v>5.1100000000000003</v>
      </c>
      <c r="AD36" s="40">
        <f t="shared" si="0"/>
        <v>0.13000000000000078</v>
      </c>
      <c r="AE36" s="162">
        <f t="shared" si="1"/>
        <v>1.388888888888884E-2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42537</v>
      </c>
      <c r="X37" s="9">
        <v>4.84</v>
      </c>
      <c r="Y37" s="9">
        <v>5.07</v>
      </c>
      <c r="Z37" s="9">
        <v>4.84</v>
      </c>
      <c r="AA37" s="9">
        <v>5.04</v>
      </c>
      <c r="AB37" s="104">
        <v>17525000</v>
      </c>
      <c r="AC37" s="9">
        <v>5.04</v>
      </c>
      <c r="AD37" s="40">
        <f t="shared" si="0"/>
        <v>0.23000000000000043</v>
      </c>
      <c r="AE37" s="162">
        <f t="shared" si="1"/>
        <v>3.7037037037036979E-2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42536</v>
      </c>
      <c r="X38" s="9">
        <v>4.91</v>
      </c>
      <c r="Y38" s="9">
        <v>4.9800000000000004</v>
      </c>
      <c r="Z38" s="9">
        <v>4.82</v>
      </c>
      <c r="AA38" s="9">
        <v>4.8600000000000003</v>
      </c>
      <c r="AB38" s="104">
        <v>19216100</v>
      </c>
      <c r="AC38" s="9">
        <v>4.8600000000000003</v>
      </c>
      <c r="AD38" s="40">
        <f t="shared" si="0"/>
        <v>0.16000000000000014</v>
      </c>
      <c r="AE38" s="162">
        <f t="shared" si="1"/>
        <v>6.2111801242237252E-3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42535</v>
      </c>
      <c r="X39" s="9">
        <v>4.87</v>
      </c>
      <c r="Y39" s="9">
        <v>4.9000000000000004</v>
      </c>
      <c r="Z39" s="9">
        <v>4.75</v>
      </c>
      <c r="AA39" s="9">
        <v>4.83</v>
      </c>
      <c r="AB39" s="104">
        <v>17161100</v>
      </c>
      <c r="AC39" s="9">
        <v>4.83</v>
      </c>
      <c r="AD39" s="40">
        <f t="shared" si="0"/>
        <v>0.15000000000000036</v>
      </c>
      <c r="AE39" s="162">
        <f t="shared" si="1"/>
        <v>-8.2135523613963146E-3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525" t="s">
        <v>78</v>
      </c>
      <c r="P40" s="525"/>
      <c r="W40" s="110">
        <v>42534</v>
      </c>
      <c r="X40" s="9">
        <v>4.97</v>
      </c>
      <c r="Y40" s="9">
        <v>5.05</v>
      </c>
      <c r="Z40" s="9">
        <v>4.87</v>
      </c>
      <c r="AA40" s="9">
        <v>4.87</v>
      </c>
      <c r="AB40" s="104">
        <v>18954900</v>
      </c>
      <c r="AC40" s="9">
        <v>4.87</v>
      </c>
      <c r="AD40" s="40">
        <f t="shared" si="0"/>
        <v>0.17999999999999972</v>
      </c>
      <c r="AE40" s="162" t="e">
        <f t="shared" si="1"/>
        <v>#DIV/0!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5.423</v>
      </c>
      <c r="Q41" s="2"/>
      <c r="W41" s="110">
        <v>42534</v>
      </c>
      <c r="X41" s="9" t="s">
        <v>177</v>
      </c>
      <c r="Y41" s="9"/>
      <c r="Z41" s="9"/>
      <c r="AA41" s="9"/>
      <c r="AB41" s="104"/>
      <c r="AC41" s="9"/>
      <c r="AD41" s="40">
        <f t="shared" si="0"/>
        <v>0</v>
      </c>
      <c r="AE41" s="162">
        <f t="shared" si="1"/>
        <v>-1</v>
      </c>
    </row>
    <row r="42" spans="1:31" ht="20.25" thickBot="1" x14ac:dyDescent="0.35">
      <c r="O42" s="83">
        <v>1.0900000000000001</v>
      </c>
      <c r="P42" s="83">
        <f t="shared" ref="P42:P61" si="5">O42*$Q$4</f>
        <v>5.3737000000000004</v>
      </c>
      <c r="Q42" s="2"/>
      <c r="T42" s="91" t="s">
        <v>113</v>
      </c>
      <c r="W42" s="110">
        <v>42531</v>
      </c>
      <c r="X42" s="9">
        <v>5.1100000000000003</v>
      </c>
      <c r="Y42" s="9">
        <v>5.13</v>
      </c>
      <c r="Z42" s="9">
        <v>5.04</v>
      </c>
      <c r="AA42" s="9">
        <v>5.1100000000000003</v>
      </c>
      <c r="AB42" s="104">
        <v>13416900</v>
      </c>
      <c r="AC42" s="9">
        <v>5.01</v>
      </c>
      <c r="AD42" s="40">
        <f t="shared" si="0"/>
        <v>8.9999999999999858E-2</v>
      </c>
      <c r="AE42" s="162">
        <f t="shared" si="1"/>
        <v>0</v>
      </c>
    </row>
    <row r="43" spans="1:31" ht="15.75" thickTop="1" x14ac:dyDescent="0.25">
      <c r="L43" t="s">
        <v>230</v>
      </c>
      <c r="M43" s="2">
        <f>K61+M61-F61</f>
        <v>434.93000000000029</v>
      </c>
      <c r="O43" s="83">
        <v>1.08</v>
      </c>
      <c r="P43" s="83">
        <f t="shared" si="5"/>
        <v>5.3243999999999998</v>
      </c>
      <c r="Q43" s="2"/>
      <c r="T43" s="128" t="s">
        <v>98</v>
      </c>
      <c r="U43" s="98">
        <v>4.93</v>
      </c>
      <c r="W43" s="110">
        <v>42530</v>
      </c>
      <c r="X43" s="9">
        <v>5.21</v>
      </c>
      <c r="Y43" s="9">
        <v>5.24</v>
      </c>
      <c r="Z43" s="9">
        <v>5.1100000000000003</v>
      </c>
      <c r="AA43" s="9">
        <v>5.12</v>
      </c>
      <c r="AB43" s="104">
        <v>10560900</v>
      </c>
      <c r="AC43" s="9">
        <v>5.01</v>
      </c>
      <c r="AD43" s="40">
        <f t="shared" si="0"/>
        <v>0.12999999999999989</v>
      </c>
      <c r="AE43" s="162">
        <f t="shared" si="1"/>
        <v>-1.5717092337917515E-2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5.2751000000000001</v>
      </c>
      <c r="Q44" s="2"/>
      <c r="T44" s="93" t="s">
        <v>99</v>
      </c>
      <c r="U44" s="88">
        <v>4.96</v>
      </c>
      <c r="W44" s="110">
        <v>42529</v>
      </c>
      <c r="X44" s="9">
        <v>5.23</v>
      </c>
      <c r="Y44" s="9">
        <v>5.27</v>
      </c>
      <c r="Z44" s="9">
        <v>5.19</v>
      </c>
      <c r="AA44" s="9">
        <v>5.2</v>
      </c>
      <c r="AB44" s="104">
        <v>8946700</v>
      </c>
      <c r="AC44" s="9">
        <v>5.09</v>
      </c>
      <c r="AD44" s="40">
        <f t="shared" si="0"/>
        <v>7.9999999999999183E-2</v>
      </c>
      <c r="AE44" s="162">
        <f t="shared" si="1"/>
        <v>-1.9607843137254832E-3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5.2257999999999996</v>
      </c>
      <c r="Q45" s="2"/>
      <c r="T45" s="93" t="s">
        <v>100</v>
      </c>
      <c r="U45" s="88" t="s">
        <v>444</v>
      </c>
      <c r="W45" s="110">
        <v>42528</v>
      </c>
      <c r="X45" s="9">
        <v>5.22</v>
      </c>
      <c r="Y45" s="9">
        <v>5.27</v>
      </c>
      <c r="Z45" s="9">
        <v>5.16</v>
      </c>
      <c r="AA45" s="9">
        <v>5.21</v>
      </c>
      <c r="AB45" s="104">
        <v>16625100</v>
      </c>
      <c r="AC45" s="9">
        <v>5.0999999999999996</v>
      </c>
      <c r="AD45" s="40">
        <f t="shared" si="0"/>
        <v>0.10999999999999943</v>
      </c>
      <c r="AE45" s="162">
        <f t="shared" si="1"/>
        <v>3.937007874015741E-3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5.1764999999999999</v>
      </c>
      <c r="Q46" s="2"/>
      <c r="T46" s="93" t="s">
        <v>101</v>
      </c>
      <c r="U46" s="88" t="s">
        <v>445</v>
      </c>
      <c r="W46" s="110">
        <v>42527</v>
      </c>
      <c r="X46" s="9">
        <v>5.24</v>
      </c>
      <c r="Y46" s="9">
        <v>5.3</v>
      </c>
      <c r="Z46" s="9">
        <v>5.17</v>
      </c>
      <c r="AA46" s="9">
        <v>5.19</v>
      </c>
      <c r="AB46" s="104">
        <v>15016200</v>
      </c>
      <c r="AC46" s="9">
        <v>5.08</v>
      </c>
      <c r="AD46" s="40">
        <f t="shared" si="0"/>
        <v>0.12999999999999989</v>
      </c>
      <c r="AE46" s="162">
        <f t="shared" si="1"/>
        <v>-7.8125E-3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5.1272000000000002</v>
      </c>
      <c r="Q47" s="2"/>
      <c r="T47" s="93" t="s">
        <v>102</v>
      </c>
      <c r="U47" s="88">
        <v>5.86</v>
      </c>
      <c r="W47" s="110">
        <v>42524</v>
      </c>
      <c r="X47" s="9">
        <v>5.07</v>
      </c>
      <c r="Y47" s="9">
        <v>5.24</v>
      </c>
      <c r="Z47" s="9">
        <v>5.07</v>
      </c>
      <c r="AA47" s="9">
        <v>5.23</v>
      </c>
      <c r="AB47" s="104">
        <v>9578000</v>
      </c>
      <c r="AC47" s="9">
        <v>5.12</v>
      </c>
      <c r="AD47" s="40">
        <f t="shared" si="0"/>
        <v>0.16999999999999993</v>
      </c>
      <c r="AE47" s="162">
        <f t="shared" si="1"/>
        <v>1.3861386138613874E-2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5.0778999999999996</v>
      </c>
      <c r="Q48" s="2"/>
      <c r="T48" s="93" t="s">
        <v>103</v>
      </c>
      <c r="U48" s="88">
        <v>0.658107</v>
      </c>
      <c r="W48" s="110">
        <v>42523</v>
      </c>
      <c r="X48" s="9">
        <v>5.08</v>
      </c>
      <c r="Y48" s="9">
        <v>5.17</v>
      </c>
      <c r="Z48" s="9">
        <v>5.0199999999999996</v>
      </c>
      <c r="AA48" s="9">
        <v>5.16</v>
      </c>
      <c r="AB48" s="104">
        <v>9541300</v>
      </c>
      <c r="AC48" s="9">
        <v>5.05</v>
      </c>
      <c r="AD48" s="40">
        <f t="shared" si="0"/>
        <v>0.15000000000000036</v>
      </c>
      <c r="AE48" s="162">
        <f t="shared" si="1"/>
        <v>1.6096579476861272E-2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5.0286</v>
      </c>
      <c r="Q49" s="2"/>
      <c r="T49" s="93" t="s">
        <v>123</v>
      </c>
      <c r="U49" s="88" t="s">
        <v>361</v>
      </c>
      <c r="W49" s="110">
        <v>42522</v>
      </c>
      <c r="X49" s="9">
        <v>5.14</v>
      </c>
      <c r="Y49" s="9">
        <v>5.2</v>
      </c>
      <c r="Z49" s="9">
        <v>5.0599999999999996</v>
      </c>
      <c r="AA49" s="9">
        <v>5.07</v>
      </c>
      <c r="AB49" s="104">
        <v>13850200</v>
      </c>
      <c r="AC49" s="9">
        <v>4.97</v>
      </c>
      <c r="AD49" s="40">
        <f t="shared" si="0"/>
        <v>0.14000000000000057</v>
      </c>
      <c r="AE49" s="162">
        <f t="shared" si="1"/>
        <v>-1.7786561264822143E-2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4.9792999999999994</v>
      </c>
      <c r="Q50" s="2"/>
      <c r="T50" s="93"/>
      <c r="U50" s="88"/>
      <c r="W50" s="110">
        <v>42521</v>
      </c>
      <c r="X50" s="9">
        <v>5.18</v>
      </c>
      <c r="Y50" s="9">
        <v>5.2</v>
      </c>
      <c r="Z50" s="9">
        <v>5.14</v>
      </c>
      <c r="AA50" s="9">
        <v>5.17</v>
      </c>
      <c r="AB50" s="104">
        <v>9974500</v>
      </c>
      <c r="AC50" s="9">
        <v>5.0599999999999996</v>
      </c>
      <c r="AD50" s="40">
        <f t="shared" si="0"/>
        <v>6.0000000000000497E-2</v>
      </c>
      <c r="AE50" s="162">
        <f t="shared" si="1"/>
        <v>3.9682539682539542E-3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4.93</v>
      </c>
      <c r="Q51" s="2"/>
      <c r="T51" s="93" t="s">
        <v>105</v>
      </c>
      <c r="U51" s="88" t="s">
        <v>446</v>
      </c>
      <c r="W51" s="110">
        <v>42517</v>
      </c>
      <c r="X51" s="9">
        <v>5.16</v>
      </c>
      <c r="Y51" s="9">
        <v>5.2</v>
      </c>
      <c r="Z51" s="9">
        <v>5.0999999999999996</v>
      </c>
      <c r="AA51" s="9">
        <v>5.15</v>
      </c>
      <c r="AB51" s="104">
        <v>6227100</v>
      </c>
      <c r="AC51" s="9">
        <v>5.04</v>
      </c>
      <c r="AD51" s="40">
        <f t="shared" si="0"/>
        <v>0.10000000000000053</v>
      </c>
      <c r="AE51" s="162">
        <f t="shared" si="1"/>
        <v>-1.980198019801982E-3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4.8807</v>
      </c>
      <c r="Q52" s="2"/>
      <c r="T52" s="93" t="s">
        <v>106</v>
      </c>
      <c r="U52" s="88" t="s">
        <v>223</v>
      </c>
      <c r="W52" s="110">
        <v>42516</v>
      </c>
      <c r="X52" s="9">
        <v>5.22</v>
      </c>
      <c r="Y52" s="9">
        <v>5.28</v>
      </c>
      <c r="Z52" s="9">
        <v>5.15</v>
      </c>
      <c r="AA52" s="9">
        <v>5.16</v>
      </c>
      <c r="AB52" s="104">
        <v>8489100</v>
      </c>
      <c r="AC52" s="9">
        <v>5.05</v>
      </c>
      <c r="AD52" s="40">
        <f t="shared" si="0"/>
        <v>0.12999999999999989</v>
      </c>
      <c r="AE52" s="162">
        <f t="shared" si="1"/>
        <v>-1.1741682974559797E-2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4.8313999999999995</v>
      </c>
      <c r="Q53" s="2"/>
      <c r="T53" s="93" t="s">
        <v>107</v>
      </c>
      <c r="U53" s="90">
        <v>22395002</v>
      </c>
      <c r="W53" s="110">
        <v>42515</v>
      </c>
      <c r="X53" s="9">
        <v>5.12</v>
      </c>
      <c r="Y53" s="9">
        <v>5.24</v>
      </c>
      <c r="Z53" s="9">
        <v>5.0999999999999996</v>
      </c>
      <c r="AA53" s="9">
        <v>5.22</v>
      </c>
      <c r="AB53" s="104">
        <v>10657200</v>
      </c>
      <c r="AC53" s="9">
        <v>5.1100000000000003</v>
      </c>
      <c r="AD53" s="40">
        <f t="shared" si="0"/>
        <v>0.14000000000000057</v>
      </c>
      <c r="AE53" s="162">
        <f t="shared" si="1"/>
        <v>2.4048096192384794E-2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4.7820999999999998</v>
      </c>
      <c r="T54" s="93" t="s">
        <v>110</v>
      </c>
      <c r="U54" s="90">
        <v>15375200</v>
      </c>
      <c r="W54" s="110">
        <v>42514</v>
      </c>
      <c r="X54" s="9">
        <v>4.9400000000000004</v>
      </c>
      <c r="Y54" s="9">
        <v>5.12</v>
      </c>
      <c r="Z54" s="9">
        <v>4.91</v>
      </c>
      <c r="AA54" s="9">
        <v>5.09</v>
      </c>
      <c r="AB54" s="104">
        <v>14852500</v>
      </c>
      <c r="AC54" s="9">
        <v>4.99</v>
      </c>
      <c r="AD54" s="40">
        <f t="shared" si="0"/>
        <v>0.20999999999999996</v>
      </c>
      <c r="AE54" s="162">
        <f t="shared" si="1"/>
        <v>4.175365344467652E-2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4.7327999999999992</v>
      </c>
      <c r="T55" s="93" t="s">
        <v>108</v>
      </c>
      <c r="U55" s="88" t="s">
        <v>447</v>
      </c>
      <c r="W55" s="110">
        <v>42513</v>
      </c>
      <c r="X55" s="9">
        <v>4.99</v>
      </c>
      <c r="Y55" s="9">
        <v>5.04</v>
      </c>
      <c r="Z55" s="9">
        <v>4.8899999999999997</v>
      </c>
      <c r="AA55" s="9">
        <v>4.8899999999999997</v>
      </c>
      <c r="AB55" s="104">
        <v>16998900</v>
      </c>
      <c r="AC55" s="9">
        <v>4.79</v>
      </c>
      <c r="AD55" s="40">
        <f t="shared" si="0"/>
        <v>0.15000000000000036</v>
      </c>
      <c r="AE55" s="162">
        <f t="shared" si="1"/>
        <v>-2.4439918533604943E-2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4.6834999999999996</v>
      </c>
      <c r="T56" s="93" t="s">
        <v>111</v>
      </c>
      <c r="U56" s="88" t="s">
        <v>130</v>
      </c>
      <c r="W56" s="110">
        <v>42510</v>
      </c>
      <c r="X56" s="9">
        <v>5</v>
      </c>
      <c r="Y56" s="9">
        <v>5.0199999999999996</v>
      </c>
      <c r="Z56" s="9">
        <v>4.95</v>
      </c>
      <c r="AA56" s="9">
        <v>5.01</v>
      </c>
      <c r="AB56" s="104">
        <v>11909400</v>
      </c>
      <c r="AC56" s="9">
        <v>4.91</v>
      </c>
      <c r="AD56" s="40">
        <f t="shared" si="0"/>
        <v>6.9999999999999396E-2</v>
      </c>
      <c r="AE56" s="162">
        <f t="shared" si="1"/>
        <v>1.0288065843621297E-2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4.6341999999999999</v>
      </c>
      <c r="T57" s="93" t="s">
        <v>112</v>
      </c>
      <c r="U57" s="88">
        <v>-0.48</v>
      </c>
      <c r="W57" s="110">
        <v>42509</v>
      </c>
      <c r="X57" s="9">
        <v>5.01</v>
      </c>
      <c r="Y57" s="9">
        <v>5.0199999999999996</v>
      </c>
      <c r="Z57" s="9">
        <v>4.9000000000000004</v>
      </c>
      <c r="AA57" s="9">
        <v>4.96</v>
      </c>
      <c r="AB57" s="104">
        <v>16003700</v>
      </c>
      <c r="AC57" s="9">
        <v>4.8600000000000003</v>
      </c>
      <c r="AD57" s="40">
        <f t="shared" si="0"/>
        <v>0.11999999999999922</v>
      </c>
      <c r="AE57" s="162">
        <f t="shared" si="1"/>
        <v>-1.2195121951219412E-2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4.5849000000000002</v>
      </c>
      <c r="T58" s="93" t="s">
        <v>109</v>
      </c>
      <c r="U58" s="88" t="s">
        <v>571</v>
      </c>
      <c r="W58" s="110">
        <v>42508</v>
      </c>
      <c r="X58" s="9">
        <v>5.13</v>
      </c>
      <c r="Y58" s="9">
        <v>5.19</v>
      </c>
      <c r="Z58" s="9">
        <v>4.96</v>
      </c>
      <c r="AA58" s="9">
        <v>5.0199999999999996</v>
      </c>
      <c r="AB58" s="104">
        <v>17685500</v>
      </c>
      <c r="AC58" s="9">
        <v>4.92</v>
      </c>
      <c r="AD58" s="40">
        <f t="shared" si="0"/>
        <v>0.23000000000000043</v>
      </c>
      <c r="AE58" s="162">
        <f t="shared" si="1"/>
        <v>-2.1868787276342005E-2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4.5355999999999996</v>
      </c>
      <c r="W59" s="110">
        <v>42507</v>
      </c>
      <c r="X59" s="9">
        <v>5.23</v>
      </c>
      <c r="Y59" s="9">
        <v>5.31</v>
      </c>
      <c r="Z59" s="9">
        <v>5.12</v>
      </c>
      <c r="AA59" s="9">
        <v>5.14</v>
      </c>
      <c r="AB59" s="104">
        <v>16113500</v>
      </c>
      <c r="AC59" s="9">
        <v>5.03</v>
      </c>
      <c r="AD59" s="40">
        <f t="shared" si="0"/>
        <v>0.1899999999999995</v>
      </c>
      <c r="AE59" s="162">
        <f t="shared" si="1"/>
        <v>-1.9493177387914118E-2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4.4863</v>
      </c>
      <c r="W60" s="110">
        <v>42506</v>
      </c>
      <c r="X60" s="9">
        <v>5.25</v>
      </c>
      <c r="Y60" s="9">
        <v>5.31</v>
      </c>
      <c r="Z60" s="9">
        <v>5.22</v>
      </c>
      <c r="AA60" s="9">
        <v>5.24</v>
      </c>
      <c r="AB60" s="104">
        <v>8997200</v>
      </c>
      <c r="AC60" s="9">
        <v>5.13</v>
      </c>
      <c r="AD60" s="40">
        <f t="shared" si="0"/>
        <v>8.9999999999999858E-2</v>
      </c>
      <c r="AE60" s="162">
        <f t="shared" si="1"/>
        <v>-3.8834951456311328E-3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4.4370000000000003</v>
      </c>
      <c r="W61" s="110">
        <v>42503</v>
      </c>
      <c r="X61" s="9">
        <v>5.34</v>
      </c>
      <c r="Y61" s="9">
        <v>5.36</v>
      </c>
      <c r="Z61" s="9">
        <v>5.26</v>
      </c>
      <c r="AA61" s="9">
        <v>5.26</v>
      </c>
      <c r="AB61" s="104">
        <v>6623300</v>
      </c>
      <c r="AC61" s="9">
        <v>5.15</v>
      </c>
      <c r="AD61" s="40">
        <f t="shared" si="0"/>
        <v>0.10000000000000053</v>
      </c>
      <c r="AE61" s="162">
        <f t="shared" si="1"/>
        <v>-1.3409961685823646E-2</v>
      </c>
    </row>
    <row r="62" spans="1:31" x14ac:dyDescent="0.25">
      <c r="W62" s="110">
        <v>42502</v>
      </c>
      <c r="X62" s="9">
        <v>5.39</v>
      </c>
      <c r="Y62" s="9">
        <v>5.42</v>
      </c>
      <c r="Z62" s="9">
        <v>5.3</v>
      </c>
      <c r="AA62" s="9">
        <v>5.33</v>
      </c>
      <c r="AB62" s="104">
        <v>7834600</v>
      </c>
      <c r="AC62" s="9">
        <v>5.22</v>
      </c>
      <c r="AD62" s="40">
        <f t="shared" si="0"/>
        <v>0.12000000000000011</v>
      </c>
      <c r="AE62" s="162">
        <f t="shared" si="1"/>
        <v>-1.3232514177693777E-2</v>
      </c>
    </row>
    <row r="63" spans="1:31" x14ac:dyDescent="0.25">
      <c r="W63" s="110">
        <v>42501</v>
      </c>
      <c r="X63" s="9">
        <v>5.43</v>
      </c>
      <c r="Y63" s="9">
        <v>5.53</v>
      </c>
      <c r="Z63" s="9">
        <v>5.36</v>
      </c>
      <c r="AA63" s="9">
        <v>5.4</v>
      </c>
      <c r="AB63" s="104">
        <v>15083000</v>
      </c>
      <c r="AC63" s="9">
        <v>5.29</v>
      </c>
      <c r="AD63" s="40">
        <f t="shared" si="0"/>
        <v>0.16999999999999993</v>
      </c>
      <c r="AE63" s="162">
        <f t="shared" si="1"/>
        <v>-5.6390977443609991E-3</v>
      </c>
    </row>
    <row r="64" spans="1:31" x14ac:dyDescent="0.25">
      <c r="W64" s="110">
        <v>42500</v>
      </c>
      <c r="X64" s="9">
        <v>5.27</v>
      </c>
      <c r="Y64" s="9">
        <v>5.44</v>
      </c>
      <c r="Z64" s="9">
        <v>5.25</v>
      </c>
      <c r="AA64" s="9">
        <v>5.43</v>
      </c>
      <c r="AB64" s="104">
        <v>10999500</v>
      </c>
      <c r="AC64" s="9">
        <v>5.32</v>
      </c>
      <c r="AD64" s="40">
        <f t="shared" si="0"/>
        <v>0.19000000000000039</v>
      </c>
      <c r="AE64" s="162">
        <f t="shared" si="1"/>
        <v>3.5019455252918386E-2</v>
      </c>
    </row>
    <row r="65" spans="23:31" x14ac:dyDescent="0.25">
      <c r="W65" s="110">
        <v>42499</v>
      </c>
      <c r="X65" s="9">
        <v>5.3</v>
      </c>
      <c r="Y65" s="9">
        <v>5.31</v>
      </c>
      <c r="Z65" s="9">
        <v>5.2</v>
      </c>
      <c r="AA65" s="9">
        <v>5.25</v>
      </c>
      <c r="AB65" s="104">
        <v>11305100</v>
      </c>
      <c r="AC65" s="9">
        <v>5.14</v>
      </c>
      <c r="AD65" s="40">
        <f t="shared" si="0"/>
        <v>0.10999999999999943</v>
      </c>
      <c r="AE65" s="162">
        <f t="shared" si="1"/>
        <v>-3.8759689922481799E-3</v>
      </c>
    </row>
    <row r="66" spans="23:31" x14ac:dyDescent="0.25">
      <c r="W66" s="110">
        <v>42496</v>
      </c>
      <c r="X66" s="9">
        <v>5.2</v>
      </c>
      <c r="Y66" s="9">
        <v>5.28</v>
      </c>
      <c r="Z66" s="9">
        <v>5.0999999999999996</v>
      </c>
      <c r="AA66" s="9">
        <v>5.27</v>
      </c>
      <c r="AB66" s="104">
        <v>11187400</v>
      </c>
      <c r="AC66" s="9">
        <v>5.16</v>
      </c>
      <c r="AD66" s="40">
        <f t="shared" si="0"/>
        <v>0.1800000000000006</v>
      </c>
      <c r="AE66" s="162">
        <f t="shared" si="1"/>
        <v>1.7751479289940697E-2</v>
      </c>
    </row>
    <row r="67" spans="23:31" x14ac:dyDescent="0.25">
      <c r="W67" s="110">
        <v>42495</v>
      </c>
      <c r="X67" s="9">
        <v>5.31</v>
      </c>
      <c r="Y67" s="9">
        <v>5.32</v>
      </c>
      <c r="Z67" s="9">
        <v>5.17</v>
      </c>
      <c r="AA67" s="9">
        <v>5.18</v>
      </c>
      <c r="AB67" s="104">
        <v>18066400</v>
      </c>
      <c r="AC67" s="9">
        <v>5.07</v>
      </c>
      <c r="AD67" s="40">
        <f>Y67-Z67</f>
        <v>0.15000000000000036</v>
      </c>
      <c r="AE67" s="162">
        <f>AC67/AC68-1</f>
        <v>-3.244274809160308E-2</v>
      </c>
    </row>
    <row r="68" spans="23:31" x14ac:dyDescent="0.25">
      <c r="W68" s="110">
        <v>42494</v>
      </c>
      <c r="X68" s="9">
        <v>5.19</v>
      </c>
      <c r="Y68" s="9">
        <v>5.38</v>
      </c>
      <c r="Z68" s="9">
        <v>5.15</v>
      </c>
      <c r="AA68" s="9">
        <v>5.35</v>
      </c>
      <c r="AB68" s="104">
        <v>31823500</v>
      </c>
      <c r="AC68" s="9">
        <v>5.24</v>
      </c>
      <c r="AD68" s="40">
        <f>Y68-Z68</f>
        <v>0.22999999999999954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2">
        <v>42214</v>
      </c>
      <c r="C2" s="7">
        <v>10</v>
      </c>
      <c r="D2" s="44">
        <v>113.01</v>
      </c>
      <c r="E2" s="44">
        <v>0</v>
      </c>
      <c r="F2" s="44">
        <f t="shared" ref="F2:F14" si="0">C2*D2 + E2</f>
        <v>1130.1000000000001</v>
      </c>
      <c r="G2" s="482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150</v>
      </c>
      <c r="T2" s="1"/>
      <c r="W2" s="133">
        <v>42587</v>
      </c>
      <c r="X2" s="10">
        <v>80.2</v>
      </c>
      <c r="Y2" s="10">
        <v>80.66</v>
      </c>
      <c r="Z2" s="10">
        <v>79.86</v>
      </c>
      <c r="AA2" s="10">
        <v>80.41</v>
      </c>
      <c r="AB2" s="95">
        <v>8424500</v>
      </c>
      <c r="AC2" s="10">
        <v>80.41</v>
      </c>
      <c r="AD2" s="40">
        <f>Y2-Z2</f>
        <v>0.79999999999999716</v>
      </c>
      <c r="AE2" s="162">
        <f>AC2/AC3-1</f>
        <v>8.0230663156575233E-3</v>
      </c>
    </row>
    <row r="3" spans="1:40" x14ac:dyDescent="0.25">
      <c r="A3" s="23" t="s">
        <v>71</v>
      </c>
      <c r="B3" s="48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2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86.017866666666649</v>
      </c>
      <c r="W3" s="133">
        <v>42586</v>
      </c>
      <c r="X3" s="10">
        <v>80.209999999999994</v>
      </c>
      <c r="Y3" s="10">
        <v>80.63</v>
      </c>
      <c r="Z3" s="10">
        <v>79.55</v>
      </c>
      <c r="AA3" s="10">
        <v>79.77</v>
      </c>
      <c r="AB3" s="95">
        <v>9738300</v>
      </c>
      <c r="AC3" s="10">
        <v>79.77</v>
      </c>
      <c r="AD3" s="40">
        <f t="shared" ref="AD3:AD66" si="1">Y3-Z3</f>
        <v>1.0799999999999983</v>
      </c>
      <c r="AE3" s="162">
        <f t="shared" ref="AE3:AE66" si="2">AC3/AC4-1</f>
        <v>-3.9955050568112327E-3</v>
      </c>
      <c r="AN3" s="236"/>
    </row>
    <row r="4" spans="1:40" x14ac:dyDescent="0.25">
      <c r="B4" s="48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2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3">
        <v>79.739999999999995</v>
      </c>
      <c r="W4" s="133">
        <v>42585</v>
      </c>
      <c r="X4" s="10">
        <v>79.72</v>
      </c>
      <c r="Y4" s="10">
        <v>80.17</v>
      </c>
      <c r="Z4" s="10">
        <v>79.11</v>
      </c>
      <c r="AA4" s="10">
        <v>80.09</v>
      </c>
      <c r="AB4" s="95">
        <v>10868100</v>
      </c>
      <c r="AC4" s="10">
        <v>80.09</v>
      </c>
      <c r="AD4" s="40">
        <f t="shared" si="1"/>
        <v>1.0600000000000023</v>
      </c>
      <c r="AE4" s="162">
        <f t="shared" si="2"/>
        <v>6.5351263038835317E-3</v>
      </c>
    </row>
    <row r="5" spans="1:40" x14ac:dyDescent="0.25">
      <c r="B5" s="48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2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11961</v>
      </c>
      <c r="T5" s="1"/>
      <c r="W5" s="133">
        <v>42584</v>
      </c>
      <c r="X5" s="10">
        <v>80.98</v>
      </c>
      <c r="Y5" s="10">
        <v>81.19</v>
      </c>
      <c r="Z5" s="10">
        <v>79.45</v>
      </c>
      <c r="AA5" s="10">
        <v>79.569999999999993</v>
      </c>
      <c r="AB5" s="95">
        <v>13408200</v>
      </c>
      <c r="AC5" s="10">
        <v>79.569999999999993</v>
      </c>
      <c r="AD5" s="40">
        <f t="shared" si="1"/>
        <v>1.7399999999999949</v>
      </c>
      <c r="AE5" s="162">
        <f t="shared" si="2"/>
        <v>-1.1061396967437243E-2</v>
      </c>
      <c r="AK5" s="236"/>
      <c r="AN5" s="236"/>
    </row>
    <row r="6" spans="1:40" x14ac:dyDescent="0.25">
      <c r="B6" s="48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2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551</v>
      </c>
      <c r="O6" s="11" t="s">
        <v>64</v>
      </c>
      <c r="Q6" s="2">
        <f>Q3*Q2</f>
        <v>12902.679999999997</v>
      </c>
      <c r="W6" s="133">
        <v>42583</v>
      </c>
      <c r="X6" s="10">
        <v>79.81</v>
      </c>
      <c r="Y6" s="10">
        <v>81.209999999999994</v>
      </c>
      <c r="Z6" s="10">
        <v>79.510000000000005</v>
      </c>
      <c r="AA6" s="10">
        <v>80.459999999999994</v>
      </c>
      <c r="AB6" s="95">
        <v>14758000</v>
      </c>
      <c r="AC6" s="10">
        <v>80.459999999999994</v>
      </c>
      <c r="AD6" s="40">
        <f t="shared" si="1"/>
        <v>1.6999999999999886</v>
      </c>
      <c r="AE6" s="162">
        <f t="shared" si="2"/>
        <v>1.2457531143827749E-2</v>
      </c>
    </row>
    <row r="7" spans="1:40" x14ac:dyDescent="0.25">
      <c r="B7" s="48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1"/>
      <c r="H7" s="7"/>
      <c r="I7" s="7"/>
      <c r="J7" s="7"/>
      <c r="K7" s="7"/>
      <c r="O7" s="11" t="s">
        <v>188</v>
      </c>
      <c r="Q7" s="2">
        <f>Q10+Q8</f>
        <v>-941.67999999999665</v>
      </c>
      <c r="R7">
        <v>100</v>
      </c>
      <c r="W7" s="133">
        <v>42580</v>
      </c>
      <c r="X7" s="10">
        <v>80.599999999999994</v>
      </c>
      <c r="Y7" s="10">
        <v>80.84</v>
      </c>
      <c r="Z7" s="10">
        <v>79.37</v>
      </c>
      <c r="AA7" s="10">
        <v>79.47</v>
      </c>
      <c r="AB7" s="95">
        <v>19465700</v>
      </c>
      <c r="AC7" s="10">
        <v>79.47</v>
      </c>
      <c r="AD7" s="40">
        <f t="shared" si="1"/>
        <v>1.4699999999999989</v>
      </c>
      <c r="AE7" s="162">
        <f t="shared" si="2"/>
        <v>-2.1787296898079678E-2</v>
      </c>
    </row>
    <row r="8" spans="1:40" x14ac:dyDescent="0.25">
      <c r="B8" s="48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1"/>
      <c r="H8" s="82"/>
      <c r="I8" s="7"/>
      <c r="J8" s="7"/>
      <c r="K8" s="7"/>
      <c r="O8" s="11" t="s">
        <v>192</v>
      </c>
      <c r="P8" s="34"/>
      <c r="Q8" s="2">
        <f>K18+M18-F18+Q2*Q4</f>
        <v>-941.67999999999665</v>
      </c>
      <c r="T8" s="1"/>
      <c r="W8" s="133">
        <v>42579</v>
      </c>
      <c r="X8" s="10">
        <v>81.95</v>
      </c>
      <c r="Y8" s="10">
        <v>81.98</v>
      </c>
      <c r="Z8" s="10">
        <v>80.62</v>
      </c>
      <c r="AA8" s="10">
        <v>81.239999999999995</v>
      </c>
      <c r="AB8" s="95">
        <v>13011000</v>
      </c>
      <c r="AC8" s="10">
        <v>81.239999999999995</v>
      </c>
      <c r="AD8" s="40">
        <f t="shared" si="1"/>
        <v>1.3599999999999994</v>
      </c>
      <c r="AE8" s="162">
        <f t="shared" si="2"/>
        <v>-6.7245384521336105E-3</v>
      </c>
    </row>
    <row r="9" spans="1:40" x14ac:dyDescent="0.25">
      <c r="A9" s="431"/>
      <c r="B9" s="48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1"/>
      <c r="H9" s="7"/>
      <c r="I9" s="7"/>
      <c r="J9" s="7"/>
      <c r="K9" s="7"/>
      <c r="O9" s="11" t="s">
        <v>231</v>
      </c>
      <c r="Q9" s="138">
        <f>IF(Q2=0, 0, Q8/Q6)</f>
        <v>-7.298328719304803E-2</v>
      </c>
      <c r="W9" s="133">
        <v>42578</v>
      </c>
      <c r="X9" s="10">
        <v>81.34</v>
      </c>
      <c r="Y9" s="10">
        <v>81.98</v>
      </c>
      <c r="Z9" s="10">
        <v>81.06</v>
      </c>
      <c r="AA9" s="10">
        <v>81.790000000000006</v>
      </c>
      <c r="AB9" s="95">
        <v>14103800</v>
      </c>
      <c r="AC9" s="10">
        <v>81.790000000000006</v>
      </c>
      <c r="AD9" s="40">
        <f t="shared" si="1"/>
        <v>0.92000000000000171</v>
      </c>
      <c r="AE9" s="162">
        <f t="shared" si="2"/>
        <v>9.1301665638496843E-3</v>
      </c>
    </row>
    <row r="10" spans="1:40" x14ac:dyDescent="0.25">
      <c r="A10" s="431" t="s">
        <v>234</v>
      </c>
      <c r="B10" s="482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1"/>
      <c r="H10" s="7"/>
      <c r="I10" s="7"/>
      <c r="J10" s="7"/>
      <c r="K10" s="7"/>
      <c r="O10" s="11" t="s">
        <v>230</v>
      </c>
      <c r="P10" s="34"/>
      <c r="Q10" s="2">
        <f>M49</f>
        <v>0</v>
      </c>
      <c r="W10" s="133">
        <v>42577</v>
      </c>
      <c r="X10" s="10">
        <v>84.05</v>
      </c>
      <c r="Y10" s="10">
        <v>84.15</v>
      </c>
      <c r="Z10" s="10">
        <v>80.510000000000005</v>
      </c>
      <c r="AA10" s="10">
        <v>81.05</v>
      </c>
      <c r="AB10" s="95">
        <v>47371900</v>
      </c>
      <c r="AC10" s="10">
        <v>81.05</v>
      </c>
      <c r="AD10" s="40">
        <f t="shared" si="1"/>
        <v>3.6400000000000006</v>
      </c>
      <c r="AE10" s="162">
        <f t="shared" si="2"/>
        <v>-8.4697910784867325E-2</v>
      </c>
    </row>
    <row r="11" spans="1:40" x14ac:dyDescent="0.25">
      <c r="A11" s="431">
        <v>92.64</v>
      </c>
      <c r="B11" s="482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2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2.3400000000000001E-2</v>
      </c>
      <c r="W11" s="133">
        <v>42576</v>
      </c>
      <c r="X11" s="10">
        <v>86.57</v>
      </c>
      <c r="Y11" s="10">
        <v>88.85</v>
      </c>
      <c r="Z11" s="10">
        <v>86.28</v>
      </c>
      <c r="AA11" s="10">
        <v>88.55</v>
      </c>
      <c r="AB11" s="95">
        <v>15718500</v>
      </c>
      <c r="AC11" s="10">
        <v>88.55</v>
      </c>
      <c r="AD11" s="40">
        <f t="shared" si="1"/>
        <v>2.5699999999999932</v>
      </c>
      <c r="AE11" s="162">
        <f t="shared" si="2"/>
        <v>2.3108030040439154E-2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3"/>
      <c r="I12" s="3"/>
      <c r="J12" s="3"/>
      <c r="K12" s="3"/>
      <c r="N12" s="5"/>
      <c r="W12" s="133">
        <v>42573</v>
      </c>
      <c r="X12" s="10">
        <v>87.32</v>
      </c>
      <c r="Y12" s="10">
        <v>87.44</v>
      </c>
      <c r="Z12" s="10">
        <v>86.32</v>
      </c>
      <c r="AA12" s="10">
        <v>86.55</v>
      </c>
      <c r="AB12" s="95">
        <v>7374700</v>
      </c>
      <c r="AC12" s="10">
        <v>86.55</v>
      </c>
      <c r="AD12" s="40">
        <f t="shared" si="1"/>
        <v>1.1200000000000045</v>
      </c>
      <c r="AE12" s="162">
        <f t="shared" si="2"/>
        <v>-7.909215955983484E-3</v>
      </c>
    </row>
    <row r="13" spans="1:40" x14ac:dyDescent="0.25">
      <c r="B13" s="1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4"/>
      <c r="I13" s="4"/>
      <c r="J13" s="4"/>
      <c r="K13" s="4"/>
      <c r="W13" s="133">
        <v>42572</v>
      </c>
      <c r="X13" s="10">
        <v>87.16</v>
      </c>
      <c r="Y13" s="10">
        <v>87.83</v>
      </c>
      <c r="Z13" s="10">
        <v>86.3</v>
      </c>
      <c r="AA13" s="10">
        <v>87.24</v>
      </c>
      <c r="AB13" s="95">
        <v>9453400</v>
      </c>
      <c r="AC13" s="10">
        <v>87.24</v>
      </c>
      <c r="AD13" s="40">
        <f t="shared" si="1"/>
        <v>1.5300000000000011</v>
      </c>
      <c r="AE13" s="162">
        <f t="shared" si="2"/>
        <v>6.6928225248095163E-3</v>
      </c>
    </row>
    <row r="14" spans="1:40" x14ac:dyDescent="0.25">
      <c r="B14" s="1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W14" s="133">
        <v>42571</v>
      </c>
      <c r="X14" s="10">
        <v>85.46</v>
      </c>
      <c r="Y14" s="10">
        <v>87.12</v>
      </c>
      <c r="Z14" s="10">
        <v>85.1</v>
      </c>
      <c r="AA14" s="10">
        <v>86.66</v>
      </c>
      <c r="AB14" s="95">
        <v>9055900</v>
      </c>
      <c r="AC14" s="10">
        <v>86.66</v>
      </c>
      <c r="AD14" s="40">
        <f t="shared" si="1"/>
        <v>2.0200000000000102</v>
      </c>
      <c r="AE14" s="162">
        <f t="shared" si="2"/>
        <v>1.4279026217228541E-2</v>
      </c>
    </row>
    <row r="15" spans="1:40" x14ac:dyDescent="0.25">
      <c r="W15" s="133">
        <v>42570</v>
      </c>
      <c r="X15" s="10">
        <v>86.5</v>
      </c>
      <c r="Y15" s="10">
        <v>86.96</v>
      </c>
      <c r="Z15" s="10">
        <v>85.28</v>
      </c>
      <c r="AA15" s="10">
        <v>85.44</v>
      </c>
      <c r="AB15" s="95">
        <v>9832800</v>
      </c>
      <c r="AC15" s="10">
        <v>85.44</v>
      </c>
      <c r="AD15" s="40">
        <f t="shared" si="1"/>
        <v>1.6799999999999926</v>
      </c>
      <c r="AE15" s="162">
        <f t="shared" si="2"/>
        <v>-1.7140227769469774E-2</v>
      </c>
    </row>
    <row r="16" spans="1:40" x14ac:dyDescent="0.25">
      <c r="W16" s="133">
        <v>42569</v>
      </c>
      <c r="X16" s="10">
        <v>86.94</v>
      </c>
      <c r="Y16" s="10">
        <v>87.34</v>
      </c>
      <c r="Z16" s="10">
        <v>86.47</v>
      </c>
      <c r="AA16" s="10">
        <v>86.93</v>
      </c>
      <c r="AB16" s="95">
        <v>6788300</v>
      </c>
      <c r="AC16" s="10">
        <v>86.93</v>
      </c>
      <c r="AD16" s="40">
        <f t="shared" si="1"/>
        <v>0.87000000000000455</v>
      </c>
      <c r="AE16" s="162">
        <f t="shared" si="2"/>
        <v>2.9998846198224793E-3</v>
      </c>
    </row>
    <row r="17" spans="1:31" x14ac:dyDescent="0.25">
      <c r="C17" s="4"/>
      <c r="D17" s="3"/>
      <c r="E17" s="3"/>
      <c r="F17" s="3"/>
      <c r="H17" s="72"/>
      <c r="W17" s="133">
        <v>42566</v>
      </c>
      <c r="X17" s="10">
        <v>85.67</v>
      </c>
      <c r="Y17" s="10">
        <v>87.96</v>
      </c>
      <c r="Z17" s="10">
        <v>85.54</v>
      </c>
      <c r="AA17" s="10">
        <v>86.67</v>
      </c>
      <c r="AB17" s="95">
        <v>11483300</v>
      </c>
      <c r="AC17" s="10">
        <v>86.67</v>
      </c>
      <c r="AD17" s="40">
        <f t="shared" si="1"/>
        <v>2.4199999999999875</v>
      </c>
      <c r="AE17" s="162">
        <f t="shared" si="2"/>
        <v>1.3210194061257896E-2</v>
      </c>
    </row>
    <row r="18" spans="1:31" x14ac:dyDescent="0.25">
      <c r="A18" s="22" t="s">
        <v>81</v>
      </c>
      <c r="B18" s="12"/>
      <c r="C18" s="12">
        <f>SUM(C2:C17)</f>
        <v>325</v>
      </c>
      <c r="D18" s="13"/>
      <c r="E18" s="13"/>
      <c r="F18" s="13">
        <f>SUM(F2:F17)</f>
        <v>28617.699999999997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42565</v>
      </c>
      <c r="X18" s="10">
        <v>86.43</v>
      </c>
      <c r="Y18" s="10">
        <v>86.51</v>
      </c>
      <c r="Z18" s="10">
        <v>85.27</v>
      </c>
      <c r="AA18" s="10">
        <v>85.54</v>
      </c>
      <c r="AB18" s="95">
        <v>8104400</v>
      </c>
      <c r="AC18" s="10">
        <v>85.54</v>
      </c>
      <c r="AD18" s="40">
        <f t="shared" si="1"/>
        <v>1.2400000000000091</v>
      </c>
      <c r="AE18" s="162">
        <f t="shared" si="2"/>
        <v>-2.448979591836653E-3</v>
      </c>
    </row>
    <row r="19" spans="1:31" ht="15.75" thickBot="1" x14ac:dyDescent="0.3">
      <c r="A19" s="363" t="s">
        <v>206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42564</v>
      </c>
      <c r="X19" s="10">
        <v>86.71</v>
      </c>
      <c r="Y19" s="10">
        <v>87.08</v>
      </c>
      <c r="Z19" s="10">
        <v>85.72</v>
      </c>
      <c r="AA19" s="10">
        <v>85.75</v>
      </c>
      <c r="AB19" s="95">
        <v>8334400</v>
      </c>
      <c r="AC19" s="10">
        <v>85.75</v>
      </c>
      <c r="AD19" s="40">
        <f t="shared" si="1"/>
        <v>1.3599999999999994</v>
      </c>
      <c r="AE19" s="162">
        <f t="shared" si="2"/>
        <v>-1.0158143830081956E-2</v>
      </c>
    </row>
    <row r="20" spans="1:31" x14ac:dyDescent="0.25">
      <c r="W20" s="133">
        <v>42563</v>
      </c>
      <c r="X20" s="10">
        <v>86.82</v>
      </c>
      <c r="Y20" s="10">
        <v>87.31</v>
      </c>
      <c r="Z20" s="10">
        <v>86.48</v>
      </c>
      <c r="AA20" s="10">
        <v>86.63</v>
      </c>
      <c r="AB20" s="95">
        <v>7857700</v>
      </c>
      <c r="AC20" s="10">
        <v>86.63</v>
      </c>
      <c r="AD20" s="40">
        <f t="shared" si="1"/>
        <v>0.82999999999999829</v>
      </c>
      <c r="AE20" s="162">
        <f t="shared" si="2"/>
        <v>4.4057971014492825E-3</v>
      </c>
    </row>
    <row r="21" spans="1:31" x14ac:dyDescent="0.25">
      <c r="W21" s="133">
        <v>42562</v>
      </c>
      <c r="X21" s="10">
        <v>86.56</v>
      </c>
      <c r="Y21" s="10">
        <v>87.23</v>
      </c>
      <c r="Z21" s="10">
        <v>86.09</v>
      </c>
      <c r="AA21" s="10">
        <v>86.25</v>
      </c>
      <c r="AB21" s="95">
        <v>7453900</v>
      </c>
      <c r="AC21" s="10">
        <v>86.25</v>
      </c>
      <c r="AD21" s="40">
        <f t="shared" si="1"/>
        <v>1.1400000000000006</v>
      </c>
      <c r="AE21" s="162">
        <f t="shared" si="2"/>
        <v>-3.4662045060658286E-3</v>
      </c>
    </row>
    <row r="22" spans="1:31" x14ac:dyDescent="0.25">
      <c r="W22" s="133">
        <v>42559</v>
      </c>
      <c r="X22" s="10">
        <v>85.96</v>
      </c>
      <c r="Y22" s="10">
        <v>86.94</v>
      </c>
      <c r="Z22" s="10">
        <v>85.73</v>
      </c>
      <c r="AA22" s="10">
        <v>86.55</v>
      </c>
      <c r="AB22" s="95">
        <v>7628800</v>
      </c>
      <c r="AC22" s="10">
        <v>86.55</v>
      </c>
      <c r="AD22" s="40">
        <f t="shared" si="1"/>
        <v>1.2099999999999937</v>
      </c>
      <c r="AE22" s="162">
        <f t="shared" si="2"/>
        <v>1.263601263601255E-2</v>
      </c>
    </row>
    <row r="23" spans="1:31" x14ac:dyDescent="0.25">
      <c r="W23" s="133">
        <v>42558</v>
      </c>
      <c r="X23" s="10">
        <v>85.9</v>
      </c>
      <c r="Y23" s="10">
        <v>86.26</v>
      </c>
      <c r="Z23" s="10">
        <v>84.77</v>
      </c>
      <c r="AA23" s="10">
        <v>85.47</v>
      </c>
      <c r="AB23" s="95">
        <v>6764500</v>
      </c>
      <c r="AC23" s="10">
        <v>85.47</v>
      </c>
      <c r="AD23" s="40">
        <f t="shared" si="1"/>
        <v>1.4900000000000091</v>
      </c>
      <c r="AE23" s="162">
        <f t="shared" si="2"/>
        <v>-3.0327773241572986E-3</v>
      </c>
    </row>
    <row r="24" spans="1:31" x14ac:dyDescent="0.25">
      <c r="W24" s="133">
        <v>42557</v>
      </c>
      <c r="X24" s="10">
        <v>83.64</v>
      </c>
      <c r="Y24" s="10">
        <v>85.91</v>
      </c>
      <c r="Z24" s="10">
        <v>83.33</v>
      </c>
      <c r="AA24" s="10">
        <v>85.73</v>
      </c>
      <c r="AB24" s="95">
        <v>9683800</v>
      </c>
      <c r="AC24" s="10">
        <v>85.73</v>
      </c>
      <c r="AD24" s="40">
        <f t="shared" si="1"/>
        <v>2.5799999999999983</v>
      </c>
      <c r="AE24" s="162">
        <f t="shared" si="2"/>
        <v>2.1933484324710983E-2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42556</v>
      </c>
      <c r="X25" s="10">
        <v>84.68</v>
      </c>
      <c r="Y25" s="10">
        <v>85.16</v>
      </c>
      <c r="Z25" s="10">
        <v>83.51</v>
      </c>
      <c r="AA25" s="10">
        <v>83.89</v>
      </c>
      <c r="AB25" s="95">
        <v>7621700</v>
      </c>
      <c r="AC25" s="10">
        <v>83.89</v>
      </c>
      <c r="AD25" s="40">
        <f t="shared" si="1"/>
        <v>1.6499999999999915</v>
      </c>
      <c r="AE25" s="162">
        <f t="shared" si="2"/>
        <v>-1.1430591562573644E-2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42552</v>
      </c>
      <c r="X26" s="10">
        <v>83.15</v>
      </c>
      <c r="Y26" s="10">
        <v>85.3</v>
      </c>
      <c r="Z26" s="10">
        <v>82.75</v>
      </c>
      <c r="AA26" s="10">
        <v>84.86</v>
      </c>
      <c r="AB26" s="95">
        <v>8336300</v>
      </c>
      <c r="AC26" s="10">
        <v>84.86</v>
      </c>
      <c r="AD26" s="40">
        <f t="shared" si="1"/>
        <v>2.5499999999999972</v>
      </c>
      <c r="AE26" s="162">
        <f t="shared" si="2"/>
        <v>1.7262047470630426E-2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42551</v>
      </c>
      <c r="X27" s="10">
        <v>82.27</v>
      </c>
      <c r="Y27" s="10">
        <v>83.42</v>
      </c>
      <c r="Z27" s="10">
        <v>81.53</v>
      </c>
      <c r="AA27" s="10">
        <v>83.42</v>
      </c>
      <c r="AB27" s="95">
        <v>9706500</v>
      </c>
      <c r="AC27" s="10">
        <v>83.42</v>
      </c>
      <c r="AD27" s="40">
        <f t="shared" si="1"/>
        <v>1.8900000000000006</v>
      </c>
      <c r="AE27" s="162">
        <f t="shared" si="2"/>
        <v>1.3978363923666137E-2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42550</v>
      </c>
      <c r="X28" s="10">
        <v>83.39</v>
      </c>
      <c r="Y28" s="10">
        <v>83.46</v>
      </c>
      <c r="Z28" s="10">
        <v>81.75</v>
      </c>
      <c r="AA28" s="10">
        <v>82.27</v>
      </c>
      <c r="AB28" s="95">
        <v>10452600</v>
      </c>
      <c r="AC28" s="10">
        <v>82.27</v>
      </c>
      <c r="AD28" s="40">
        <f t="shared" si="1"/>
        <v>1.7099999999999937</v>
      </c>
      <c r="AE28" s="162">
        <f t="shared" si="2"/>
        <v>-4.8596768314912442E-4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42549</v>
      </c>
      <c r="X29" s="10">
        <v>79.67</v>
      </c>
      <c r="Y29" s="10">
        <v>82.42</v>
      </c>
      <c r="Z29" s="10">
        <v>79.45</v>
      </c>
      <c r="AA29" s="10">
        <v>82.31</v>
      </c>
      <c r="AB29" s="95">
        <v>14751000</v>
      </c>
      <c r="AC29" s="10">
        <v>82.31</v>
      </c>
      <c r="AD29" s="40">
        <f t="shared" si="1"/>
        <v>2.9699999999999989</v>
      </c>
      <c r="AE29" s="162">
        <f t="shared" si="2"/>
        <v>5.1884984025559078E-2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42548</v>
      </c>
      <c r="X30" s="10">
        <v>79.900000000000006</v>
      </c>
      <c r="Y30" s="10">
        <v>80.47</v>
      </c>
      <c r="Z30" s="10">
        <v>77.92</v>
      </c>
      <c r="AA30" s="10">
        <v>78.25</v>
      </c>
      <c r="AB30" s="95">
        <v>11724000</v>
      </c>
      <c r="AC30" s="10">
        <v>78.25</v>
      </c>
      <c r="AD30" s="40">
        <f t="shared" si="1"/>
        <v>2.5499999999999972</v>
      </c>
      <c r="AE30" s="162">
        <f t="shared" si="2"/>
        <v>-2.7587920964334489E-2</v>
      </c>
    </row>
    <row r="31" spans="1:31" x14ac:dyDescent="0.25">
      <c r="B31" s="195">
        <v>42376</v>
      </c>
      <c r="C31" s="458">
        <v>50</v>
      </c>
      <c r="D31" s="464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42545</v>
      </c>
      <c r="X31" s="10">
        <v>81.17</v>
      </c>
      <c r="Y31" s="10">
        <v>82.25</v>
      </c>
      <c r="Z31" s="10">
        <v>80.22</v>
      </c>
      <c r="AA31" s="10">
        <v>80.47</v>
      </c>
      <c r="AB31" s="95">
        <v>12438000</v>
      </c>
      <c r="AC31" s="10">
        <v>80.47</v>
      </c>
      <c r="AD31" s="40">
        <f t="shared" si="1"/>
        <v>2.0300000000000011</v>
      </c>
      <c r="AE31" s="162">
        <f t="shared" si="2"/>
        <v>-3.4784694734317001E-2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42544</v>
      </c>
      <c r="X32" s="10">
        <v>83.29</v>
      </c>
      <c r="Y32" s="10">
        <v>83.58</v>
      </c>
      <c r="Z32" s="10">
        <v>82.54</v>
      </c>
      <c r="AA32" s="10">
        <v>83.37</v>
      </c>
      <c r="AB32" s="95">
        <v>5844000</v>
      </c>
      <c r="AC32" s="10">
        <v>83.37</v>
      </c>
      <c r="AD32" s="40">
        <f t="shared" si="1"/>
        <v>1.039999999999992</v>
      </c>
      <c r="AE32" s="162">
        <f t="shared" si="2"/>
        <v>1.1158277744087286E-2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42543</v>
      </c>
      <c r="X33" s="10">
        <v>81.56</v>
      </c>
      <c r="Y33" s="10">
        <v>83.79</v>
      </c>
      <c r="Z33" s="10">
        <v>81.56</v>
      </c>
      <c r="AA33" s="10">
        <v>82.45</v>
      </c>
      <c r="AB33" s="95">
        <v>10069600</v>
      </c>
      <c r="AC33" s="10">
        <v>82.45</v>
      </c>
      <c r="AD33" s="40">
        <f t="shared" si="1"/>
        <v>2.230000000000004</v>
      </c>
      <c r="AE33" s="162">
        <f t="shared" si="2"/>
        <v>8.0694461425601105E-3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42542</v>
      </c>
      <c r="X34" s="10">
        <v>83.35</v>
      </c>
      <c r="Y34" s="10">
        <v>83.44</v>
      </c>
      <c r="Z34" s="10">
        <v>81.430000000000007</v>
      </c>
      <c r="AA34" s="10">
        <v>81.790000000000006</v>
      </c>
      <c r="AB34" s="95">
        <v>8412000</v>
      </c>
      <c r="AC34" s="10">
        <v>81.790000000000006</v>
      </c>
      <c r="AD34" s="40">
        <f t="shared" si="1"/>
        <v>2.0099999999999909</v>
      </c>
      <c r="AE34" s="162">
        <f t="shared" si="2"/>
        <v>-1.4459573442583307E-2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42541</v>
      </c>
      <c r="X35" s="10">
        <v>83.26</v>
      </c>
      <c r="Y35" s="10">
        <v>84.12</v>
      </c>
      <c r="Z35" s="10">
        <v>82.9</v>
      </c>
      <c r="AA35" s="10">
        <v>82.99</v>
      </c>
      <c r="AB35" s="95">
        <v>6951800</v>
      </c>
      <c r="AC35" s="10">
        <v>82.99</v>
      </c>
      <c r="AD35" s="40">
        <f t="shared" si="1"/>
        <v>1.2199999999999989</v>
      </c>
      <c r="AE35" s="162">
        <f t="shared" si="2"/>
        <v>4.1137326073803493E-3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42538</v>
      </c>
      <c r="X36" s="10">
        <v>83.68</v>
      </c>
      <c r="Y36" s="10">
        <v>84.17</v>
      </c>
      <c r="Z36" s="10">
        <v>82.53</v>
      </c>
      <c r="AA36" s="10">
        <v>82.65</v>
      </c>
      <c r="AB36" s="95">
        <v>15951300</v>
      </c>
      <c r="AC36" s="10">
        <v>82.65</v>
      </c>
      <c r="AD36" s="40">
        <f t="shared" si="1"/>
        <v>1.6400000000000006</v>
      </c>
      <c r="AE36" s="162">
        <f t="shared" si="2"/>
        <v>-1.0298167884085774E-2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42537</v>
      </c>
      <c r="X37" s="10">
        <v>82.78</v>
      </c>
      <c r="Y37" s="10">
        <v>83.7</v>
      </c>
      <c r="Z37" s="10">
        <v>82.23</v>
      </c>
      <c r="AA37" s="10">
        <v>83.51</v>
      </c>
      <c r="AB37" s="95">
        <v>6172200</v>
      </c>
      <c r="AC37" s="10">
        <v>83.51</v>
      </c>
      <c r="AD37" s="40">
        <f t="shared" si="1"/>
        <v>1.4699999999999989</v>
      </c>
      <c r="AE37" s="162">
        <f t="shared" si="2"/>
        <v>5.6599229287090935E-3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42536</v>
      </c>
      <c r="X38" s="10">
        <v>84.05</v>
      </c>
      <c r="Y38" s="10">
        <v>84.44</v>
      </c>
      <c r="Z38" s="10">
        <v>82.97</v>
      </c>
      <c r="AA38" s="10">
        <v>83.04</v>
      </c>
      <c r="AB38" s="95">
        <v>7416100</v>
      </c>
      <c r="AC38" s="10">
        <v>83.04</v>
      </c>
      <c r="AD38" s="40">
        <f t="shared" si="1"/>
        <v>1.4699999999999989</v>
      </c>
      <c r="AE38" s="162">
        <f t="shared" si="2"/>
        <v>-6.3419887519443607E-3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42535</v>
      </c>
      <c r="X39" s="10">
        <v>83.5</v>
      </c>
      <c r="Y39" s="10">
        <v>84.56</v>
      </c>
      <c r="Z39" s="10">
        <v>82.77</v>
      </c>
      <c r="AA39" s="10">
        <v>83.57</v>
      </c>
      <c r="AB39" s="95">
        <v>7488700</v>
      </c>
      <c r="AC39" s="10">
        <v>83.57</v>
      </c>
      <c r="AD39" s="40">
        <f t="shared" si="1"/>
        <v>1.7900000000000063</v>
      </c>
      <c r="AE39" s="162" t="e">
        <f t="shared" si="2"/>
        <v>#DIV/0!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197</v>
      </c>
      <c r="W40" s="133">
        <v>42535</v>
      </c>
      <c r="X40" s="10" t="s">
        <v>258</v>
      </c>
      <c r="Y40" s="10"/>
      <c r="Z40" s="10"/>
      <c r="AA40" s="10"/>
      <c r="AB40" s="95"/>
      <c r="AC40" s="10"/>
      <c r="AD40" s="40">
        <f t="shared" si="1"/>
        <v>0</v>
      </c>
      <c r="AE40" s="162">
        <f t="shared" si="2"/>
        <v>-1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42534</v>
      </c>
      <c r="X41" s="10">
        <v>84.03</v>
      </c>
      <c r="Y41" s="10">
        <v>84.81</v>
      </c>
      <c r="Z41" s="10">
        <v>83.9</v>
      </c>
      <c r="AA41" s="10">
        <v>83.98</v>
      </c>
      <c r="AB41" s="95">
        <v>8194100</v>
      </c>
      <c r="AC41" s="10">
        <v>83.51</v>
      </c>
      <c r="AD41" s="40">
        <f t="shared" si="1"/>
        <v>0.90999999999999659</v>
      </c>
      <c r="AE41" s="162">
        <f t="shared" si="2"/>
        <v>-5.5965706120504333E-3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525" t="s">
        <v>78</v>
      </c>
      <c r="P42" s="525"/>
      <c r="T42" s="91" t="s">
        <v>113</v>
      </c>
      <c r="W42" s="133">
        <v>42531</v>
      </c>
      <c r="X42" s="10">
        <v>84.98</v>
      </c>
      <c r="Y42" s="10">
        <v>85.17</v>
      </c>
      <c r="Z42" s="10">
        <v>84.08</v>
      </c>
      <c r="AA42" s="10">
        <v>84.45</v>
      </c>
      <c r="AB42" s="95">
        <v>8075200</v>
      </c>
      <c r="AC42" s="10">
        <v>83.98</v>
      </c>
      <c r="AD42" s="40">
        <f t="shared" si="1"/>
        <v>1.0900000000000034</v>
      </c>
      <c r="AE42" s="162">
        <f t="shared" si="2"/>
        <v>-1.5359362176105118E-2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87.713999999999999</v>
      </c>
      <c r="Q43" s="2"/>
      <c r="T43" s="128" t="s">
        <v>98</v>
      </c>
      <c r="U43" s="98">
        <v>79.77</v>
      </c>
      <c r="W43" s="133">
        <v>42530</v>
      </c>
      <c r="X43" s="10">
        <v>86.92</v>
      </c>
      <c r="Y43" s="10">
        <v>87.25</v>
      </c>
      <c r="Z43" s="10">
        <v>85.65</v>
      </c>
      <c r="AA43" s="10">
        <v>85.77</v>
      </c>
      <c r="AB43" s="95">
        <v>8083700</v>
      </c>
      <c r="AC43" s="10">
        <v>85.29</v>
      </c>
      <c r="AD43" s="40">
        <f t="shared" si="1"/>
        <v>1.5999999999999943</v>
      </c>
      <c r="AE43" s="162">
        <f t="shared" si="2"/>
        <v>-1.8865754054986805E-2</v>
      </c>
    </row>
    <row r="44" spans="2:31" x14ac:dyDescent="0.25">
      <c r="B44" s="195">
        <v>42488</v>
      </c>
      <c r="C44" s="458">
        <v>50</v>
      </c>
      <c r="D44" s="464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86.916600000000003</v>
      </c>
      <c r="Q44" s="2"/>
      <c r="T44" s="93" t="s">
        <v>99</v>
      </c>
      <c r="U44" s="88">
        <v>80.2</v>
      </c>
      <c r="W44" s="133">
        <v>42529</v>
      </c>
      <c r="X44" s="10">
        <v>87.52</v>
      </c>
      <c r="Y44" s="10">
        <v>88.09</v>
      </c>
      <c r="Z44" s="10">
        <v>86.82</v>
      </c>
      <c r="AA44" s="10">
        <v>87.42</v>
      </c>
      <c r="AB44" s="95">
        <v>7331600</v>
      </c>
      <c r="AC44" s="10">
        <v>86.93</v>
      </c>
      <c r="AD44" s="40">
        <f t="shared" si="1"/>
        <v>1.2700000000000102</v>
      </c>
      <c r="AE44" s="162">
        <f t="shared" si="2"/>
        <v>-9.1943454775311739E-4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86.119200000000006</v>
      </c>
      <c r="Q45" s="2"/>
      <c r="T45" s="93" t="s">
        <v>100</v>
      </c>
      <c r="U45" s="88" t="s">
        <v>448</v>
      </c>
      <c r="W45" s="133">
        <v>42528</v>
      </c>
      <c r="X45" s="10">
        <v>87.54</v>
      </c>
      <c r="Y45" s="10">
        <v>88.24</v>
      </c>
      <c r="Z45" s="10">
        <v>86.9</v>
      </c>
      <c r="AA45" s="10">
        <v>87.5</v>
      </c>
      <c r="AB45" s="95">
        <v>7923800</v>
      </c>
      <c r="AC45" s="10">
        <v>87.01</v>
      </c>
      <c r="AD45" s="40">
        <f t="shared" si="1"/>
        <v>1.3399999999999892</v>
      </c>
      <c r="AE45" s="162">
        <f t="shared" si="2"/>
        <v>-1.147973826196691E-3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85.321799999999996</v>
      </c>
      <c r="Q46" s="2"/>
      <c r="T46" s="93" t="s">
        <v>101</v>
      </c>
      <c r="U46" s="88" t="s">
        <v>449</v>
      </c>
      <c r="W46" s="133">
        <v>42527</v>
      </c>
      <c r="X46" s="10">
        <v>86.17</v>
      </c>
      <c r="Y46" s="10">
        <v>87.87</v>
      </c>
      <c r="Z46" s="10">
        <v>86.1</v>
      </c>
      <c r="AA46" s="10">
        <v>87.6</v>
      </c>
      <c r="AB46" s="95">
        <v>8596700</v>
      </c>
      <c r="AC46" s="10">
        <v>87.11</v>
      </c>
      <c r="AD46" s="40">
        <f t="shared" si="1"/>
        <v>1.7700000000000102</v>
      </c>
      <c r="AE46" s="162">
        <f t="shared" si="2"/>
        <v>1.6808684486985026E-2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84.5244</v>
      </c>
      <c r="Q47" s="2"/>
      <c r="T47" s="93" t="s">
        <v>102</v>
      </c>
      <c r="U47" s="88">
        <v>106.35</v>
      </c>
      <c r="W47" s="133">
        <v>42524</v>
      </c>
      <c r="X47" s="10">
        <v>86.85</v>
      </c>
      <c r="Y47" s="10">
        <v>86.98</v>
      </c>
      <c r="Z47" s="10">
        <v>85.55</v>
      </c>
      <c r="AA47" s="10">
        <v>86.15</v>
      </c>
      <c r="AB47" s="95">
        <v>7443800</v>
      </c>
      <c r="AC47" s="10">
        <v>85.67</v>
      </c>
      <c r="AD47" s="40">
        <f t="shared" si="1"/>
        <v>1.4300000000000068</v>
      </c>
      <c r="AE47" s="162">
        <f t="shared" si="2"/>
        <v>-6.4942595384437363E-3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83.727000000000004</v>
      </c>
      <c r="Q48" s="2"/>
      <c r="T48" s="93" t="s">
        <v>103</v>
      </c>
      <c r="U48" s="88">
        <v>0.98564300000000005</v>
      </c>
      <c r="W48" s="133">
        <v>42523</v>
      </c>
      <c r="X48" s="10">
        <v>86.69</v>
      </c>
      <c r="Y48" s="10">
        <v>87.07</v>
      </c>
      <c r="Z48" s="10">
        <v>85.86</v>
      </c>
      <c r="AA48" s="10">
        <v>86.72</v>
      </c>
      <c r="AB48" s="95">
        <v>7281100</v>
      </c>
      <c r="AC48" s="10">
        <v>86.23</v>
      </c>
      <c r="AD48" s="40">
        <f t="shared" si="1"/>
        <v>1.2099999999999937</v>
      </c>
      <c r="AE48" s="162">
        <f t="shared" si="2"/>
        <v>1.5098722415796129E-3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82.929599999999994</v>
      </c>
      <c r="Q49" s="2"/>
      <c r="T49" s="93" t="s">
        <v>123</v>
      </c>
      <c r="U49" s="88" t="s">
        <v>344</v>
      </c>
      <c r="W49" s="133">
        <v>42522</v>
      </c>
      <c r="X49" s="10">
        <v>87.23</v>
      </c>
      <c r="Y49" s="10">
        <v>87.3</v>
      </c>
      <c r="Z49" s="10">
        <v>86.31</v>
      </c>
      <c r="AA49" s="10">
        <v>86.58</v>
      </c>
      <c r="AB49" s="95">
        <v>7451800</v>
      </c>
      <c r="AC49" s="10">
        <v>86.1</v>
      </c>
      <c r="AD49" s="40">
        <f t="shared" si="1"/>
        <v>0.98999999999999488</v>
      </c>
      <c r="AE49" s="162">
        <f t="shared" si="2"/>
        <v>-5.4291324939355068E-3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82.132199999999997</v>
      </c>
      <c r="Q50" s="2"/>
      <c r="T50" s="93"/>
      <c r="U50" s="88"/>
      <c r="W50" s="133">
        <v>42521</v>
      </c>
      <c r="X50" s="10">
        <v>86.4</v>
      </c>
      <c r="Y50" s="10">
        <v>87.23</v>
      </c>
      <c r="Z50" s="10">
        <v>86.05</v>
      </c>
      <c r="AA50" s="10">
        <v>87.06</v>
      </c>
      <c r="AB50" s="95">
        <v>12517800</v>
      </c>
      <c r="AC50" s="10">
        <v>86.57</v>
      </c>
      <c r="AD50" s="40">
        <f t="shared" si="1"/>
        <v>1.1800000000000068</v>
      </c>
      <c r="AE50" s="162">
        <f t="shared" si="2"/>
        <v>1.4412936489336614E-2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81.334800000000001</v>
      </c>
      <c r="Q51" s="2"/>
      <c r="T51" s="93" t="s">
        <v>105</v>
      </c>
      <c r="U51" s="88" t="s">
        <v>450</v>
      </c>
      <c r="W51" s="133">
        <v>42517</v>
      </c>
      <c r="X51" s="10">
        <v>85.82</v>
      </c>
      <c r="Y51" s="10">
        <v>86.02</v>
      </c>
      <c r="Z51" s="10">
        <v>85.2</v>
      </c>
      <c r="AA51" s="10">
        <v>85.82</v>
      </c>
      <c r="AB51" s="95">
        <v>6125900</v>
      </c>
      <c r="AC51" s="10">
        <v>85.34</v>
      </c>
      <c r="AD51" s="40">
        <f t="shared" si="1"/>
        <v>0.81999999999999318</v>
      </c>
      <c r="AE51" s="162">
        <f t="shared" si="2"/>
        <v>6.2492630586015174E-3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80.537399999999991</v>
      </c>
      <c r="Q52" s="2"/>
      <c r="T52" s="93" t="s">
        <v>106</v>
      </c>
      <c r="U52" s="88" t="s">
        <v>451</v>
      </c>
      <c r="W52" s="133">
        <v>42516</v>
      </c>
      <c r="X52" s="10">
        <v>86.44</v>
      </c>
      <c r="Y52" s="10">
        <v>86.5</v>
      </c>
      <c r="Z52" s="10">
        <v>85.05</v>
      </c>
      <c r="AA52" s="10">
        <v>85.29</v>
      </c>
      <c r="AB52" s="95">
        <v>8126000</v>
      </c>
      <c r="AC52" s="10">
        <v>84.81</v>
      </c>
      <c r="AD52" s="40">
        <f t="shared" si="1"/>
        <v>1.4500000000000028</v>
      </c>
      <c r="AE52" s="162">
        <f t="shared" si="2"/>
        <v>-1.4181099616412896E-2</v>
      </c>
    </row>
    <row r="53" spans="2:31" x14ac:dyDescent="0.25">
      <c r="B53" s="195">
        <v>42545</v>
      </c>
      <c r="C53" s="465">
        <v>200</v>
      </c>
      <c r="D53" s="466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79.739999999999995</v>
      </c>
      <c r="Q53" s="2"/>
      <c r="T53" s="93" t="s">
        <v>107</v>
      </c>
      <c r="U53" s="90">
        <v>10692338</v>
      </c>
      <c r="W53" s="133">
        <v>42515</v>
      </c>
      <c r="X53" s="10">
        <v>86.8</v>
      </c>
      <c r="Y53" s="10">
        <v>87</v>
      </c>
      <c r="Z53" s="10">
        <v>85.7</v>
      </c>
      <c r="AA53" s="10">
        <v>86.51</v>
      </c>
      <c r="AB53" s="95">
        <v>11621400</v>
      </c>
      <c r="AC53" s="10">
        <v>86.03</v>
      </c>
      <c r="AD53" s="40">
        <f t="shared" si="1"/>
        <v>1.2999999999999972</v>
      </c>
      <c r="AE53" s="162">
        <f t="shared" si="2"/>
        <v>3.3823186377421877E-3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78.942599999999999</v>
      </c>
      <c r="Q54" s="2"/>
      <c r="T54" s="93" t="s">
        <v>110</v>
      </c>
      <c r="U54" s="90">
        <v>10043900</v>
      </c>
      <c r="W54" s="133">
        <v>42514</v>
      </c>
      <c r="X54" s="10">
        <v>83.78</v>
      </c>
      <c r="Y54" s="10">
        <v>86.44</v>
      </c>
      <c r="Z54" s="10">
        <v>83.71</v>
      </c>
      <c r="AA54" s="10">
        <v>86.22</v>
      </c>
      <c r="AB54" s="95">
        <v>13171300</v>
      </c>
      <c r="AC54" s="10">
        <v>85.74</v>
      </c>
      <c r="AD54" s="40">
        <f t="shared" si="1"/>
        <v>2.730000000000004</v>
      </c>
      <c r="AE54" s="162">
        <f t="shared" si="2"/>
        <v>3.4757422157856599E-2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78.145199999999988</v>
      </c>
      <c r="Q55" s="2"/>
      <c r="T55" s="93" t="s">
        <v>108</v>
      </c>
      <c r="U55" s="88" t="s">
        <v>452</v>
      </c>
      <c r="W55" s="133">
        <v>42513</v>
      </c>
      <c r="X55" s="10">
        <v>83.02</v>
      </c>
      <c r="Y55" s="10">
        <v>84.03</v>
      </c>
      <c r="Z55" s="10">
        <v>82.25</v>
      </c>
      <c r="AA55" s="10">
        <v>83.33</v>
      </c>
      <c r="AB55" s="95">
        <v>7782700</v>
      </c>
      <c r="AC55" s="10">
        <v>82.86</v>
      </c>
      <c r="AD55" s="40">
        <f t="shared" si="1"/>
        <v>1.7800000000000011</v>
      </c>
      <c r="AE55" s="162">
        <f t="shared" si="2"/>
        <v>8.2745193477731238E-3</v>
      </c>
    </row>
    <row r="56" spans="2:31" x14ac:dyDescent="0.25">
      <c r="B56" s="195">
        <v>42550</v>
      </c>
      <c r="C56" s="465">
        <v>200</v>
      </c>
      <c r="D56" s="466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197</v>
      </c>
      <c r="O56" s="83">
        <v>0.97</v>
      </c>
      <c r="P56" s="83">
        <f t="shared" si="10"/>
        <v>77.347799999999992</v>
      </c>
      <c r="T56" s="93" t="s">
        <v>111</v>
      </c>
      <c r="U56" s="88">
        <v>7.06</v>
      </c>
      <c r="W56" s="133">
        <v>42510</v>
      </c>
      <c r="X56" s="10">
        <v>82.17</v>
      </c>
      <c r="Y56" s="10">
        <v>83.08</v>
      </c>
      <c r="Z56" s="10">
        <v>82.07</v>
      </c>
      <c r="AA56" s="10">
        <v>82.64</v>
      </c>
      <c r="AB56" s="95">
        <v>7953000</v>
      </c>
      <c r="AC56" s="10">
        <v>82.18</v>
      </c>
      <c r="AD56" s="40">
        <f t="shared" si="1"/>
        <v>1.0100000000000051</v>
      </c>
      <c r="AE56" s="162">
        <f t="shared" si="2"/>
        <v>6.1214495592556428E-3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76.550399999999996</v>
      </c>
      <c r="T57" s="93" t="s">
        <v>112</v>
      </c>
      <c r="U57" s="88">
        <v>11.39</v>
      </c>
      <c r="W57" s="133">
        <v>42509</v>
      </c>
      <c r="X57" s="10">
        <v>82.31</v>
      </c>
      <c r="Y57" s="10">
        <v>82.59</v>
      </c>
      <c r="Z57" s="10">
        <v>81.28</v>
      </c>
      <c r="AA57" s="10">
        <v>82.14</v>
      </c>
      <c r="AB57" s="95">
        <v>9272400</v>
      </c>
      <c r="AC57" s="10">
        <v>81.680000000000007</v>
      </c>
      <c r="AD57" s="40">
        <f t="shared" si="1"/>
        <v>1.3100000000000023</v>
      </c>
      <c r="AE57" s="162">
        <f t="shared" si="2"/>
        <v>-8.9784033001697461E-3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75.752999999999986</v>
      </c>
      <c r="T58" s="93" t="s">
        <v>109</v>
      </c>
      <c r="U58" s="88" t="s">
        <v>572</v>
      </c>
      <c r="W58" s="133">
        <v>42508</v>
      </c>
      <c r="X58" s="10">
        <v>82.74</v>
      </c>
      <c r="Y58" s="10">
        <v>83.44</v>
      </c>
      <c r="Z58" s="10">
        <v>82.33</v>
      </c>
      <c r="AA58" s="10">
        <v>82.88</v>
      </c>
      <c r="AB58" s="95">
        <v>7498300</v>
      </c>
      <c r="AC58" s="10">
        <v>82.42</v>
      </c>
      <c r="AD58" s="40">
        <f t="shared" si="1"/>
        <v>1.1099999999999994</v>
      </c>
      <c r="AE58" s="162">
        <f t="shared" si="2"/>
        <v>1.458080194410849E-3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74.95559999999999</v>
      </c>
      <c r="W59" s="133">
        <v>42507</v>
      </c>
      <c r="X59" s="10">
        <v>83.5</v>
      </c>
      <c r="Y59" s="10">
        <v>83.74</v>
      </c>
      <c r="Z59" s="10">
        <v>82.45</v>
      </c>
      <c r="AA59" s="10">
        <v>82.76</v>
      </c>
      <c r="AB59" s="95">
        <v>8379200</v>
      </c>
      <c r="AC59" s="10">
        <v>82.3</v>
      </c>
      <c r="AD59" s="40">
        <f t="shared" si="1"/>
        <v>1.289999999999992</v>
      </c>
      <c r="AE59" s="162">
        <f t="shared" si="2"/>
        <v>-1.0103439980755358E-2</v>
      </c>
    </row>
    <row r="60" spans="2:31" x14ac:dyDescent="0.25">
      <c r="B60" s="195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4">
        <f t="shared" ref="H60" si="25">(E60-D60)/D60</f>
        <v>-2.4188189230934957E-2</v>
      </c>
      <c r="I60" s="359"/>
      <c r="O60" s="83">
        <v>0.93</v>
      </c>
      <c r="P60" s="83">
        <f t="shared" si="10"/>
        <v>74.158199999999994</v>
      </c>
      <c r="W60" s="133">
        <v>42506</v>
      </c>
      <c r="X60" s="10">
        <v>82.7</v>
      </c>
      <c r="Y60" s="10">
        <v>83.83</v>
      </c>
      <c r="Z60" s="10">
        <v>82.5</v>
      </c>
      <c r="AA60" s="10">
        <v>83.61</v>
      </c>
      <c r="AB60" s="95">
        <v>6508100</v>
      </c>
      <c r="AC60" s="10">
        <v>83.14</v>
      </c>
      <c r="AD60" s="40">
        <f t="shared" si="1"/>
        <v>1.3299999999999983</v>
      </c>
      <c r="AE60" s="162">
        <f t="shared" si="2"/>
        <v>1.0943579766536926E-2</v>
      </c>
    </row>
    <row r="61" spans="2:31" x14ac:dyDescent="0.25">
      <c r="B61" s="195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4">
        <f t="shared" ref="H61" si="28">(E61-D61)/D61</f>
        <v>-4.0913825927655488E-2</v>
      </c>
      <c r="I61" s="359"/>
      <c r="O61" s="83">
        <v>0.92</v>
      </c>
      <c r="P61" s="83">
        <f t="shared" si="10"/>
        <v>73.360799999999998</v>
      </c>
      <c r="W61" s="133">
        <v>42503</v>
      </c>
      <c r="X61" s="10">
        <v>82.66</v>
      </c>
      <c r="Y61" s="10">
        <v>83.87</v>
      </c>
      <c r="Z61" s="10">
        <v>82.41</v>
      </c>
      <c r="AA61" s="10">
        <v>82.7</v>
      </c>
      <c r="AB61" s="95">
        <v>8332900</v>
      </c>
      <c r="AC61" s="10">
        <v>82.24</v>
      </c>
      <c r="AD61" s="40">
        <f t="shared" si="1"/>
        <v>1.460000000000008</v>
      </c>
      <c r="AE61" s="162">
        <f t="shared" si="2"/>
        <v>-7.2904009720542451E-4</v>
      </c>
    </row>
    <row r="62" spans="2:31" x14ac:dyDescent="0.25">
      <c r="B62" s="195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4">
        <f t="shared" ref="H62" si="31">(E62-D62)/D62</f>
        <v>-2.7219009303495148E-2</v>
      </c>
      <c r="I62" s="359"/>
      <c r="O62" s="83">
        <v>0.91</v>
      </c>
      <c r="P62" s="83">
        <f t="shared" si="10"/>
        <v>72.563400000000001</v>
      </c>
      <c r="W62" s="133">
        <v>42502</v>
      </c>
      <c r="X62" s="10">
        <v>84.1</v>
      </c>
      <c r="Y62" s="10">
        <v>84.3</v>
      </c>
      <c r="Z62" s="10">
        <v>81.7</v>
      </c>
      <c r="AA62" s="10">
        <v>82.76</v>
      </c>
      <c r="AB62" s="95">
        <v>12095700</v>
      </c>
      <c r="AC62" s="10">
        <v>82.3</v>
      </c>
      <c r="AD62" s="40">
        <f t="shared" si="1"/>
        <v>2.5999999999999943</v>
      </c>
      <c r="AE62" s="162">
        <f t="shared" si="2"/>
        <v>-1.3544288625194856E-2</v>
      </c>
    </row>
    <row r="63" spans="2:31" x14ac:dyDescent="0.25">
      <c r="B63" s="195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4">
        <f t="shared" ref="H63" si="34">(E63-D63)/D63</f>
        <v>-2.0708358777255003E-2</v>
      </c>
      <c r="I63" s="359"/>
      <c r="O63" s="83">
        <v>0.9</v>
      </c>
      <c r="P63" s="83">
        <f t="shared" si="10"/>
        <v>71.765999999999991</v>
      </c>
      <c r="W63" s="133">
        <v>42501</v>
      </c>
      <c r="X63" s="10">
        <v>86.39</v>
      </c>
      <c r="Y63" s="10">
        <v>86.4</v>
      </c>
      <c r="Z63" s="10">
        <v>83.81</v>
      </c>
      <c r="AA63" s="10">
        <v>83.9</v>
      </c>
      <c r="AB63" s="95">
        <v>8445700</v>
      </c>
      <c r="AC63" s="10">
        <v>83.43</v>
      </c>
      <c r="AD63" s="40">
        <f t="shared" si="1"/>
        <v>2.5900000000000034</v>
      </c>
      <c r="AE63" s="162">
        <f t="shared" si="2"/>
        <v>-2.6487747957992913E-2</v>
      </c>
    </row>
    <row r="64" spans="2:31" x14ac:dyDescent="0.25">
      <c r="B64" s="195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4">
        <f t="shared" ref="H64" si="37">(E64-D64)/D64</f>
        <v>-2.8453787851575176E-2</v>
      </c>
      <c r="I64" s="493"/>
      <c r="W64" s="133">
        <v>42500</v>
      </c>
      <c r="X64" s="10">
        <v>86.41</v>
      </c>
      <c r="Y64" s="10">
        <v>86.48</v>
      </c>
      <c r="Z64" s="10">
        <v>84.89</v>
      </c>
      <c r="AA64" s="10">
        <v>86.18</v>
      </c>
      <c r="AB64" s="95">
        <v>6840000</v>
      </c>
      <c r="AC64" s="10">
        <v>85.7</v>
      </c>
      <c r="AD64" s="40">
        <f t="shared" si="1"/>
        <v>1.5900000000000034</v>
      </c>
      <c r="AE64" s="162">
        <f t="shared" si="2"/>
        <v>5.9866181476699865E-3</v>
      </c>
    </row>
    <row r="65" spans="2:31" x14ac:dyDescent="0.25">
      <c r="B65" s="195">
        <v>42576</v>
      </c>
      <c r="C65" s="10">
        <v>100</v>
      </c>
      <c r="D65" s="40">
        <v>89.084800000000001</v>
      </c>
      <c r="E65" s="40">
        <v>88.55</v>
      </c>
      <c r="F65" s="40">
        <f t="shared" ref="F65" si="38">C65*(E65-D65)</f>
        <v>-53.480000000000416</v>
      </c>
      <c r="G65" s="40">
        <f t="shared" ref="G65" si="39">D65*C65</f>
        <v>8908.48</v>
      </c>
      <c r="H65" s="234">
        <f t="shared" ref="H65" si="40">(E65-D65)/D65</f>
        <v>-6.0032687955746001E-3</v>
      </c>
      <c r="I65" s="359" t="s">
        <v>338</v>
      </c>
      <c r="W65" s="133">
        <v>42499</v>
      </c>
      <c r="X65" s="10">
        <v>84.99</v>
      </c>
      <c r="Y65" s="10">
        <v>86.46</v>
      </c>
      <c r="Z65" s="10">
        <v>84.7</v>
      </c>
      <c r="AA65" s="10">
        <v>85.67</v>
      </c>
      <c r="AB65" s="95">
        <v>8469000</v>
      </c>
      <c r="AC65" s="10">
        <v>85.19</v>
      </c>
      <c r="AD65" s="40">
        <f t="shared" si="1"/>
        <v>1.7599999999999909</v>
      </c>
      <c r="AE65" s="162">
        <f t="shared" si="2"/>
        <v>1.1637572734829682E-2</v>
      </c>
    </row>
    <row r="66" spans="2:31" x14ac:dyDescent="0.25">
      <c r="B66" s="195">
        <v>42577</v>
      </c>
      <c r="C66" s="10">
        <v>120</v>
      </c>
      <c r="D66" s="40">
        <v>87.677300000000002</v>
      </c>
      <c r="E66" s="40">
        <v>81.05</v>
      </c>
      <c r="F66" s="40">
        <f t="shared" ref="F66:F67" si="41">C66*(E66-D66)</f>
        <v>-795.27600000000064</v>
      </c>
      <c r="G66" s="40">
        <f t="shared" ref="G66:G67" si="42">D66*C66</f>
        <v>10521.276</v>
      </c>
      <c r="H66" s="234">
        <f t="shared" ref="H66:H67" si="43">(E66-D66)/D66</f>
        <v>-7.5587409740035388E-2</v>
      </c>
      <c r="I66" s="359"/>
      <c r="W66" s="133">
        <v>42496</v>
      </c>
      <c r="X66" s="10">
        <v>85.67</v>
      </c>
      <c r="Y66" s="10">
        <v>85.84</v>
      </c>
      <c r="Z66" s="10">
        <v>84.04</v>
      </c>
      <c r="AA66" s="10">
        <v>84.68</v>
      </c>
      <c r="AB66" s="95">
        <v>9271300</v>
      </c>
      <c r="AC66" s="10">
        <v>84.21</v>
      </c>
      <c r="AD66" s="40">
        <f t="shared" si="1"/>
        <v>1.7999999999999972</v>
      </c>
      <c r="AE66" s="162">
        <f t="shared" si="2"/>
        <v>-1.3703443429374573E-2</v>
      </c>
    </row>
    <row r="67" spans="2:31" x14ac:dyDescent="0.25">
      <c r="B67" s="195">
        <v>42580</v>
      </c>
      <c r="C67" s="10">
        <v>150</v>
      </c>
      <c r="D67" s="40">
        <v>86.017899999999997</v>
      </c>
      <c r="E67" s="40">
        <v>79.47</v>
      </c>
      <c r="F67" s="40">
        <f t="shared" si="41"/>
        <v>-982.18499999999972</v>
      </c>
      <c r="G67" s="40">
        <f t="shared" si="42"/>
        <v>12902.684999999999</v>
      </c>
      <c r="H67" s="234">
        <f t="shared" si="43"/>
        <v>-7.6122527985454172E-2</v>
      </c>
      <c r="I67" s="359"/>
      <c r="W67" s="133">
        <v>42495</v>
      </c>
      <c r="X67" s="10">
        <v>86.35</v>
      </c>
      <c r="Y67" s="10">
        <v>86.4</v>
      </c>
      <c r="Z67" s="10">
        <v>85.2</v>
      </c>
      <c r="AA67" s="10">
        <v>85.86</v>
      </c>
      <c r="AB67" s="95">
        <v>8035800</v>
      </c>
      <c r="AC67" s="10">
        <v>85.38</v>
      </c>
      <c r="AD67" s="40">
        <f>Y67-Z67</f>
        <v>1.2000000000000028</v>
      </c>
      <c r="AE67" s="162">
        <f>AC67/AC68-1</f>
        <v>3.0545112781954487E-3</v>
      </c>
    </row>
    <row r="68" spans="2:31" x14ac:dyDescent="0.25">
      <c r="B68" s="10"/>
      <c r="C68" s="10"/>
      <c r="D68" s="40"/>
      <c r="E68" s="40"/>
      <c r="F68" s="40"/>
      <c r="G68" s="40"/>
      <c r="H68" s="234"/>
      <c r="I68" s="359"/>
      <c r="W68" s="133">
        <v>42494</v>
      </c>
      <c r="X68" s="10">
        <v>86.66</v>
      </c>
      <c r="Y68" s="10">
        <v>86.99</v>
      </c>
      <c r="Z68" s="10">
        <v>85.41</v>
      </c>
      <c r="AA68" s="10">
        <v>85.6</v>
      </c>
      <c r="AB68" s="95">
        <v>12187800</v>
      </c>
      <c r="AC68" s="10">
        <v>85.12</v>
      </c>
      <c r="AD68" s="40">
        <f>Y68-Z68</f>
        <v>1.5799999999999983</v>
      </c>
      <c r="AE68" s="162" t="e">
        <f>AC68/AC69-1</f>
        <v>#DIV/0!</v>
      </c>
    </row>
    <row r="69" spans="2:31" x14ac:dyDescent="0.25">
      <c r="B69" s="10"/>
      <c r="C69" s="10"/>
      <c r="D69" s="40"/>
      <c r="E69" s="40"/>
      <c r="F69" s="40"/>
      <c r="G69" s="40"/>
      <c r="H69" s="234"/>
      <c r="I69" s="359"/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0"/>
      <c r="C70" s="10"/>
      <c r="D70" s="40"/>
      <c r="E70" s="40"/>
      <c r="F70" s="40"/>
      <c r="G70" s="40"/>
      <c r="H70" s="234"/>
      <c r="I70" s="359"/>
    </row>
    <row r="71" spans="2:31" x14ac:dyDescent="0.25">
      <c r="B71" s="10"/>
      <c r="C71" s="10"/>
      <c r="D71" s="40"/>
      <c r="E71" s="40"/>
      <c r="F71" s="40"/>
      <c r="G71" s="40"/>
      <c r="H71" s="234"/>
      <c r="I71" s="359"/>
    </row>
    <row r="72" spans="2:31" x14ac:dyDescent="0.25">
      <c r="B72" s="10"/>
      <c r="C72" s="10"/>
      <c r="D72" s="40"/>
      <c r="E72" s="40"/>
      <c r="F72" s="40"/>
      <c r="G72" s="40"/>
      <c r="H72" s="234"/>
      <c r="I72" s="359"/>
    </row>
    <row r="73" spans="2:31" x14ac:dyDescent="0.25">
      <c r="B73" s="10"/>
      <c r="C73" s="10"/>
      <c r="D73" s="40"/>
      <c r="E73" s="40"/>
      <c r="F73" s="40"/>
      <c r="G73" s="40"/>
      <c r="H73" s="234"/>
      <c r="I73" s="359"/>
    </row>
  </sheetData>
  <mergeCells count="1">
    <mergeCell ref="O42:P42"/>
  </mergeCells>
  <conditionalFormatting sqref="F37:F38 H37:I38 H39 H40:I50 H51 F42:F73 H52:I73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42587</v>
      </c>
      <c r="X2" s="10">
        <v>58.78</v>
      </c>
      <c r="Y2" s="10">
        <v>59.05</v>
      </c>
      <c r="Z2" s="10">
        <v>58.44</v>
      </c>
      <c r="AA2" s="10">
        <v>58.93</v>
      </c>
      <c r="AB2" s="95">
        <v>222800</v>
      </c>
      <c r="AC2" s="10">
        <v>58.93</v>
      </c>
      <c r="AD2" s="2">
        <f>Y2-Z2</f>
        <v>0.60999999999999943</v>
      </c>
      <c r="AE2" s="138">
        <f>AC2/AC3-1</f>
        <v>8.3846680355921244E-3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59.21</v>
      </c>
      <c r="W3" s="133">
        <v>42586</v>
      </c>
      <c r="X3" s="10">
        <v>58.04</v>
      </c>
      <c r="Y3" s="10">
        <v>58.81</v>
      </c>
      <c r="Z3" s="10">
        <v>57.73</v>
      </c>
      <c r="AA3" s="10">
        <v>58.44</v>
      </c>
      <c r="AB3" s="95">
        <v>191200</v>
      </c>
      <c r="AC3" s="10">
        <v>58.44</v>
      </c>
      <c r="AD3" s="2">
        <f t="shared" ref="AD3:AD66" si="0">Y3-Z3</f>
        <v>1.0800000000000054</v>
      </c>
      <c r="AE3" s="138">
        <f t="shared" ref="AE3:AE66" si="1">AC3/AC4-1</f>
        <v>5.3328745914329456E-3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59.21</v>
      </c>
      <c r="W4" s="133">
        <v>42585</v>
      </c>
      <c r="X4" s="10">
        <v>57.38</v>
      </c>
      <c r="Y4" s="10">
        <v>58.21</v>
      </c>
      <c r="Z4" s="10">
        <v>57.02</v>
      </c>
      <c r="AA4" s="10">
        <v>58.13</v>
      </c>
      <c r="AB4" s="95">
        <v>135000</v>
      </c>
      <c r="AC4" s="10">
        <v>58.13</v>
      </c>
      <c r="AD4" s="2">
        <f t="shared" si="0"/>
        <v>1.1899999999999977</v>
      </c>
      <c r="AE4" s="138">
        <f t="shared" si="1"/>
        <v>1.3600697471665146E-2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42584</v>
      </c>
      <c r="X5" s="10">
        <v>58.5</v>
      </c>
      <c r="Y5" s="10">
        <v>58.8</v>
      </c>
      <c r="Z5" s="10">
        <v>57.27</v>
      </c>
      <c r="AA5" s="10">
        <v>57.35</v>
      </c>
      <c r="AB5" s="95">
        <v>162900</v>
      </c>
      <c r="AC5" s="10">
        <v>57.35</v>
      </c>
      <c r="AD5" s="2">
        <f t="shared" si="0"/>
        <v>1.529999999999994</v>
      </c>
      <c r="AE5" s="138">
        <f t="shared" si="1"/>
        <v>-1.9322845417236612E-2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42583</v>
      </c>
      <c r="X6" s="10">
        <v>58.48</v>
      </c>
      <c r="Y6" s="10">
        <v>58.98</v>
      </c>
      <c r="Z6" s="10">
        <v>57.92</v>
      </c>
      <c r="AA6" s="10">
        <v>58.48</v>
      </c>
      <c r="AB6" s="95">
        <v>217900</v>
      </c>
      <c r="AC6" s="10">
        <v>58.48</v>
      </c>
      <c r="AD6" s="2">
        <f t="shared" si="0"/>
        <v>1.0599999999999952</v>
      </c>
      <c r="AE6" s="138">
        <f t="shared" si="1"/>
        <v>-1.0249402118209794E-3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33.940000000000055</v>
      </c>
      <c r="R7">
        <v>0</v>
      </c>
      <c r="W7" s="133">
        <v>42580</v>
      </c>
      <c r="X7" s="10">
        <v>58.37</v>
      </c>
      <c r="Y7" s="10">
        <v>58.98</v>
      </c>
      <c r="Z7" s="10">
        <v>57.94</v>
      </c>
      <c r="AA7" s="10">
        <v>58.54</v>
      </c>
      <c r="AB7" s="95">
        <v>233500</v>
      </c>
      <c r="AC7" s="10">
        <v>58.54</v>
      </c>
      <c r="AD7" s="2">
        <f t="shared" si="0"/>
        <v>1.0399999999999991</v>
      </c>
      <c r="AE7" s="138">
        <f t="shared" si="1"/>
        <v>3.0843043180259766E-3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58.53</v>
      </c>
      <c r="Y8" s="10">
        <v>58.87</v>
      </c>
      <c r="Z8" s="10">
        <v>58.18</v>
      </c>
      <c r="AA8" s="10">
        <v>58.36</v>
      </c>
      <c r="AB8" s="95">
        <v>159700</v>
      </c>
      <c r="AC8" s="10">
        <v>58.36</v>
      </c>
      <c r="AD8" s="2">
        <f t="shared" si="0"/>
        <v>0.68999999999999773</v>
      </c>
      <c r="AE8" s="138">
        <f t="shared" si="1"/>
        <v>-2.7341079972659221E-3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58.46</v>
      </c>
      <c r="Y9" s="10">
        <v>58.84</v>
      </c>
      <c r="Z9" s="10">
        <v>58.21</v>
      </c>
      <c r="AA9" s="10">
        <v>58.52</v>
      </c>
      <c r="AB9" s="95">
        <v>314500</v>
      </c>
      <c r="AC9" s="10">
        <v>58.52</v>
      </c>
      <c r="AD9" s="2">
        <f t="shared" si="0"/>
        <v>0.63000000000000256</v>
      </c>
      <c r="AE9" s="138">
        <f t="shared" si="1"/>
        <v>3.429355281207247E-3</v>
      </c>
    </row>
    <row r="10" spans="1:31" x14ac:dyDescent="0.25">
      <c r="O10" s="11" t="s">
        <v>230</v>
      </c>
      <c r="P10" s="34"/>
      <c r="Q10" s="2">
        <f>M33</f>
        <v>33.940000000000055</v>
      </c>
      <c r="W10" s="133">
        <v>42577</v>
      </c>
      <c r="X10" s="10">
        <v>57.58</v>
      </c>
      <c r="Y10" s="10">
        <v>58.42</v>
      </c>
      <c r="Z10" s="10">
        <v>57.58</v>
      </c>
      <c r="AA10" s="10">
        <v>58.32</v>
      </c>
      <c r="AB10" s="95">
        <v>251000</v>
      </c>
      <c r="AC10" s="10">
        <v>58.32</v>
      </c>
      <c r="AD10" s="2">
        <f t="shared" si="0"/>
        <v>0.84000000000000341</v>
      </c>
      <c r="AE10" s="138">
        <f t="shared" si="1"/>
        <v>1.0920436817472678E-2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7.4999999999999997E-3</v>
      </c>
      <c r="W11" s="133">
        <v>42576</v>
      </c>
      <c r="X11" s="10">
        <v>57.9</v>
      </c>
      <c r="Y11" s="10">
        <v>58.07</v>
      </c>
      <c r="Z11" s="10">
        <v>57.59</v>
      </c>
      <c r="AA11" s="10">
        <v>57.69</v>
      </c>
      <c r="AB11" s="95">
        <v>242400</v>
      </c>
      <c r="AC11" s="10">
        <v>57.69</v>
      </c>
      <c r="AD11" s="2">
        <f t="shared" si="0"/>
        <v>0.47999999999999687</v>
      </c>
      <c r="AE11" s="138">
        <f t="shared" si="1"/>
        <v>-2.9381265122709888E-3</v>
      </c>
    </row>
    <row r="12" spans="1:31" x14ac:dyDescent="0.25">
      <c r="W12" s="133">
        <v>42573</v>
      </c>
      <c r="X12" s="10">
        <v>57.57</v>
      </c>
      <c r="Y12" s="10">
        <v>58</v>
      </c>
      <c r="Z12" s="10">
        <v>57.14</v>
      </c>
      <c r="AA12" s="10">
        <v>57.86</v>
      </c>
      <c r="AB12" s="95">
        <v>331700</v>
      </c>
      <c r="AC12" s="10">
        <v>57.86</v>
      </c>
      <c r="AD12" s="2">
        <f t="shared" si="0"/>
        <v>0.85999999999999943</v>
      </c>
      <c r="AE12" s="138">
        <f t="shared" si="1"/>
        <v>3.6426712922810189E-3</v>
      </c>
    </row>
    <row r="13" spans="1:31" x14ac:dyDescent="0.25">
      <c r="W13" s="133">
        <v>42572</v>
      </c>
      <c r="X13" s="10">
        <v>58.9</v>
      </c>
      <c r="Y13" s="10">
        <v>59.85</v>
      </c>
      <c r="Z13" s="10">
        <v>57.28</v>
      </c>
      <c r="AA13" s="10">
        <v>57.65</v>
      </c>
      <c r="AB13" s="95">
        <v>417100</v>
      </c>
      <c r="AC13" s="10">
        <v>57.65</v>
      </c>
      <c r="AD13" s="2">
        <f t="shared" si="0"/>
        <v>2.5700000000000003</v>
      </c>
      <c r="AE13" s="138">
        <f t="shared" si="1"/>
        <v>-2.9787950185122924E-2</v>
      </c>
    </row>
    <row r="14" spans="1:31" x14ac:dyDescent="0.25">
      <c r="W14" s="133">
        <v>42571</v>
      </c>
      <c r="X14" s="10">
        <v>59.75</v>
      </c>
      <c r="Y14" s="10">
        <v>59.75</v>
      </c>
      <c r="Z14" s="10">
        <v>58.9</v>
      </c>
      <c r="AA14" s="10">
        <v>59.42</v>
      </c>
      <c r="AB14" s="95">
        <v>504400</v>
      </c>
      <c r="AC14" s="10">
        <v>59.42</v>
      </c>
      <c r="AD14" s="2">
        <f t="shared" si="0"/>
        <v>0.85000000000000142</v>
      </c>
      <c r="AE14" s="138">
        <f t="shared" si="1"/>
        <v>2.0236087689713411E-3</v>
      </c>
    </row>
    <row r="15" spans="1:31" x14ac:dyDescent="0.25">
      <c r="W15" s="133">
        <v>42570</v>
      </c>
      <c r="X15" s="10">
        <v>59.44</v>
      </c>
      <c r="Y15" s="10">
        <v>59.96</v>
      </c>
      <c r="Z15" s="10">
        <v>59.15</v>
      </c>
      <c r="AA15" s="10">
        <v>59.3</v>
      </c>
      <c r="AB15" s="95">
        <v>264900</v>
      </c>
      <c r="AC15" s="10">
        <v>59.3</v>
      </c>
      <c r="AD15" s="2">
        <f t="shared" si="0"/>
        <v>0.81000000000000227</v>
      </c>
      <c r="AE15" s="138">
        <f t="shared" si="1"/>
        <v>-1.1790466565605451E-3</v>
      </c>
    </row>
    <row r="16" spans="1:31" x14ac:dyDescent="0.25">
      <c r="W16" s="133">
        <v>42569</v>
      </c>
      <c r="X16" s="10">
        <v>59.77</v>
      </c>
      <c r="Y16" s="10">
        <v>60.25</v>
      </c>
      <c r="Z16" s="10">
        <v>59.36</v>
      </c>
      <c r="AA16" s="10">
        <v>59.37</v>
      </c>
      <c r="AB16" s="95">
        <v>303300</v>
      </c>
      <c r="AC16" s="10">
        <v>59.37</v>
      </c>
      <c r="AD16" s="2">
        <f t="shared" si="0"/>
        <v>0.89000000000000057</v>
      </c>
      <c r="AE16" s="138">
        <f t="shared" si="1"/>
        <v>-7.3566293261997373E-3</v>
      </c>
    </row>
    <row r="17" spans="1:31" x14ac:dyDescent="0.25">
      <c r="W17" s="133">
        <v>42566</v>
      </c>
      <c r="X17" s="10">
        <v>60.33</v>
      </c>
      <c r="Y17" s="10">
        <v>60.5</v>
      </c>
      <c r="Z17" s="10">
        <v>59.7</v>
      </c>
      <c r="AA17" s="10">
        <v>59.81</v>
      </c>
      <c r="AB17" s="95">
        <v>391100</v>
      </c>
      <c r="AC17" s="10">
        <v>59.81</v>
      </c>
      <c r="AD17" s="2">
        <f t="shared" si="0"/>
        <v>0.79999999999999716</v>
      </c>
      <c r="AE17" s="138">
        <f t="shared" si="1"/>
        <v>2.1782841823057009E-3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42565</v>
      </c>
      <c r="X18" s="10">
        <v>60.26</v>
      </c>
      <c r="Y18" s="10">
        <v>60.71</v>
      </c>
      <c r="Z18" s="10">
        <v>59.58</v>
      </c>
      <c r="AA18" s="10">
        <v>59.68</v>
      </c>
      <c r="AB18" s="95">
        <v>198500</v>
      </c>
      <c r="AC18" s="10">
        <v>59.68</v>
      </c>
      <c r="AD18" s="2">
        <f t="shared" si="0"/>
        <v>1.1300000000000026</v>
      </c>
      <c r="AE18" s="138">
        <f t="shared" si="1"/>
        <v>-3.1735426757975027E-3</v>
      </c>
    </row>
    <row r="19" spans="1:31" x14ac:dyDescent="0.25">
      <c r="W19" s="133">
        <v>42564</v>
      </c>
      <c r="X19" s="10">
        <v>60.26</v>
      </c>
      <c r="Y19" s="10">
        <v>60.43</v>
      </c>
      <c r="Z19" s="10">
        <v>59.68</v>
      </c>
      <c r="AA19" s="10">
        <v>59.87</v>
      </c>
      <c r="AB19" s="95">
        <v>171400</v>
      </c>
      <c r="AC19" s="10">
        <v>59.87</v>
      </c>
      <c r="AD19" s="2">
        <f t="shared" si="0"/>
        <v>0.75</v>
      </c>
      <c r="AE19" s="138">
        <f t="shared" si="1"/>
        <v>0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42563</v>
      </c>
      <c r="X20" s="10">
        <v>59.75</v>
      </c>
      <c r="Y20" s="10">
        <v>60.34</v>
      </c>
      <c r="Z20" s="10">
        <v>58.01</v>
      </c>
      <c r="AA20" s="10">
        <v>59.87</v>
      </c>
      <c r="AB20" s="95">
        <v>388600</v>
      </c>
      <c r="AC20" s="10">
        <v>59.87</v>
      </c>
      <c r="AD20" s="2">
        <f t="shared" si="0"/>
        <v>2.3300000000000054</v>
      </c>
      <c r="AE20" s="138">
        <f t="shared" si="1"/>
        <v>9.1016349233101757E-3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42562</v>
      </c>
      <c r="X21" s="10">
        <v>59.02</v>
      </c>
      <c r="Y21" s="10">
        <v>59.75</v>
      </c>
      <c r="Z21" s="10">
        <v>58.53</v>
      </c>
      <c r="AA21" s="10">
        <v>59.33</v>
      </c>
      <c r="AB21" s="95">
        <v>194700</v>
      </c>
      <c r="AC21" s="10">
        <v>59.33</v>
      </c>
      <c r="AD21" s="2">
        <f t="shared" si="0"/>
        <v>1.2199999999999989</v>
      </c>
      <c r="AE21" s="138">
        <f t="shared" si="1"/>
        <v>9.7004765146357919E-3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42559</v>
      </c>
      <c r="X22" s="10">
        <v>57.68</v>
      </c>
      <c r="Y22" s="10">
        <v>58.85</v>
      </c>
      <c r="Z22" s="10">
        <v>57.42</v>
      </c>
      <c r="AA22" s="10">
        <v>58.76</v>
      </c>
      <c r="AB22" s="95">
        <v>214500</v>
      </c>
      <c r="AC22" s="10">
        <v>58.76</v>
      </c>
      <c r="AD22" s="2">
        <f t="shared" si="0"/>
        <v>1.4299999999999997</v>
      </c>
      <c r="AE22" s="138">
        <f t="shared" si="1"/>
        <v>2.7632039174536605E-2</v>
      </c>
    </row>
    <row r="23" spans="1:31" x14ac:dyDescent="0.25">
      <c r="B23" s="10"/>
      <c r="C23" s="10"/>
      <c r="D23" s="40"/>
      <c r="E23" s="40"/>
      <c r="F23" s="40"/>
      <c r="W23" s="133">
        <v>42558</v>
      </c>
      <c r="X23" s="10">
        <v>57.05</v>
      </c>
      <c r="Y23" s="10">
        <v>57.77</v>
      </c>
      <c r="Z23" s="10">
        <v>56.55</v>
      </c>
      <c r="AA23" s="10">
        <v>57.18</v>
      </c>
      <c r="AB23" s="95">
        <v>144800</v>
      </c>
      <c r="AC23" s="10">
        <v>57.18</v>
      </c>
      <c r="AD23" s="2">
        <f t="shared" si="0"/>
        <v>1.220000000000006</v>
      </c>
      <c r="AE23" s="138">
        <f t="shared" si="1"/>
        <v>6.6901408450703581E-3</v>
      </c>
    </row>
    <row r="24" spans="1:31" x14ac:dyDescent="0.25">
      <c r="B24" s="10"/>
      <c r="C24" s="10"/>
      <c r="D24" s="40"/>
      <c r="E24" s="40"/>
      <c r="F24" s="40"/>
      <c r="W24" s="133">
        <v>42557</v>
      </c>
      <c r="X24" s="10">
        <v>56.09</v>
      </c>
      <c r="Y24" s="10">
        <v>57.36</v>
      </c>
      <c r="Z24" s="10">
        <v>56</v>
      </c>
      <c r="AA24" s="10">
        <v>56.8</v>
      </c>
      <c r="AB24" s="95">
        <v>193800</v>
      </c>
      <c r="AC24" s="10">
        <v>56.8</v>
      </c>
      <c r="AD24" s="2">
        <f t="shared" si="0"/>
        <v>1.3599999999999994</v>
      </c>
      <c r="AE24" s="138">
        <f t="shared" si="1"/>
        <v>4.7762250132672435E-3</v>
      </c>
    </row>
    <row r="25" spans="1:31" x14ac:dyDescent="0.25">
      <c r="B25" s="10"/>
      <c r="C25" s="10"/>
      <c r="D25" s="40"/>
      <c r="E25" s="40"/>
      <c r="F25" s="40"/>
      <c r="W25" s="133">
        <v>42556</v>
      </c>
      <c r="X25" s="10">
        <v>57.33</v>
      </c>
      <c r="Y25" s="10">
        <v>57.76</v>
      </c>
      <c r="Z25" s="10">
        <v>56.13</v>
      </c>
      <c r="AA25" s="10">
        <v>56.53</v>
      </c>
      <c r="AB25" s="95">
        <v>201600</v>
      </c>
      <c r="AC25" s="10">
        <v>56.53</v>
      </c>
      <c r="AD25" s="2">
        <f t="shared" si="0"/>
        <v>1.6299999999999955</v>
      </c>
      <c r="AE25" s="138">
        <f t="shared" si="1"/>
        <v>-2.383008116042129E-2</v>
      </c>
    </row>
    <row r="26" spans="1:31" x14ac:dyDescent="0.25">
      <c r="B26" s="10"/>
      <c r="C26" s="10"/>
      <c r="D26" s="40"/>
      <c r="E26" s="40"/>
      <c r="F26" s="40"/>
      <c r="W26" s="133">
        <v>42552</v>
      </c>
      <c r="X26" s="10">
        <v>57.87</v>
      </c>
      <c r="Y26" s="10">
        <v>58.57</v>
      </c>
      <c r="Z26" s="10">
        <v>57.46</v>
      </c>
      <c r="AA26" s="10">
        <v>57.91</v>
      </c>
      <c r="AB26" s="95">
        <v>270000</v>
      </c>
      <c r="AC26" s="10">
        <v>57.91</v>
      </c>
      <c r="AD26" s="2">
        <f t="shared" si="0"/>
        <v>1.1099999999999994</v>
      </c>
      <c r="AE26" s="138">
        <f t="shared" si="1"/>
        <v>4.6842470506591738E-3</v>
      </c>
    </row>
    <row r="27" spans="1:31" x14ac:dyDescent="0.25">
      <c r="B27" s="10"/>
      <c r="C27" s="10"/>
      <c r="D27" s="40"/>
      <c r="E27" s="40"/>
      <c r="F27" s="40"/>
      <c r="W27" s="133">
        <v>42551</v>
      </c>
      <c r="X27" s="10">
        <v>56.31</v>
      </c>
      <c r="Y27" s="10">
        <v>57.67</v>
      </c>
      <c r="Z27" s="10">
        <v>55.67</v>
      </c>
      <c r="AA27" s="10">
        <v>57.64</v>
      </c>
      <c r="AB27" s="95">
        <v>274900</v>
      </c>
      <c r="AC27" s="10">
        <v>57.64</v>
      </c>
      <c r="AD27" s="2">
        <f t="shared" si="0"/>
        <v>2</v>
      </c>
      <c r="AE27" s="138">
        <f t="shared" si="1"/>
        <v>2.818408847663223E-2</v>
      </c>
    </row>
    <row r="28" spans="1:31" x14ac:dyDescent="0.25">
      <c r="B28" s="10"/>
      <c r="C28" s="10"/>
      <c r="D28" s="40"/>
      <c r="E28" s="40"/>
      <c r="F28" s="40"/>
      <c r="W28" s="133">
        <v>42550</v>
      </c>
      <c r="X28" s="10">
        <v>55.36</v>
      </c>
      <c r="Y28" s="10">
        <v>56.14</v>
      </c>
      <c r="Z28" s="10">
        <v>55.12</v>
      </c>
      <c r="AA28" s="10">
        <v>56.06</v>
      </c>
      <c r="AB28" s="95">
        <v>342500</v>
      </c>
      <c r="AC28" s="10">
        <v>56.06</v>
      </c>
      <c r="AD28" s="2">
        <f t="shared" si="0"/>
        <v>1.0200000000000031</v>
      </c>
      <c r="AE28" s="138">
        <f t="shared" si="1"/>
        <v>2.8435149513850844E-2</v>
      </c>
    </row>
    <row r="29" spans="1:31" x14ac:dyDescent="0.25">
      <c r="B29" s="10"/>
      <c r="C29" s="10"/>
      <c r="D29" s="40"/>
      <c r="E29" s="40"/>
      <c r="F29" s="40"/>
      <c r="W29" s="133">
        <v>42549</v>
      </c>
      <c r="X29" s="10">
        <v>54.19</v>
      </c>
      <c r="Y29" s="10">
        <v>54.6</v>
      </c>
      <c r="Z29" s="10">
        <v>53.71</v>
      </c>
      <c r="AA29" s="10">
        <v>54.51</v>
      </c>
      <c r="AB29" s="95">
        <v>247600</v>
      </c>
      <c r="AC29" s="10">
        <v>54.51</v>
      </c>
      <c r="AD29" s="2">
        <f t="shared" si="0"/>
        <v>0.89000000000000057</v>
      </c>
      <c r="AE29" s="138">
        <f t="shared" si="1"/>
        <v>1.8497757847533602E-2</v>
      </c>
    </row>
    <row r="30" spans="1:31" x14ac:dyDescent="0.25">
      <c r="B30" s="10"/>
      <c r="C30" s="10"/>
      <c r="D30" s="40"/>
      <c r="E30" s="40"/>
      <c r="F30" s="40"/>
      <c r="W30" s="133">
        <v>42548</v>
      </c>
      <c r="X30" s="10">
        <v>54.91</v>
      </c>
      <c r="Y30" s="10">
        <v>54.95</v>
      </c>
      <c r="Z30" s="10">
        <v>53.18</v>
      </c>
      <c r="AA30" s="10">
        <v>53.52</v>
      </c>
      <c r="AB30" s="95">
        <v>400800</v>
      </c>
      <c r="AC30" s="10">
        <v>53.52</v>
      </c>
      <c r="AD30" s="2">
        <f t="shared" si="0"/>
        <v>1.7700000000000031</v>
      </c>
      <c r="AE30" s="138">
        <f t="shared" si="1"/>
        <v>-3.8620441889707147E-2</v>
      </c>
    </row>
    <row r="31" spans="1:31" x14ac:dyDescent="0.25">
      <c r="W31" s="133">
        <v>42545</v>
      </c>
      <c r="X31" s="10">
        <v>56.39</v>
      </c>
      <c r="Y31" s="10">
        <v>57.25</v>
      </c>
      <c r="Z31" s="10">
        <v>55.28</v>
      </c>
      <c r="AA31" s="10">
        <v>55.67</v>
      </c>
      <c r="AB31" s="95">
        <v>1579700</v>
      </c>
      <c r="AC31" s="10">
        <v>55.67</v>
      </c>
      <c r="AD31" s="2">
        <f t="shared" si="0"/>
        <v>1.9699999999999989</v>
      </c>
      <c r="AE31" s="138">
        <f t="shared" si="1"/>
        <v>-5.9628378378378422E-2</v>
      </c>
    </row>
    <row r="32" spans="1:31" x14ac:dyDescent="0.25">
      <c r="W32" s="133">
        <v>42544</v>
      </c>
      <c r="X32" s="10">
        <v>58.88</v>
      </c>
      <c r="Y32" s="10">
        <v>59.25</v>
      </c>
      <c r="Z32" s="10">
        <v>58.09</v>
      </c>
      <c r="AA32" s="10">
        <v>59.2</v>
      </c>
      <c r="AB32" s="95">
        <v>275500</v>
      </c>
      <c r="AC32" s="10">
        <v>59.2</v>
      </c>
      <c r="AD32" s="2">
        <f t="shared" si="0"/>
        <v>1.1599999999999966</v>
      </c>
      <c r="AE32" s="138">
        <f t="shared" si="1"/>
        <v>1.7182130584192379E-2</v>
      </c>
    </row>
    <row r="33" spans="1:31" x14ac:dyDescent="0.25">
      <c r="L33" t="s">
        <v>230</v>
      </c>
      <c r="M33" s="2">
        <f>M51+K51-F51</f>
        <v>33.940000000000055</v>
      </c>
      <c r="W33" s="133">
        <v>42543</v>
      </c>
      <c r="X33" s="10">
        <v>58.67</v>
      </c>
      <c r="Y33" s="10">
        <v>58.88</v>
      </c>
      <c r="Z33" s="10">
        <v>58.18</v>
      </c>
      <c r="AA33" s="10">
        <v>58.2</v>
      </c>
      <c r="AB33" s="95">
        <v>242000</v>
      </c>
      <c r="AC33" s="10">
        <v>58.2</v>
      </c>
      <c r="AD33" s="2">
        <f t="shared" si="0"/>
        <v>0.70000000000000284</v>
      </c>
      <c r="AE33" s="138">
        <f t="shared" si="1"/>
        <v>-4.2771599657827064E-3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42542</v>
      </c>
      <c r="X34" s="10">
        <v>58.72</v>
      </c>
      <c r="Y34" s="10">
        <v>58.79</v>
      </c>
      <c r="Z34" s="10">
        <v>58.25</v>
      </c>
      <c r="AA34" s="10">
        <v>58.45</v>
      </c>
      <c r="AB34" s="95">
        <v>237800</v>
      </c>
      <c r="AC34" s="10">
        <v>58.45</v>
      </c>
      <c r="AD34" s="2">
        <f t="shared" si="0"/>
        <v>0.53999999999999915</v>
      </c>
      <c r="AE34" s="138">
        <f t="shared" si="1"/>
        <v>-6.8387758591215153E-4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42541</v>
      </c>
      <c r="X35" s="10">
        <v>58.66</v>
      </c>
      <c r="Y35" s="10">
        <v>58.94</v>
      </c>
      <c r="Z35" s="10">
        <v>57.97</v>
      </c>
      <c r="AA35" s="10">
        <v>58.49</v>
      </c>
      <c r="AB35" s="95">
        <v>192600</v>
      </c>
      <c r="AC35" s="10">
        <v>58.49</v>
      </c>
      <c r="AD35" s="2">
        <f t="shared" si="0"/>
        <v>0.96999999999999886</v>
      </c>
      <c r="AE35" s="138">
        <f t="shared" si="1"/>
        <v>1.0713668567478907E-2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42538</v>
      </c>
      <c r="X36" s="10">
        <v>57.96</v>
      </c>
      <c r="Y36" s="10">
        <v>58.3</v>
      </c>
      <c r="Z36" s="10">
        <v>57.5</v>
      </c>
      <c r="AA36" s="10">
        <v>57.87</v>
      </c>
      <c r="AB36" s="95">
        <v>562900</v>
      </c>
      <c r="AC36" s="10">
        <v>57.87</v>
      </c>
      <c r="AD36" s="2">
        <f t="shared" si="0"/>
        <v>0.79999999999999716</v>
      </c>
      <c r="AE36" s="138">
        <f t="shared" si="1"/>
        <v>1.2110726643599357E-3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42537</v>
      </c>
      <c r="X37" s="10">
        <v>56.94</v>
      </c>
      <c r="Y37" s="10">
        <v>58</v>
      </c>
      <c r="Z37" s="10">
        <v>56.61</v>
      </c>
      <c r="AA37" s="10">
        <v>57.8</v>
      </c>
      <c r="AB37" s="95">
        <v>249000</v>
      </c>
      <c r="AC37" s="10">
        <v>57.8</v>
      </c>
      <c r="AD37" s="2">
        <f t="shared" si="0"/>
        <v>1.3900000000000006</v>
      </c>
      <c r="AE37" s="138">
        <f t="shared" si="1"/>
        <v>8.54999127551892E-3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42536</v>
      </c>
      <c r="X38" s="10">
        <v>56.92</v>
      </c>
      <c r="Y38" s="10">
        <v>57.81</v>
      </c>
      <c r="Z38" s="10">
        <v>56.66</v>
      </c>
      <c r="AA38" s="10">
        <v>57.31</v>
      </c>
      <c r="AB38" s="95">
        <v>298500</v>
      </c>
      <c r="AC38" s="10">
        <v>57.31</v>
      </c>
      <c r="AD38" s="2">
        <f t="shared" si="0"/>
        <v>1.1500000000000057</v>
      </c>
      <c r="AE38" s="138">
        <f t="shared" si="1"/>
        <v>8.2688247712878749E-3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42535</v>
      </c>
      <c r="X39" s="10">
        <v>56.51</v>
      </c>
      <c r="Y39" s="10">
        <v>57.14</v>
      </c>
      <c r="Z39" s="10">
        <v>56.38</v>
      </c>
      <c r="AA39" s="10">
        <v>56.84</v>
      </c>
      <c r="AB39" s="95">
        <v>176200</v>
      </c>
      <c r="AC39" s="10">
        <v>56.84</v>
      </c>
      <c r="AD39" s="2">
        <f t="shared" si="0"/>
        <v>0.75999999999999801</v>
      </c>
      <c r="AE39" s="138">
        <f t="shared" si="1"/>
        <v>1.2330456226881115E-3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42534</v>
      </c>
      <c r="X40" s="10">
        <v>57.85</v>
      </c>
      <c r="Y40" s="10">
        <v>58.99</v>
      </c>
      <c r="Z40" s="10">
        <v>56.7</v>
      </c>
      <c r="AA40" s="10">
        <v>56.77</v>
      </c>
      <c r="AB40" s="95">
        <v>248600</v>
      </c>
      <c r="AC40" s="10">
        <v>56.77</v>
      </c>
      <c r="AD40" s="2">
        <f t="shared" si="0"/>
        <v>2.2899999999999991</v>
      </c>
      <c r="AE40" s="138">
        <f t="shared" si="1"/>
        <v>-2.0531400966183555E-2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42531</v>
      </c>
      <c r="X41" s="10">
        <v>58.26</v>
      </c>
      <c r="Y41" s="10">
        <v>58.49</v>
      </c>
      <c r="Z41" s="10">
        <v>57.56</v>
      </c>
      <c r="AA41" s="10">
        <v>57.96</v>
      </c>
      <c r="AB41" s="95">
        <v>206400</v>
      </c>
      <c r="AC41" s="10">
        <v>57.96</v>
      </c>
      <c r="AD41" s="2">
        <f t="shared" si="0"/>
        <v>0.92999999999999972</v>
      </c>
      <c r="AE41" s="138">
        <f t="shared" si="1"/>
        <v>-1.9786910197869156E-2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525" t="s">
        <v>78</v>
      </c>
      <c r="P42" s="525"/>
      <c r="Q42" s="34"/>
      <c r="T42" s="91" t="s">
        <v>113</v>
      </c>
      <c r="W42" s="133">
        <v>42530</v>
      </c>
      <c r="X42" s="10">
        <v>58.99</v>
      </c>
      <c r="Y42" s="10">
        <v>59.18</v>
      </c>
      <c r="Z42" s="10">
        <v>58.58</v>
      </c>
      <c r="AA42" s="10">
        <v>59.13</v>
      </c>
      <c r="AB42" s="95">
        <v>194100</v>
      </c>
      <c r="AC42" s="10">
        <v>59.13</v>
      </c>
      <c r="AD42" s="2">
        <f t="shared" si="0"/>
        <v>0.60000000000000142</v>
      </c>
      <c r="AE42" s="138">
        <f t="shared" si="1"/>
        <v>-4.3778413874389077E-3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65.131</v>
      </c>
      <c r="Q43" s="34"/>
      <c r="T43" s="128" t="s">
        <v>98</v>
      </c>
      <c r="U43" s="98">
        <v>58.44</v>
      </c>
      <c r="W43" s="133">
        <v>42529</v>
      </c>
      <c r="X43" s="10">
        <v>58.89</v>
      </c>
      <c r="Y43" s="10">
        <v>59.6</v>
      </c>
      <c r="Z43" s="10">
        <v>58.84</v>
      </c>
      <c r="AA43" s="10">
        <v>59.39</v>
      </c>
      <c r="AB43" s="95">
        <v>357100</v>
      </c>
      <c r="AC43" s="10">
        <v>59.39</v>
      </c>
      <c r="AD43" s="2">
        <f t="shared" si="0"/>
        <v>0.75999999999999801</v>
      </c>
      <c r="AE43" s="138">
        <f t="shared" si="1"/>
        <v>9.3473827328347525E-3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64.538900000000012</v>
      </c>
      <c r="Q44" s="34"/>
      <c r="T44" s="93" t="s">
        <v>99</v>
      </c>
      <c r="U44" s="88">
        <v>58.78</v>
      </c>
      <c r="W44" s="133">
        <v>42528</v>
      </c>
      <c r="X44" s="10">
        <v>58.57</v>
      </c>
      <c r="Y44" s="10">
        <v>58.97</v>
      </c>
      <c r="Z44" s="10">
        <v>58.48</v>
      </c>
      <c r="AA44" s="10">
        <v>58.84</v>
      </c>
      <c r="AB44" s="95">
        <v>199500</v>
      </c>
      <c r="AC44" s="10">
        <v>58.84</v>
      </c>
      <c r="AD44" s="2">
        <f t="shared" si="0"/>
        <v>0.49000000000000199</v>
      </c>
      <c r="AE44" s="138">
        <f t="shared" si="1"/>
        <v>3.4106412005456832E-3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63.946800000000003</v>
      </c>
      <c r="Q45" s="34"/>
      <c r="T45" s="93" t="s">
        <v>100</v>
      </c>
      <c r="U45" s="88" t="s">
        <v>453</v>
      </c>
      <c r="W45" s="133">
        <v>42527</v>
      </c>
      <c r="X45" s="10">
        <v>59.37</v>
      </c>
      <c r="Y45" s="10">
        <v>59.37</v>
      </c>
      <c r="Z45" s="10">
        <v>57.65</v>
      </c>
      <c r="AA45" s="10">
        <v>58.64</v>
      </c>
      <c r="AB45" s="95">
        <v>321700</v>
      </c>
      <c r="AC45" s="10">
        <v>58.64</v>
      </c>
      <c r="AD45" s="2">
        <f t="shared" si="0"/>
        <v>1.7199999999999989</v>
      </c>
      <c r="AE45" s="138">
        <f t="shared" si="1"/>
        <v>1.5939015939016032E-2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63.354700000000001</v>
      </c>
      <c r="Q46" s="83"/>
      <c r="T46" s="93" t="s">
        <v>101</v>
      </c>
      <c r="U46" s="88" t="s">
        <v>454</v>
      </c>
      <c r="W46" s="133">
        <v>42524</v>
      </c>
      <c r="X46" s="10">
        <v>57.92</v>
      </c>
      <c r="Y46" s="10">
        <v>57.92</v>
      </c>
      <c r="Z46" s="10">
        <v>57.2</v>
      </c>
      <c r="AA46" s="10">
        <v>57.72</v>
      </c>
      <c r="AB46" s="95">
        <v>155600</v>
      </c>
      <c r="AC46" s="10">
        <v>57.72</v>
      </c>
      <c r="AD46" s="2">
        <f t="shared" si="0"/>
        <v>0.71999999999999886</v>
      </c>
      <c r="AE46" s="138">
        <f t="shared" si="1"/>
        <v>-2.4196335983408535E-3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62.762600000000006</v>
      </c>
      <c r="Q47" s="83"/>
      <c r="T47" s="93" t="s">
        <v>102</v>
      </c>
      <c r="U47" s="88">
        <v>61.8</v>
      </c>
      <c r="W47" s="133">
        <v>42523</v>
      </c>
      <c r="X47" s="10">
        <v>57.3</v>
      </c>
      <c r="Y47" s="10">
        <v>57.9</v>
      </c>
      <c r="Z47" s="10">
        <v>57.18</v>
      </c>
      <c r="AA47" s="10">
        <v>57.86</v>
      </c>
      <c r="AB47" s="95">
        <v>188800</v>
      </c>
      <c r="AC47" s="10">
        <v>57.86</v>
      </c>
      <c r="AD47" s="2">
        <f t="shared" si="0"/>
        <v>0.71999999999999886</v>
      </c>
      <c r="AE47" s="138">
        <f t="shared" si="1"/>
        <v>6.6109951287405266E-3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62.170500000000004</v>
      </c>
      <c r="Q48" s="83"/>
      <c r="T48" s="93" t="s">
        <v>103</v>
      </c>
      <c r="U48" s="88">
        <v>1.30721</v>
      </c>
      <c r="W48" s="133">
        <v>42522</v>
      </c>
      <c r="X48" s="10">
        <v>56.75</v>
      </c>
      <c r="Y48" s="10">
        <v>57.53</v>
      </c>
      <c r="Z48" s="10">
        <v>56.2</v>
      </c>
      <c r="AA48" s="10">
        <v>57.48</v>
      </c>
      <c r="AB48" s="95">
        <v>276700</v>
      </c>
      <c r="AC48" s="10">
        <v>57.48</v>
      </c>
      <c r="AD48" s="2">
        <f t="shared" si="0"/>
        <v>1.3299999999999983</v>
      </c>
      <c r="AE48" s="138">
        <f t="shared" si="1"/>
        <v>9.4836670179134774E-3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61.578400000000002</v>
      </c>
      <c r="Q49" s="83"/>
      <c r="T49" s="93" t="s">
        <v>104</v>
      </c>
      <c r="U49" s="88" t="s">
        <v>130</v>
      </c>
      <c r="W49" s="133">
        <v>42521</v>
      </c>
      <c r="X49" s="10">
        <v>56.76</v>
      </c>
      <c r="Y49" s="10">
        <v>57.29</v>
      </c>
      <c r="Z49" s="10">
        <v>56.65</v>
      </c>
      <c r="AA49" s="10">
        <v>56.94</v>
      </c>
      <c r="AB49" s="95">
        <v>294400</v>
      </c>
      <c r="AC49" s="10">
        <v>56.94</v>
      </c>
      <c r="AD49" s="2">
        <f t="shared" si="0"/>
        <v>0.64000000000000057</v>
      </c>
      <c r="AE49" s="138">
        <f t="shared" si="1"/>
        <v>1.2308774397749023E-3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60.9863</v>
      </c>
      <c r="Q50" s="83"/>
      <c r="T50" s="93"/>
      <c r="U50" s="88"/>
      <c r="W50" s="133">
        <v>42517</v>
      </c>
      <c r="X50" s="10">
        <v>57.15</v>
      </c>
      <c r="Y50" s="10">
        <v>57.3</v>
      </c>
      <c r="Z50" s="10">
        <v>56.66</v>
      </c>
      <c r="AA50" s="10">
        <v>56.87</v>
      </c>
      <c r="AB50" s="95">
        <v>219700</v>
      </c>
      <c r="AC50" s="10">
        <v>56.87</v>
      </c>
      <c r="AD50" s="2">
        <f t="shared" si="0"/>
        <v>0.64000000000000057</v>
      </c>
      <c r="AE50" s="138">
        <f t="shared" si="1"/>
        <v>-4.7252362618130928E-3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60.394200000000005</v>
      </c>
      <c r="Q51" s="83"/>
      <c r="T51" s="93" t="s">
        <v>105</v>
      </c>
      <c r="U51" s="88" t="s">
        <v>455</v>
      </c>
      <c r="W51" s="133">
        <v>42516</v>
      </c>
      <c r="X51" s="10">
        <v>57.38</v>
      </c>
      <c r="Y51" s="10">
        <v>58</v>
      </c>
      <c r="Z51" s="10">
        <v>56.95</v>
      </c>
      <c r="AA51" s="10">
        <v>57.14</v>
      </c>
      <c r="AB51" s="95">
        <v>348300</v>
      </c>
      <c r="AC51" s="10">
        <v>57.14</v>
      </c>
      <c r="AD51" s="2">
        <f t="shared" si="0"/>
        <v>1.0499999999999972</v>
      </c>
      <c r="AE51" s="138">
        <f t="shared" si="1"/>
        <v>-1.2235623142807794E-3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59.802100000000003</v>
      </c>
      <c r="Q52" s="83"/>
      <c r="T52" s="93" t="s">
        <v>106</v>
      </c>
      <c r="U52" s="88" t="s">
        <v>300</v>
      </c>
      <c r="W52" s="133">
        <v>42515</v>
      </c>
      <c r="X52" s="10">
        <v>56.99</v>
      </c>
      <c r="Y52" s="10">
        <v>57.33</v>
      </c>
      <c r="Z52" s="10">
        <v>55.93</v>
      </c>
      <c r="AA52" s="10">
        <v>57.21</v>
      </c>
      <c r="AB52" s="95">
        <v>339700</v>
      </c>
      <c r="AC52" s="10">
        <v>57.21</v>
      </c>
      <c r="AD52" s="2">
        <f t="shared" si="0"/>
        <v>1.3999999999999986</v>
      </c>
      <c r="AE52" s="138">
        <f t="shared" si="1"/>
        <v>8.8167871627577998E-3</v>
      </c>
    </row>
    <row r="53" spans="1:31" x14ac:dyDescent="0.25">
      <c r="O53" s="83">
        <v>1</v>
      </c>
      <c r="P53" s="83">
        <f t="shared" si="2"/>
        <v>59.21</v>
      </c>
      <c r="Q53" s="83"/>
      <c r="T53" s="93" t="s">
        <v>107</v>
      </c>
      <c r="U53" s="90">
        <v>224744</v>
      </c>
      <c r="W53" s="133">
        <v>42514</v>
      </c>
      <c r="X53" s="10">
        <v>55.4</v>
      </c>
      <c r="Y53" s="10">
        <v>56.82</v>
      </c>
      <c r="Z53" s="10">
        <v>55.35</v>
      </c>
      <c r="AA53" s="10">
        <v>56.71</v>
      </c>
      <c r="AB53" s="95">
        <v>285100</v>
      </c>
      <c r="AC53" s="10">
        <v>56.71</v>
      </c>
      <c r="AD53" s="2">
        <f t="shared" si="0"/>
        <v>1.4699999999999989</v>
      </c>
      <c r="AE53" s="138">
        <f t="shared" si="1"/>
        <v>2.8286491387126134E-2</v>
      </c>
    </row>
    <row r="54" spans="1:31" x14ac:dyDescent="0.25">
      <c r="O54" s="83">
        <v>0.99</v>
      </c>
      <c r="P54" s="83">
        <f t="shared" si="2"/>
        <v>58.617899999999999</v>
      </c>
      <c r="Q54" s="83"/>
      <c r="T54" s="93" t="s">
        <v>110</v>
      </c>
      <c r="U54" s="90">
        <v>295583</v>
      </c>
      <c r="W54" s="133">
        <v>42513</v>
      </c>
      <c r="X54" s="10">
        <v>55.26</v>
      </c>
      <c r="Y54" s="10">
        <v>55.51</v>
      </c>
      <c r="Z54" s="10">
        <v>54.95</v>
      </c>
      <c r="AA54" s="10">
        <v>55.15</v>
      </c>
      <c r="AB54" s="95">
        <v>190800</v>
      </c>
      <c r="AC54" s="10">
        <v>55.15</v>
      </c>
      <c r="AD54" s="2">
        <f t="shared" si="0"/>
        <v>0.55999999999999517</v>
      </c>
      <c r="AE54" s="138">
        <f t="shared" si="1"/>
        <v>-1.4484881405033567E-3</v>
      </c>
    </row>
    <row r="55" spans="1:31" x14ac:dyDescent="0.25">
      <c r="O55" s="83">
        <v>0.98</v>
      </c>
      <c r="P55" s="83">
        <f t="shared" si="2"/>
        <v>58.025799999999997</v>
      </c>
      <c r="Q55" s="83"/>
      <c r="T55" s="93" t="s">
        <v>108</v>
      </c>
      <c r="U55" s="88" t="s">
        <v>456</v>
      </c>
      <c r="W55" s="133">
        <v>42510</v>
      </c>
      <c r="X55" s="10">
        <v>54.92</v>
      </c>
      <c r="Y55" s="10">
        <v>55.56</v>
      </c>
      <c r="Z55" s="10">
        <v>54.33</v>
      </c>
      <c r="AA55" s="10">
        <v>55.23</v>
      </c>
      <c r="AB55" s="95">
        <v>243600</v>
      </c>
      <c r="AC55" s="10">
        <v>55.23</v>
      </c>
      <c r="AD55" s="2">
        <f t="shared" si="0"/>
        <v>1.230000000000004</v>
      </c>
      <c r="AE55" s="138">
        <f t="shared" si="1"/>
        <v>1.2651265126512712E-2</v>
      </c>
    </row>
    <row r="56" spans="1:31" x14ac:dyDescent="0.25">
      <c r="O56" s="83">
        <v>0.97</v>
      </c>
      <c r="P56" s="83">
        <f t="shared" si="2"/>
        <v>57.433700000000002</v>
      </c>
      <c r="Q56" s="83"/>
      <c r="T56" s="93" t="s">
        <v>111</v>
      </c>
      <c r="U56" s="88">
        <v>22.46</v>
      </c>
      <c r="W56" s="133">
        <v>42509</v>
      </c>
      <c r="X56" s="10">
        <v>54.9</v>
      </c>
      <c r="Y56" s="10">
        <v>55.02</v>
      </c>
      <c r="Z56" s="10">
        <v>54.2</v>
      </c>
      <c r="AA56" s="10">
        <v>54.54</v>
      </c>
      <c r="AB56" s="95">
        <v>461400</v>
      </c>
      <c r="AC56" s="10">
        <v>54.54</v>
      </c>
      <c r="AD56" s="2">
        <f t="shared" si="0"/>
        <v>0.82000000000000028</v>
      </c>
      <c r="AE56" s="138" t="e">
        <f t="shared" si="1"/>
        <v>#DIV/0!</v>
      </c>
    </row>
    <row r="57" spans="1:31" x14ac:dyDescent="0.25">
      <c r="O57" s="83">
        <v>0.96</v>
      </c>
      <c r="P57" s="83">
        <f t="shared" si="2"/>
        <v>56.8416</v>
      </c>
      <c r="Q57" s="83"/>
      <c r="T57" s="93" t="s">
        <v>112</v>
      </c>
      <c r="U57" s="88">
        <v>2.62</v>
      </c>
      <c r="W57" s="133">
        <v>42509</v>
      </c>
      <c r="X57" s="10" t="s">
        <v>191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:31" x14ac:dyDescent="0.25">
      <c r="O58" s="83">
        <v>0.95</v>
      </c>
      <c r="P58" s="83">
        <f t="shared" si="2"/>
        <v>56.249499999999998</v>
      </c>
      <c r="Q58" s="83"/>
      <c r="T58" s="93" t="s">
        <v>109</v>
      </c>
      <c r="U58" s="88" t="s">
        <v>573</v>
      </c>
      <c r="W58" s="133">
        <v>42508</v>
      </c>
      <c r="X58" s="10">
        <v>54.9</v>
      </c>
      <c r="Y58" s="10">
        <v>55.61</v>
      </c>
      <c r="Z58" s="10">
        <v>54.7</v>
      </c>
      <c r="AA58" s="10">
        <v>55.05</v>
      </c>
      <c r="AB58" s="95">
        <v>285800</v>
      </c>
      <c r="AC58" s="10">
        <v>54.94</v>
      </c>
      <c r="AD58" s="2">
        <f t="shared" si="0"/>
        <v>0.90999999999999659</v>
      </c>
      <c r="AE58" s="138">
        <f t="shared" si="1"/>
        <v>7.2859744990894093E-4</v>
      </c>
    </row>
    <row r="59" spans="1:31" x14ac:dyDescent="0.25">
      <c r="O59" s="83">
        <v>0.94</v>
      </c>
      <c r="P59" s="83">
        <f t="shared" si="2"/>
        <v>55.657399999999996</v>
      </c>
      <c r="Q59" s="83"/>
      <c r="W59" s="133">
        <v>42507</v>
      </c>
      <c r="X59" s="10">
        <v>55</v>
      </c>
      <c r="Y59" s="10">
        <v>55.38</v>
      </c>
      <c r="Z59" s="10">
        <v>54.79</v>
      </c>
      <c r="AA59" s="10">
        <v>55.01</v>
      </c>
      <c r="AB59" s="95">
        <v>395500</v>
      </c>
      <c r="AC59" s="10">
        <v>54.9</v>
      </c>
      <c r="AD59" s="2">
        <f t="shared" si="0"/>
        <v>0.59000000000000341</v>
      </c>
      <c r="AE59" s="138">
        <f t="shared" si="1"/>
        <v>-7.2806698216232313E-4</v>
      </c>
    </row>
    <row r="60" spans="1:31" x14ac:dyDescent="0.25">
      <c r="O60" s="83">
        <v>0.93</v>
      </c>
      <c r="P60" s="83">
        <f t="shared" si="2"/>
        <v>55.065300000000001</v>
      </c>
      <c r="Q60" s="83"/>
      <c r="W60" s="133">
        <v>42506</v>
      </c>
      <c r="X60" s="10">
        <v>54.62</v>
      </c>
      <c r="Y60" s="10">
        <v>55.46</v>
      </c>
      <c r="Z60" s="10">
        <v>54.62</v>
      </c>
      <c r="AA60" s="10">
        <v>55.05</v>
      </c>
      <c r="AB60" s="95">
        <v>255700</v>
      </c>
      <c r="AC60" s="10">
        <v>54.94</v>
      </c>
      <c r="AD60" s="2">
        <f t="shared" si="0"/>
        <v>0.84000000000000341</v>
      </c>
      <c r="AE60" s="138">
        <f t="shared" si="1"/>
        <v>1.0669610007358221E-2</v>
      </c>
    </row>
    <row r="61" spans="1:31" x14ac:dyDescent="0.25">
      <c r="O61" s="83">
        <v>0.92</v>
      </c>
      <c r="P61" s="83">
        <f t="shared" si="2"/>
        <v>54.473200000000006</v>
      </c>
      <c r="Q61" s="83"/>
      <c r="W61" s="133">
        <v>42503</v>
      </c>
      <c r="X61" s="10">
        <v>55.15</v>
      </c>
      <c r="Y61" s="10">
        <v>55.28</v>
      </c>
      <c r="Z61" s="10">
        <v>54.32</v>
      </c>
      <c r="AA61" s="10">
        <v>54.47</v>
      </c>
      <c r="AB61" s="95">
        <v>634400</v>
      </c>
      <c r="AC61" s="10">
        <v>54.36</v>
      </c>
      <c r="AD61" s="2">
        <f t="shared" si="0"/>
        <v>0.96000000000000085</v>
      </c>
      <c r="AE61" s="138">
        <f t="shared" si="1"/>
        <v>-1.6820401519262118E-2</v>
      </c>
    </row>
    <row r="62" spans="1:31" x14ac:dyDescent="0.25">
      <c r="O62" s="83">
        <v>0.91</v>
      </c>
      <c r="P62" s="83">
        <f t="shared" si="2"/>
        <v>53.881100000000004</v>
      </c>
      <c r="Q62" s="83"/>
      <c r="W62" s="133">
        <v>42502</v>
      </c>
      <c r="X62" s="10">
        <v>55.38</v>
      </c>
      <c r="Y62" s="10">
        <v>55.65</v>
      </c>
      <c r="Z62" s="10">
        <v>54.58</v>
      </c>
      <c r="AA62" s="10">
        <v>55.4</v>
      </c>
      <c r="AB62" s="95">
        <v>342900</v>
      </c>
      <c r="AC62" s="10">
        <v>55.29</v>
      </c>
      <c r="AD62" s="2">
        <f t="shared" si="0"/>
        <v>1.0700000000000003</v>
      </c>
      <c r="AE62" s="138">
        <f t="shared" si="1"/>
        <v>4.7246956205706514E-3</v>
      </c>
    </row>
    <row r="63" spans="1:31" x14ac:dyDescent="0.25">
      <c r="O63" s="83">
        <v>0.9</v>
      </c>
      <c r="P63" s="83">
        <f t="shared" si="2"/>
        <v>53.289000000000001</v>
      </c>
      <c r="Q63" s="83"/>
      <c r="W63" s="133">
        <v>42501</v>
      </c>
      <c r="X63" s="10">
        <v>55.09</v>
      </c>
      <c r="Y63" s="10">
        <v>55.65</v>
      </c>
      <c r="Z63" s="10">
        <v>54.11</v>
      </c>
      <c r="AA63" s="10">
        <v>55.14</v>
      </c>
      <c r="AB63" s="95">
        <v>262500</v>
      </c>
      <c r="AC63" s="10">
        <v>55.03</v>
      </c>
      <c r="AD63" s="2">
        <f t="shared" si="0"/>
        <v>1.5399999999999991</v>
      </c>
      <c r="AE63" s="138">
        <f t="shared" si="1"/>
        <v>-1.8138944313441652E-3</v>
      </c>
    </row>
    <row r="64" spans="1:31" x14ac:dyDescent="0.25">
      <c r="O64" s="34"/>
      <c r="W64" s="133">
        <v>42500</v>
      </c>
      <c r="X64" s="10">
        <v>54.45</v>
      </c>
      <c r="Y64" s="10">
        <v>55.31</v>
      </c>
      <c r="Z64" s="10">
        <v>53.04</v>
      </c>
      <c r="AA64" s="10">
        <v>55.24</v>
      </c>
      <c r="AB64" s="95">
        <v>228200</v>
      </c>
      <c r="AC64" s="10">
        <v>55.13</v>
      </c>
      <c r="AD64" s="2">
        <f t="shared" si="0"/>
        <v>2.2700000000000031</v>
      </c>
      <c r="AE64" s="138">
        <f t="shared" si="1"/>
        <v>2.2820037105751423E-2</v>
      </c>
    </row>
    <row r="65" spans="15:31" x14ac:dyDescent="0.25">
      <c r="O65" s="34"/>
      <c r="W65" s="133">
        <v>42499</v>
      </c>
      <c r="X65" s="10">
        <v>54.21</v>
      </c>
      <c r="Y65" s="10">
        <v>54.45</v>
      </c>
      <c r="Z65" s="10">
        <v>53.76</v>
      </c>
      <c r="AA65" s="10">
        <v>54.01</v>
      </c>
      <c r="AB65" s="95">
        <v>264100</v>
      </c>
      <c r="AC65" s="10">
        <v>53.9</v>
      </c>
      <c r="AD65" s="2">
        <f t="shared" si="0"/>
        <v>0.69000000000000483</v>
      </c>
      <c r="AE65" s="138">
        <f t="shared" si="1"/>
        <v>-6.0851926977687487E-3</v>
      </c>
    </row>
    <row r="66" spans="15:31" x14ac:dyDescent="0.25">
      <c r="O66" s="34"/>
      <c r="W66" s="133">
        <v>42496</v>
      </c>
      <c r="X66" s="10">
        <v>53.09</v>
      </c>
      <c r="Y66" s="10">
        <v>54.34</v>
      </c>
      <c r="Z66" s="10">
        <v>53.04</v>
      </c>
      <c r="AA66" s="10">
        <v>54.34</v>
      </c>
      <c r="AB66" s="95">
        <v>305400</v>
      </c>
      <c r="AC66" s="10">
        <v>54.23</v>
      </c>
      <c r="AD66" s="2">
        <f t="shared" si="0"/>
        <v>1.3000000000000043</v>
      </c>
      <c r="AE66" s="138">
        <f t="shared" si="1"/>
        <v>2.0703933747411973E-2</v>
      </c>
    </row>
    <row r="67" spans="15:31" x14ac:dyDescent="0.25">
      <c r="W67" s="133">
        <v>42495</v>
      </c>
      <c r="X67" s="10">
        <v>53.36</v>
      </c>
      <c r="Y67" s="10">
        <v>53.71</v>
      </c>
      <c r="Z67" s="10">
        <v>53.08</v>
      </c>
      <c r="AA67" s="10">
        <v>53.24</v>
      </c>
      <c r="AB67" s="95">
        <v>277600</v>
      </c>
      <c r="AC67" s="10">
        <v>53.13</v>
      </c>
      <c r="AD67" s="2">
        <f>Y67-Z67</f>
        <v>0.63000000000000256</v>
      </c>
      <c r="AE67" s="138">
        <f>AC67/AC68-1</f>
        <v>0</v>
      </c>
    </row>
    <row r="68" spans="15:31" x14ac:dyDescent="0.25">
      <c r="W68" s="133">
        <v>42494</v>
      </c>
      <c r="X68" s="10">
        <v>53.38</v>
      </c>
      <c r="Y68" s="10">
        <v>53.9</v>
      </c>
      <c r="Z68" s="10">
        <v>53.07</v>
      </c>
      <c r="AA68" s="10">
        <v>53.24</v>
      </c>
      <c r="AB68" s="95">
        <v>325400</v>
      </c>
      <c r="AC68" s="10">
        <v>53.13</v>
      </c>
      <c r="AD68" s="2">
        <f>Y68-Z68</f>
        <v>0.82999999999999829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42587</v>
      </c>
      <c r="Y2" s="10">
        <v>70.5</v>
      </c>
      <c r="Z2" s="10">
        <v>70.8</v>
      </c>
      <c r="AA2" s="10">
        <v>70.3</v>
      </c>
      <c r="AB2" s="10">
        <v>70.55</v>
      </c>
      <c r="AC2" s="95">
        <v>2501200</v>
      </c>
      <c r="AD2" s="10">
        <v>70.55</v>
      </c>
      <c r="AE2" s="2">
        <f>Z2-AA2</f>
        <v>0.5</v>
      </c>
      <c r="AF2" s="138">
        <f>AD2/AD3-1</f>
        <v>8.5118456518662455E-4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70.63</v>
      </c>
      <c r="X3" s="133">
        <v>42586</v>
      </c>
      <c r="Y3" s="10">
        <v>70</v>
      </c>
      <c r="Z3" s="10">
        <v>70.510000000000005</v>
      </c>
      <c r="AA3" s="10">
        <v>69.92</v>
      </c>
      <c r="AB3" s="10">
        <v>70.489999999999995</v>
      </c>
      <c r="AC3" s="95">
        <v>4234700</v>
      </c>
      <c r="AD3" s="10">
        <v>70.489999999999995</v>
      </c>
      <c r="AE3" s="2">
        <f t="shared" ref="AE3:AE66" si="0">Z3-AA3</f>
        <v>0.59000000000000341</v>
      </c>
      <c r="AF3" s="138">
        <f t="shared" ref="AF3:AF66" si="1">AD3/AD4-1</f>
        <v>1.0174835196331333E-2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70.63</v>
      </c>
      <c r="X4" s="133">
        <v>42585</v>
      </c>
      <c r="Y4" s="10">
        <v>71.12</v>
      </c>
      <c r="Z4" s="10">
        <v>71.14</v>
      </c>
      <c r="AA4" s="10">
        <v>69.23</v>
      </c>
      <c r="AB4" s="10">
        <v>69.78</v>
      </c>
      <c r="AC4" s="95">
        <v>5387400</v>
      </c>
      <c r="AD4" s="10">
        <v>69.78</v>
      </c>
      <c r="AE4" s="2">
        <f t="shared" si="0"/>
        <v>1.9099999999999966</v>
      </c>
      <c r="AF4" s="138">
        <f t="shared" si="1"/>
        <v>-1.6767648302099425E-2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42584</v>
      </c>
      <c r="Y5" s="10">
        <v>71.55</v>
      </c>
      <c r="Z5" s="10">
        <v>71.72</v>
      </c>
      <c r="AA5" s="10">
        <v>70.819999999999993</v>
      </c>
      <c r="AB5" s="10">
        <v>70.97</v>
      </c>
      <c r="AC5" s="95">
        <v>4370300</v>
      </c>
      <c r="AD5" s="10">
        <v>70.97</v>
      </c>
      <c r="AE5" s="2">
        <f t="shared" si="0"/>
        <v>0.90000000000000568</v>
      </c>
      <c r="AF5" s="138">
        <f t="shared" si="1"/>
        <v>-9.214016473544584E-3</v>
      </c>
    </row>
    <row r="6" spans="1:32" x14ac:dyDescent="0.25">
      <c r="O6" s="11" t="s">
        <v>64</v>
      </c>
      <c r="Q6" s="2">
        <f>Q3*Q2</f>
        <v>0</v>
      </c>
      <c r="X6" s="133">
        <v>42583</v>
      </c>
      <c r="Y6" s="10">
        <v>71.98</v>
      </c>
      <c r="Z6" s="10">
        <v>72.150000000000006</v>
      </c>
      <c r="AA6" s="10">
        <v>71.400000000000006</v>
      </c>
      <c r="AB6" s="10">
        <v>71.63</v>
      </c>
      <c r="AC6" s="95">
        <v>3417600</v>
      </c>
      <c r="AD6" s="10">
        <v>71.63</v>
      </c>
      <c r="AE6" s="2">
        <f t="shared" si="0"/>
        <v>0.75</v>
      </c>
      <c r="AF6" s="138">
        <f t="shared" si="1"/>
        <v>-3.6166365280290158E-3</v>
      </c>
    </row>
    <row r="7" spans="1:32" x14ac:dyDescent="0.25">
      <c r="O7" s="11" t="s">
        <v>188</v>
      </c>
      <c r="Q7" s="2">
        <f>Q10+Q8</f>
        <v>49.949999999999818</v>
      </c>
      <c r="R7">
        <v>0</v>
      </c>
      <c r="X7" s="133">
        <v>42580</v>
      </c>
      <c r="Y7" s="10">
        <v>71.19</v>
      </c>
      <c r="Z7" s="10">
        <v>72.22</v>
      </c>
      <c r="AA7" s="10">
        <v>71.17</v>
      </c>
      <c r="AB7" s="10">
        <v>71.89</v>
      </c>
      <c r="AC7" s="95">
        <v>2728800</v>
      </c>
      <c r="AD7" s="10">
        <v>71.89</v>
      </c>
      <c r="AE7" s="2">
        <f t="shared" si="0"/>
        <v>1.0499999999999972</v>
      </c>
      <c r="AF7" s="138">
        <f t="shared" si="1"/>
        <v>7.7095598542191723E-3</v>
      </c>
    </row>
    <row r="8" spans="1:32" x14ac:dyDescent="0.25">
      <c r="O8" s="11" t="s">
        <v>192</v>
      </c>
      <c r="P8" s="34"/>
      <c r="Q8" s="2">
        <f>K18+M18-F18+Q2*Q4</f>
        <v>0</v>
      </c>
      <c r="X8" s="133">
        <v>42579</v>
      </c>
      <c r="Y8" s="10">
        <v>70.510000000000005</v>
      </c>
      <c r="Z8" s="10">
        <v>71.44</v>
      </c>
      <c r="AA8" s="10">
        <v>70.5</v>
      </c>
      <c r="AB8" s="10">
        <v>71.34</v>
      </c>
      <c r="AC8" s="95">
        <v>2724500</v>
      </c>
      <c r="AD8" s="10">
        <v>71.34</v>
      </c>
      <c r="AE8" s="2">
        <f t="shared" si="0"/>
        <v>0.93999999999999773</v>
      </c>
      <c r="AF8" s="138">
        <f t="shared" si="1"/>
        <v>1.1197732104890168E-2</v>
      </c>
    </row>
    <row r="9" spans="1:32" x14ac:dyDescent="0.25">
      <c r="O9" s="11" t="s">
        <v>231</v>
      </c>
      <c r="Q9" s="138">
        <f>IF(Q2=0, 0, Q8/Q6)</f>
        <v>0</v>
      </c>
      <c r="X9" s="133">
        <v>42578</v>
      </c>
      <c r="Y9" s="10">
        <v>71.48</v>
      </c>
      <c r="Z9" s="10">
        <v>71.59</v>
      </c>
      <c r="AA9" s="10">
        <v>70.400000000000006</v>
      </c>
      <c r="AB9" s="10">
        <v>70.55</v>
      </c>
      <c r="AC9" s="95">
        <v>4578300</v>
      </c>
      <c r="AD9" s="10">
        <v>70.55</v>
      </c>
      <c r="AE9" s="2">
        <f t="shared" si="0"/>
        <v>1.1899999999999977</v>
      </c>
      <c r="AF9" s="138">
        <f t="shared" si="1"/>
        <v>-1.0241301907968681E-2</v>
      </c>
    </row>
    <row r="10" spans="1:32" x14ac:dyDescent="0.25">
      <c r="O10" s="11" t="s">
        <v>230</v>
      </c>
      <c r="P10" s="34"/>
      <c r="Q10" s="2">
        <f>M28</f>
        <v>49.949999999999818</v>
      </c>
      <c r="X10" s="133">
        <v>42577</v>
      </c>
      <c r="Y10" s="10">
        <v>71.650000000000006</v>
      </c>
      <c r="Z10" s="10">
        <v>72.510000000000005</v>
      </c>
      <c r="AA10" s="10">
        <v>71.19</v>
      </c>
      <c r="AB10" s="10">
        <v>71.28</v>
      </c>
      <c r="AC10" s="95">
        <v>2592100</v>
      </c>
      <c r="AD10" s="10">
        <v>71.28</v>
      </c>
      <c r="AE10" s="2">
        <f t="shared" si="0"/>
        <v>1.3200000000000074</v>
      </c>
      <c r="AF10" s="138">
        <f t="shared" si="1"/>
        <v>-5.7190682103500645E-3</v>
      </c>
    </row>
    <row r="11" spans="1:32" x14ac:dyDescent="0.25">
      <c r="O11" s="11" t="s">
        <v>184</v>
      </c>
      <c r="P11" s="34"/>
      <c r="Q11" s="138">
        <f>VALUE(TRIM(CLEAN(MID(U58, FIND("(", U58)+1, 5))))</f>
        <v>2.7199999999999998E-2</v>
      </c>
      <c r="X11" s="133">
        <v>42576</v>
      </c>
      <c r="Y11" s="10">
        <v>71.209999999999994</v>
      </c>
      <c r="Z11" s="10">
        <v>71.72</v>
      </c>
      <c r="AA11" s="10">
        <v>71.150000000000006</v>
      </c>
      <c r="AB11" s="10">
        <v>71.69</v>
      </c>
      <c r="AC11" s="95">
        <v>2574700</v>
      </c>
      <c r="AD11" s="10">
        <v>71.69</v>
      </c>
      <c r="AE11" s="2">
        <f t="shared" si="0"/>
        <v>0.56999999999999318</v>
      </c>
      <c r="AF11" s="138">
        <f t="shared" si="1"/>
        <v>6.5992698680146233E-3</v>
      </c>
    </row>
    <row r="12" spans="1:32" x14ac:dyDescent="0.25">
      <c r="X12" s="133">
        <v>42573</v>
      </c>
      <c r="Y12" s="10">
        <v>71.44</v>
      </c>
      <c r="Z12" s="10">
        <v>71.64</v>
      </c>
      <c r="AA12" s="10">
        <v>71.069999999999993</v>
      </c>
      <c r="AB12" s="10">
        <v>71.22</v>
      </c>
      <c r="AC12" s="95">
        <v>3079200</v>
      </c>
      <c r="AD12" s="10">
        <v>71.22</v>
      </c>
      <c r="AE12" s="2">
        <f t="shared" si="0"/>
        <v>0.57000000000000739</v>
      </c>
      <c r="AF12" s="138">
        <f t="shared" si="1"/>
        <v>1.4042971492767009E-4</v>
      </c>
    </row>
    <row r="13" spans="1:32" x14ac:dyDescent="0.25">
      <c r="X13" s="133">
        <v>42572</v>
      </c>
      <c r="Y13" s="10">
        <v>71.709999999999994</v>
      </c>
      <c r="Z13" s="10">
        <v>71.72</v>
      </c>
      <c r="AA13" s="10">
        <v>70.989999999999995</v>
      </c>
      <c r="AB13" s="10">
        <v>71.209999999999994</v>
      </c>
      <c r="AC13" s="95">
        <v>3008800</v>
      </c>
      <c r="AD13" s="10">
        <v>71.209999999999994</v>
      </c>
      <c r="AE13" s="2">
        <f t="shared" si="0"/>
        <v>0.73000000000000398</v>
      </c>
      <c r="AF13" s="138">
        <f t="shared" si="1"/>
        <v>-6.8340306834031583E-3</v>
      </c>
    </row>
    <row r="14" spans="1:32" x14ac:dyDescent="0.25">
      <c r="X14" s="133">
        <v>42571</v>
      </c>
      <c r="Y14" s="10">
        <v>72.650000000000006</v>
      </c>
      <c r="Z14" s="10">
        <v>72.7</v>
      </c>
      <c r="AA14" s="10">
        <v>71.64</v>
      </c>
      <c r="AB14" s="10">
        <v>71.7</v>
      </c>
      <c r="AC14" s="95">
        <v>2841000</v>
      </c>
      <c r="AD14" s="10">
        <v>71.7</v>
      </c>
      <c r="AE14" s="2">
        <f t="shared" si="0"/>
        <v>1.0600000000000023</v>
      </c>
      <c r="AF14" s="138">
        <f t="shared" si="1"/>
        <v>-1.2940528634361237E-2</v>
      </c>
    </row>
    <row r="15" spans="1:32" x14ac:dyDescent="0.25">
      <c r="X15" s="133">
        <v>42570</v>
      </c>
      <c r="Y15" s="10">
        <v>72.209999999999994</v>
      </c>
      <c r="Z15" s="10">
        <v>72.66</v>
      </c>
      <c r="AA15" s="10">
        <v>72</v>
      </c>
      <c r="AB15" s="10">
        <v>72.64</v>
      </c>
      <c r="AC15" s="95">
        <v>1996200</v>
      </c>
      <c r="AD15" s="10">
        <v>72.64</v>
      </c>
      <c r="AE15" s="2">
        <f t="shared" si="0"/>
        <v>0.65999999999999659</v>
      </c>
      <c r="AF15" s="138">
        <f t="shared" si="1"/>
        <v>4.9806308799114074E-3</v>
      </c>
    </row>
    <row r="16" spans="1:32" x14ac:dyDescent="0.25">
      <c r="X16" s="133">
        <v>42569</v>
      </c>
      <c r="Y16" s="10">
        <v>72.19</v>
      </c>
      <c r="Z16" s="10">
        <v>72.400000000000006</v>
      </c>
      <c r="AA16" s="10">
        <v>71.97</v>
      </c>
      <c r="AB16" s="10">
        <v>72.28</v>
      </c>
      <c r="AC16" s="95">
        <v>2217100</v>
      </c>
      <c r="AD16" s="10">
        <v>72.28</v>
      </c>
      <c r="AE16" s="2">
        <f t="shared" si="0"/>
        <v>0.43000000000000682</v>
      </c>
      <c r="AF16" s="138">
        <f t="shared" si="1"/>
        <v>3.6101083032491488E-3</v>
      </c>
    </row>
    <row r="17" spans="1:32" x14ac:dyDescent="0.25">
      <c r="X17" s="133">
        <v>42566</v>
      </c>
      <c r="Y17" s="10">
        <v>72.25</v>
      </c>
      <c r="Z17" s="10">
        <v>72.28</v>
      </c>
      <c r="AA17" s="10">
        <v>71.849999999999994</v>
      </c>
      <c r="AB17" s="10">
        <v>72.02</v>
      </c>
      <c r="AC17" s="95">
        <v>2848900</v>
      </c>
      <c r="AD17" s="10">
        <v>72.02</v>
      </c>
      <c r="AE17" s="2">
        <f t="shared" si="0"/>
        <v>0.43000000000000682</v>
      </c>
      <c r="AF17" s="138">
        <f t="shared" si="1"/>
        <v>-9.7100846164521748E-4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42565</v>
      </c>
      <c r="Y18" s="10">
        <v>71.69</v>
      </c>
      <c r="Z18" s="10">
        <v>72.319999999999993</v>
      </c>
      <c r="AA18" s="10">
        <v>71.680000000000007</v>
      </c>
      <c r="AB18" s="10">
        <v>72.09</v>
      </c>
      <c r="AC18" s="95">
        <v>2689500</v>
      </c>
      <c r="AD18" s="10">
        <v>72.09</v>
      </c>
      <c r="AE18" s="2">
        <f t="shared" si="0"/>
        <v>0.63999999999998636</v>
      </c>
      <c r="AF18" s="138">
        <f t="shared" si="1"/>
        <v>2.085070892410501E-3</v>
      </c>
    </row>
    <row r="19" spans="1:32" x14ac:dyDescent="0.25">
      <c r="X19" s="133">
        <v>42564</v>
      </c>
      <c r="Y19" s="10">
        <v>71.489999999999995</v>
      </c>
      <c r="Z19" s="10">
        <v>71.97</v>
      </c>
      <c r="AA19" s="10">
        <v>71.36</v>
      </c>
      <c r="AB19" s="10">
        <v>71.94</v>
      </c>
      <c r="AC19" s="95">
        <v>2852100</v>
      </c>
      <c r="AD19" s="10">
        <v>71.94</v>
      </c>
      <c r="AE19" s="2">
        <f t="shared" si="0"/>
        <v>0.60999999999999943</v>
      </c>
      <c r="AF19" s="138">
        <f t="shared" si="1"/>
        <v>7.2808737048444261E-3</v>
      </c>
    </row>
    <row r="20" spans="1:32" x14ac:dyDescent="0.25">
      <c r="X20" s="133">
        <v>42563</v>
      </c>
      <c r="Y20" s="10">
        <v>71.47</v>
      </c>
      <c r="Z20" s="10">
        <v>71.81</v>
      </c>
      <c r="AA20" s="10">
        <v>71.12</v>
      </c>
      <c r="AB20" s="10">
        <v>71.42</v>
      </c>
      <c r="AC20" s="95">
        <v>3486500</v>
      </c>
      <c r="AD20" s="10">
        <v>71.42</v>
      </c>
      <c r="AE20" s="2">
        <f t="shared" si="0"/>
        <v>0.68999999999999773</v>
      </c>
      <c r="AF20" s="138">
        <f t="shared" si="1"/>
        <v>-5.4309984681799595E-3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42562</v>
      </c>
      <c r="Y21" s="10">
        <v>72.27</v>
      </c>
      <c r="Z21" s="10">
        <v>72.3</v>
      </c>
      <c r="AA21" s="10">
        <v>71.7</v>
      </c>
      <c r="AB21" s="10">
        <v>71.81</v>
      </c>
      <c r="AC21" s="95">
        <v>3559900</v>
      </c>
      <c r="AD21" s="10">
        <v>71.81</v>
      </c>
      <c r="AE21" s="2">
        <f t="shared" si="0"/>
        <v>0.59999999999999432</v>
      </c>
      <c r="AF21" s="138">
        <f t="shared" si="1"/>
        <v>-8.9704664642560328E-3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42559</v>
      </c>
      <c r="Y22" s="10">
        <v>72.39</v>
      </c>
      <c r="Z22" s="10">
        <v>72.48</v>
      </c>
      <c r="AA22" s="10">
        <v>71.56</v>
      </c>
      <c r="AB22" s="10">
        <v>72.459999999999994</v>
      </c>
      <c r="AC22" s="95">
        <v>4234100</v>
      </c>
      <c r="AD22" s="10">
        <v>72.459999999999994</v>
      </c>
      <c r="AE22" s="2">
        <f t="shared" si="0"/>
        <v>0.92000000000000171</v>
      </c>
      <c r="AF22" s="138">
        <f t="shared" si="1"/>
        <v>6.1094140516522177E-3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42558</v>
      </c>
      <c r="Y23" s="10">
        <v>72.44</v>
      </c>
      <c r="Z23" s="10">
        <v>72.77</v>
      </c>
      <c r="AA23" s="10">
        <v>71.77</v>
      </c>
      <c r="AB23" s="10">
        <v>72.02</v>
      </c>
      <c r="AC23" s="95">
        <v>4383900</v>
      </c>
      <c r="AD23" s="10">
        <v>72.02</v>
      </c>
      <c r="AE23" s="2">
        <f t="shared" si="0"/>
        <v>1</v>
      </c>
      <c r="AF23" s="138" t="e">
        <f t="shared" si="1"/>
        <v>#DIV/0!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42558</v>
      </c>
      <c r="Y24" s="10" t="s">
        <v>293</v>
      </c>
      <c r="Z24" s="10"/>
      <c r="AA24" s="10"/>
      <c r="AB24" s="10"/>
      <c r="AC24" s="95"/>
      <c r="AD24" s="10"/>
      <c r="AE24" s="2">
        <f t="shared" si="0"/>
        <v>0</v>
      </c>
      <c r="AF24" s="138">
        <f t="shared" si="1"/>
        <v>-1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42557</v>
      </c>
      <c r="Y25" s="10">
        <v>72.27</v>
      </c>
      <c r="Z25" s="10">
        <v>72.95</v>
      </c>
      <c r="AA25" s="10">
        <v>71.86</v>
      </c>
      <c r="AB25" s="10">
        <v>72.56</v>
      </c>
      <c r="AC25" s="95">
        <v>7086800</v>
      </c>
      <c r="AD25" s="10">
        <v>72.08</v>
      </c>
      <c r="AE25" s="2">
        <f t="shared" si="0"/>
        <v>1.0900000000000034</v>
      </c>
      <c r="AF25" s="138">
        <f t="shared" si="1"/>
        <v>6.2822839592349133E-3</v>
      </c>
    </row>
    <row r="26" spans="1:32" x14ac:dyDescent="0.25">
      <c r="X26" s="133">
        <v>42556</v>
      </c>
      <c r="Y26" s="10">
        <v>71.88</v>
      </c>
      <c r="Z26" s="10">
        <v>72.66</v>
      </c>
      <c r="AA26" s="10">
        <v>71.73</v>
      </c>
      <c r="AB26" s="10">
        <v>72.11</v>
      </c>
      <c r="AC26" s="95">
        <v>4806000</v>
      </c>
      <c r="AD26" s="10">
        <v>71.63</v>
      </c>
      <c r="AE26" s="2">
        <f t="shared" si="0"/>
        <v>0.92999999999999261</v>
      </c>
      <c r="AF26" s="138">
        <f t="shared" si="1"/>
        <v>2.378953260565364E-3</v>
      </c>
    </row>
    <row r="27" spans="1:32" x14ac:dyDescent="0.25">
      <c r="X27" s="133">
        <v>42552</v>
      </c>
      <c r="Y27" s="10">
        <v>71.19</v>
      </c>
      <c r="Z27" s="10">
        <v>72.19</v>
      </c>
      <c r="AA27" s="10">
        <v>70.86</v>
      </c>
      <c r="AB27" s="10">
        <v>71.94</v>
      </c>
      <c r="AC27" s="95">
        <v>6075900</v>
      </c>
      <c r="AD27" s="10">
        <v>71.459999999999994</v>
      </c>
      <c r="AE27" s="2">
        <f t="shared" si="0"/>
        <v>1.3299999999999983</v>
      </c>
      <c r="AF27" s="138">
        <f t="shared" si="1"/>
        <v>8.6097388849681877E-3</v>
      </c>
    </row>
    <row r="28" spans="1:32" x14ac:dyDescent="0.25">
      <c r="L28" t="s">
        <v>230</v>
      </c>
      <c r="M28" s="2">
        <f>M37+K37-F37</f>
        <v>49.949999999999818</v>
      </c>
      <c r="X28" s="133">
        <v>42551</v>
      </c>
      <c r="Y28" s="10">
        <v>68</v>
      </c>
      <c r="Z28" s="10">
        <v>71.78</v>
      </c>
      <c r="AA28" s="10">
        <v>68</v>
      </c>
      <c r="AB28" s="10">
        <v>71.319999999999993</v>
      </c>
      <c r="AC28" s="95">
        <v>12380000</v>
      </c>
      <c r="AD28" s="10">
        <v>70.849999999999994</v>
      </c>
      <c r="AE28" s="2">
        <f t="shared" si="0"/>
        <v>3.7800000000000011</v>
      </c>
      <c r="AF28" s="138">
        <f t="shared" si="1"/>
        <v>5.1031004302032335E-2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42550</v>
      </c>
      <c r="Y29" s="10">
        <v>66.17</v>
      </c>
      <c r="Z29" s="10">
        <v>67.91</v>
      </c>
      <c r="AA29" s="10">
        <v>65.64</v>
      </c>
      <c r="AB29" s="10">
        <v>67.86</v>
      </c>
      <c r="AC29" s="95">
        <v>7759700</v>
      </c>
      <c r="AD29" s="10">
        <v>67.41</v>
      </c>
      <c r="AE29" s="2">
        <f t="shared" si="0"/>
        <v>2.269999999999996</v>
      </c>
      <c r="AF29" s="138">
        <f t="shared" si="1"/>
        <v>3.1996325780771606E-2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42549</v>
      </c>
      <c r="Y30" s="10">
        <v>66.25</v>
      </c>
      <c r="Z30" s="10">
        <v>66.25</v>
      </c>
      <c r="AA30" s="10">
        <v>65.16</v>
      </c>
      <c r="AB30" s="10">
        <v>65.760000000000005</v>
      </c>
      <c r="AC30" s="95">
        <v>4961400</v>
      </c>
      <c r="AD30" s="10">
        <v>65.319999999999993</v>
      </c>
      <c r="AE30" s="2">
        <f t="shared" si="0"/>
        <v>1.0900000000000034</v>
      </c>
      <c r="AF30" s="138">
        <f t="shared" si="1"/>
        <v>-6.5399239543727505E-3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42548</v>
      </c>
      <c r="Y31" s="10">
        <v>65.83</v>
      </c>
      <c r="Z31" s="10">
        <v>66.400000000000006</v>
      </c>
      <c r="AA31" s="10">
        <v>65.63</v>
      </c>
      <c r="AB31" s="10">
        <v>66.19</v>
      </c>
      <c r="AC31" s="95">
        <v>4252300</v>
      </c>
      <c r="AD31" s="10">
        <v>65.75</v>
      </c>
      <c r="AE31" s="2">
        <f t="shared" si="0"/>
        <v>0.77000000000001023</v>
      </c>
      <c r="AF31" s="138">
        <f t="shared" si="1"/>
        <v>7.6103500761037779E-4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42545</v>
      </c>
      <c r="Y32" s="10">
        <v>65.66</v>
      </c>
      <c r="Z32" s="10">
        <v>66.849999999999994</v>
      </c>
      <c r="AA32" s="10">
        <v>65.41</v>
      </c>
      <c r="AB32" s="10">
        <v>66.14</v>
      </c>
      <c r="AC32" s="95">
        <v>4836000</v>
      </c>
      <c r="AD32" s="10">
        <v>65.7</v>
      </c>
      <c r="AE32" s="2">
        <f t="shared" si="0"/>
        <v>1.4399999999999977</v>
      </c>
      <c r="AF32" s="138">
        <f t="shared" si="1"/>
        <v>-9.4979647218452756E-3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42544</v>
      </c>
      <c r="Y33" s="10">
        <v>66.75</v>
      </c>
      <c r="Z33" s="10">
        <v>66.88</v>
      </c>
      <c r="AA33" s="10">
        <v>66.260000000000005</v>
      </c>
      <c r="AB33" s="10">
        <v>66.77</v>
      </c>
      <c r="AC33" s="95">
        <v>2107800</v>
      </c>
      <c r="AD33" s="10">
        <v>66.33</v>
      </c>
      <c r="AE33" s="2">
        <f t="shared" si="0"/>
        <v>0.61999999999999034</v>
      </c>
      <c r="AF33" s="138">
        <f t="shared" si="1"/>
        <v>5.6094602789569237E-3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42543</v>
      </c>
      <c r="Y34" s="10">
        <v>66.59</v>
      </c>
      <c r="Z34" s="10">
        <v>66.790000000000006</v>
      </c>
      <c r="AA34" s="10">
        <v>66.2</v>
      </c>
      <c r="AB34" s="10">
        <v>66.400000000000006</v>
      </c>
      <c r="AC34" s="95">
        <v>2630200</v>
      </c>
      <c r="AD34" s="10">
        <v>65.959999999999994</v>
      </c>
      <c r="AE34" s="2">
        <f t="shared" si="0"/>
        <v>0.59000000000000341</v>
      </c>
      <c r="AF34" s="138">
        <f t="shared" si="1"/>
        <v>-1.815980629540026E-3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42542</v>
      </c>
      <c r="Y35" s="10">
        <v>66.069999999999993</v>
      </c>
      <c r="Z35" s="10">
        <v>66.66</v>
      </c>
      <c r="AA35" s="10">
        <v>65.989999999999995</v>
      </c>
      <c r="AB35" s="10">
        <v>66.52</v>
      </c>
      <c r="AC35" s="95">
        <v>3132800</v>
      </c>
      <c r="AD35" s="10">
        <v>66.08</v>
      </c>
      <c r="AE35" s="2">
        <f t="shared" si="0"/>
        <v>0.67000000000000171</v>
      </c>
      <c r="AF35" s="138">
        <f t="shared" si="1"/>
        <v>9.7799511002445438E-3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42541</v>
      </c>
      <c r="Y36" s="10">
        <v>65.97</v>
      </c>
      <c r="Z36" s="10">
        <v>66.41</v>
      </c>
      <c r="AA36" s="10">
        <v>65.87</v>
      </c>
      <c r="AB36" s="10">
        <v>65.88</v>
      </c>
      <c r="AC36" s="95">
        <v>2321600</v>
      </c>
      <c r="AD36" s="10">
        <v>65.44</v>
      </c>
      <c r="AE36" s="2">
        <f t="shared" si="0"/>
        <v>0.53999999999999204</v>
      </c>
      <c r="AF36" s="138">
        <f t="shared" si="1"/>
        <v>1.0708275967568071E-3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42538</v>
      </c>
      <c r="Y37" s="10">
        <v>65.63</v>
      </c>
      <c r="Z37" s="10">
        <v>65.819999999999993</v>
      </c>
      <c r="AA37" s="10">
        <v>65.09</v>
      </c>
      <c r="AB37" s="10">
        <v>65.81</v>
      </c>
      <c r="AC37" s="95">
        <v>3331300</v>
      </c>
      <c r="AD37" s="10">
        <v>65.37</v>
      </c>
      <c r="AE37" s="2">
        <f t="shared" si="0"/>
        <v>0.72999999999998977</v>
      </c>
      <c r="AF37" s="138">
        <f t="shared" si="1"/>
        <v>4.5913682277309853E-4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42537</v>
      </c>
      <c r="Y38" s="10">
        <v>64.84</v>
      </c>
      <c r="Z38" s="10">
        <v>65.790000000000006</v>
      </c>
      <c r="AA38" s="10">
        <v>64.77</v>
      </c>
      <c r="AB38" s="10">
        <v>65.78</v>
      </c>
      <c r="AC38" s="95">
        <v>2147100</v>
      </c>
      <c r="AD38" s="10">
        <v>65.34</v>
      </c>
      <c r="AE38" s="2">
        <f t="shared" si="0"/>
        <v>1.0200000000000102</v>
      </c>
      <c r="AF38" s="138">
        <f t="shared" si="1"/>
        <v>1.3651877133106005E-2</v>
      </c>
    </row>
    <row r="39" spans="1:32" x14ac:dyDescent="0.25">
      <c r="X39" s="133">
        <v>42536</v>
      </c>
      <c r="Y39" s="10">
        <v>64.97</v>
      </c>
      <c r="Z39" s="10">
        <v>65.25</v>
      </c>
      <c r="AA39" s="10">
        <v>64.709999999999994</v>
      </c>
      <c r="AB39" s="10">
        <v>64.89</v>
      </c>
      <c r="AC39" s="95">
        <v>2042400</v>
      </c>
      <c r="AD39" s="10">
        <v>64.459999999999994</v>
      </c>
      <c r="AE39" s="2">
        <f t="shared" si="0"/>
        <v>0.54000000000000625</v>
      </c>
      <c r="AF39" s="138">
        <f t="shared" si="1"/>
        <v>-2.3216220399320253E-3</v>
      </c>
    </row>
    <row r="40" spans="1:32" x14ac:dyDescent="0.25">
      <c r="X40" s="133">
        <v>42535</v>
      </c>
      <c r="Y40" s="10">
        <v>64.64</v>
      </c>
      <c r="Z40" s="10">
        <v>65.13</v>
      </c>
      <c r="AA40" s="10">
        <v>64.290000000000006</v>
      </c>
      <c r="AB40" s="10">
        <v>65.040000000000006</v>
      </c>
      <c r="AC40" s="95">
        <v>2671400</v>
      </c>
      <c r="AD40" s="10">
        <v>64.61</v>
      </c>
      <c r="AE40" s="2">
        <f t="shared" si="0"/>
        <v>0.8399999999999892</v>
      </c>
      <c r="AF40" s="138">
        <f t="shared" si="1"/>
        <v>2.9493945979508496E-3</v>
      </c>
    </row>
    <row r="41" spans="1:32" ht="20.25" thickBot="1" x14ac:dyDescent="0.35">
      <c r="O41" s="525" t="s">
        <v>78</v>
      </c>
      <c r="P41" s="525"/>
      <c r="X41" s="133">
        <v>42534</v>
      </c>
      <c r="Y41" s="10">
        <v>65.02</v>
      </c>
      <c r="Z41" s="10">
        <v>65.489999999999995</v>
      </c>
      <c r="AA41" s="10">
        <v>64.73</v>
      </c>
      <c r="AB41" s="10">
        <v>64.849999999999994</v>
      </c>
      <c r="AC41" s="95">
        <v>2407800</v>
      </c>
      <c r="AD41" s="10">
        <v>64.42</v>
      </c>
      <c r="AE41" s="2">
        <f t="shared" si="0"/>
        <v>0.75999999999999091</v>
      </c>
      <c r="AF41" s="138">
        <f t="shared" si="1"/>
        <v>-8.6180363188673725E-3</v>
      </c>
    </row>
    <row r="42" spans="1:32" ht="21" thickTop="1" thickBot="1" x14ac:dyDescent="0.35">
      <c r="O42" s="83">
        <v>1.1000000000000001</v>
      </c>
      <c r="P42" s="83">
        <f>O42*$Q$4</f>
        <v>77.692999999999998</v>
      </c>
      <c r="Q42" s="2"/>
      <c r="T42" s="91"/>
      <c r="X42" s="133">
        <v>42531</v>
      </c>
      <c r="Y42" s="10">
        <v>65.06</v>
      </c>
      <c r="Z42" s="10">
        <v>65.5</v>
      </c>
      <c r="AA42" s="10">
        <v>65.010000000000005</v>
      </c>
      <c r="AB42" s="10">
        <v>65.41</v>
      </c>
      <c r="AC42" s="95">
        <v>2677100</v>
      </c>
      <c r="AD42" s="10">
        <v>64.98</v>
      </c>
      <c r="AE42" s="2">
        <f t="shared" si="0"/>
        <v>0.48999999999999488</v>
      </c>
      <c r="AF42" s="138">
        <f t="shared" si="1"/>
        <v>1.0784162686798826E-3</v>
      </c>
    </row>
    <row r="43" spans="1:32" ht="15.75" thickTop="1" x14ac:dyDescent="0.25">
      <c r="O43" s="83">
        <v>1.0900000000000001</v>
      </c>
      <c r="P43" s="83">
        <f t="shared" ref="P43:P62" si="2">O43*$Q$4</f>
        <v>76.986699999999999</v>
      </c>
      <c r="Q43" s="2"/>
      <c r="T43" s="161" t="s">
        <v>98</v>
      </c>
      <c r="U43" s="161">
        <v>70.489999999999995</v>
      </c>
      <c r="X43" s="133">
        <v>42530</v>
      </c>
      <c r="Y43" s="10">
        <v>64.430000000000007</v>
      </c>
      <c r="Z43" s="10">
        <v>65.39</v>
      </c>
      <c r="AA43" s="10">
        <v>64.349999999999994</v>
      </c>
      <c r="AB43" s="10">
        <v>65.34</v>
      </c>
      <c r="AC43" s="95">
        <v>2460600</v>
      </c>
      <c r="AD43" s="10">
        <v>64.91</v>
      </c>
      <c r="AE43" s="2">
        <f t="shared" si="0"/>
        <v>1.0400000000000063</v>
      </c>
      <c r="AF43" s="138">
        <f t="shared" si="1"/>
        <v>1.4377246444756908E-2</v>
      </c>
    </row>
    <row r="44" spans="1:32" x14ac:dyDescent="0.25">
      <c r="O44" s="83">
        <v>1.08</v>
      </c>
      <c r="P44" s="83">
        <f t="shared" si="2"/>
        <v>76.2804</v>
      </c>
      <c r="Q44" s="2"/>
      <c r="T44" s="10" t="s">
        <v>99</v>
      </c>
      <c r="U44" s="10">
        <v>70.5</v>
      </c>
      <c r="X44" s="133">
        <v>42529</v>
      </c>
      <c r="Y44" s="10">
        <v>64</v>
      </c>
      <c r="Z44" s="10">
        <v>64.489999999999995</v>
      </c>
      <c r="AA44" s="10">
        <v>63.83</v>
      </c>
      <c r="AB44" s="10">
        <v>64.42</v>
      </c>
      <c r="AC44" s="95">
        <v>2323200</v>
      </c>
      <c r="AD44" s="10">
        <v>63.99</v>
      </c>
      <c r="AE44" s="2">
        <f t="shared" si="0"/>
        <v>0.65999999999999659</v>
      </c>
      <c r="AF44" s="138">
        <f t="shared" si="1"/>
        <v>6.1320754716980286E-3</v>
      </c>
    </row>
    <row r="45" spans="1:32" x14ac:dyDescent="0.25">
      <c r="O45" s="83">
        <v>1.07</v>
      </c>
      <c r="P45" s="83">
        <f t="shared" si="2"/>
        <v>75.574100000000001</v>
      </c>
      <c r="Q45" s="2"/>
      <c r="T45" s="10" t="s">
        <v>100</v>
      </c>
      <c r="U45" s="10" t="s">
        <v>544</v>
      </c>
      <c r="X45" s="133">
        <v>42528</v>
      </c>
      <c r="Y45" s="10">
        <v>63.68</v>
      </c>
      <c r="Z45" s="10">
        <v>64.17</v>
      </c>
      <c r="AA45" s="10">
        <v>63.63</v>
      </c>
      <c r="AB45" s="10">
        <v>64.02</v>
      </c>
      <c r="AC45" s="95">
        <v>2000500</v>
      </c>
      <c r="AD45" s="10">
        <v>63.6</v>
      </c>
      <c r="AE45" s="2">
        <f t="shared" si="0"/>
        <v>0.53999999999999915</v>
      </c>
      <c r="AF45" s="138">
        <f t="shared" si="1"/>
        <v>6.966434452184922E-3</v>
      </c>
    </row>
    <row r="46" spans="1:32" x14ac:dyDescent="0.25">
      <c r="O46" s="83">
        <v>1.06</v>
      </c>
      <c r="P46" s="83">
        <f t="shared" si="2"/>
        <v>74.867800000000003</v>
      </c>
      <c r="Q46" s="2"/>
      <c r="T46" s="10" t="s">
        <v>101</v>
      </c>
      <c r="U46" s="10" t="s">
        <v>545</v>
      </c>
      <c r="X46" s="133">
        <v>42527</v>
      </c>
      <c r="Y46" s="10">
        <v>63.66</v>
      </c>
      <c r="Z46" s="10">
        <v>63.89</v>
      </c>
      <c r="AA46" s="10">
        <v>63.27</v>
      </c>
      <c r="AB46" s="10">
        <v>63.58</v>
      </c>
      <c r="AC46" s="95">
        <v>1649200</v>
      </c>
      <c r="AD46" s="10">
        <v>63.16</v>
      </c>
      <c r="AE46" s="2">
        <f t="shared" si="0"/>
        <v>0.61999999999999744</v>
      </c>
      <c r="AF46" s="138">
        <f t="shared" si="1"/>
        <v>-1.7385806859492314E-3</v>
      </c>
    </row>
    <row r="47" spans="1:32" x14ac:dyDescent="0.25">
      <c r="O47" s="83">
        <v>1.05</v>
      </c>
      <c r="P47" s="83">
        <f t="shared" si="2"/>
        <v>74.161500000000004</v>
      </c>
      <c r="Q47" s="2"/>
      <c r="T47" s="10" t="s">
        <v>102</v>
      </c>
      <c r="U47" s="10">
        <v>69.25</v>
      </c>
      <c r="X47" s="133">
        <v>42524</v>
      </c>
      <c r="Y47" s="10">
        <v>63.2</v>
      </c>
      <c r="Z47" s="10">
        <v>63.84</v>
      </c>
      <c r="AA47" s="10">
        <v>63.19</v>
      </c>
      <c r="AB47" s="10">
        <v>63.69</v>
      </c>
      <c r="AC47" s="95">
        <v>1979900</v>
      </c>
      <c r="AD47" s="10">
        <v>63.27</v>
      </c>
      <c r="AE47" s="2">
        <f t="shared" si="0"/>
        <v>0.65000000000000568</v>
      </c>
      <c r="AF47" s="138">
        <f t="shared" si="1"/>
        <v>7.3236745741123155E-3</v>
      </c>
    </row>
    <row r="48" spans="1:32" x14ac:dyDescent="0.25">
      <c r="O48" s="83">
        <v>1.04</v>
      </c>
      <c r="P48" s="83">
        <f t="shared" si="2"/>
        <v>73.455199999999991</v>
      </c>
      <c r="Q48" s="2"/>
      <c r="T48" s="10" t="s">
        <v>103</v>
      </c>
      <c r="U48" s="10">
        <v>0.61493200000000003</v>
      </c>
      <c r="X48" s="133">
        <v>42523</v>
      </c>
      <c r="Y48" s="10">
        <v>63.07</v>
      </c>
      <c r="Z48" s="10">
        <v>63.26</v>
      </c>
      <c r="AA48" s="10">
        <v>62.84</v>
      </c>
      <c r="AB48" s="10">
        <v>63.23</v>
      </c>
      <c r="AC48" s="95">
        <v>1593600</v>
      </c>
      <c r="AD48" s="10">
        <v>62.81</v>
      </c>
      <c r="AE48" s="2">
        <f t="shared" si="0"/>
        <v>0.4199999999999946</v>
      </c>
      <c r="AF48" s="138">
        <f t="shared" si="1"/>
        <v>9.5617529880476226E-4</v>
      </c>
    </row>
    <row r="49" spans="15:32" x14ac:dyDescent="0.25">
      <c r="O49" s="83">
        <v>1.03</v>
      </c>
      <c r="P49" s="83">
        <f t="shared" si="2"/>
        <v>72.748899999999992</v>
      </c>
      <c r="Q49" s="2"/>
      <c r="T49" s="10" t="s">
        <v>123</v>
      </c>
      <c r="U49" s="10" t="s">
        <v>285</v>
      </c>
      <c r="X49" s="133">
        <v>42522</v>
      </c>
      <c r="Y49" s="10">
        <v>62.77</v>
      </c>
      <c r="Z49" s="10">
        <v>63.33</v>
      </c>
      <c r="AA49" s="10">
        <v>62.65</v>
      </c>
      <c r="AB49" s="10">
        <v>63.17</v>
      </c>
      <c r="AC49" s="95">
        <v>2538500</v>
      </c>
      <c r="AD49" s="10">
        <v>62.75</v>
      </c>
      <c r="AE49" s="2">
        <f t="shared" si="0"/>
        <v>0.67999999999999972</v>
      </c>
      <c r="AF49" s="138">
        <f t="shared" si="1"/>
        <v>6.2540089801155219E-3</v>
      </c>
    </row>
    <row r="50" spans="15:32" x14ac:dyDescent="0.25">
      <c r="O50" s="83">
        <v>1.02</v>
      </c>
      <c r="P50" s="83">
        <f t="shared" si="2"/>
        <v>72.042599999999993</v>
      </c>
      <c r="Q50" s="2"/>
      <c r="T50" s="10"/>
      <c r="U50" s="10"/>
      <c r="X50" s="133">
        <v>42521</v>
      </c>
      <c r="Y50" s="10">
        <v>62.96</v>
      </c>
      <c r="Z50" s="10">
        <v>63.35</v>
      </c>
      <c r="AA50" s="10">
        <v>62.55</v>
      </c>
      <c r="AB50" s="10">
        <v>62.78</v>
      </c>
      <c r="AC50" s="95">
        <v>3160700</v>
      </c>
      <c r="AD50" s="10">
        <v>62.36</v>
      </c>
      <c r="AE50" s="2">
        <f t="shared" si="0"/>
        <v>0.80000000000000426</v>
      </c>
      <c r="AF50" s="138">
        <f t="shared" si="1"/>
        <v>-1.4411529223379294E-3</v>
      </c>
    </row>
    <row r="51" spans="15:32" x14ac:dyDescent="0.25">
      <c r="O51" s="83">
        <v>1.01</v>
      </c>
      <c r="P51" s="83">
        <f t="shared" si="2"/>
        <v>71.336299999999994</v>
      </c>
      <c r="Q51" s="2"/>
      <c r="T51" s="10" t="s">
        <v>105</v>
      </c>
      <c r="U51" s="10" t="s">
        <v>546</v>
      </c>
      <c r="X51" s="133">
        <v>42517</v>
      </c>
      <c r="Y51" s="10">
        <v>62.71</v>
      </c>
      <c r="Z51" s="10">
        <v>63.23</v>
      </c>
      <c r="AA51" s="10">
        <v>62.65</v>
      </c>
      <c r="AB51" s="10">
        <v>62.87</v>
      </c>
      <c r="AC51" s="95">
        <v>1634100</v>
      </c>
      <c r="AD51" s="10">
        <v>62.45</v>
      </c>
      <c r="AE51" s="2">
        <f t="shared" si="0"/>
        <v>0.57999999999999829</v>
      </c>
      <c r="AF51" s="138">
        <f t="shared" si="1"/>
        <v>0</v>
      </c>
    </row>
    <row r="52" spans="15:32" x14ac:dyDescent="0.25">
      <c r="O52" s="83">
        <v>1</v>
      </c>
      <c r="P52" s="83">
        <f t="shared" si="2"/>
        <v>70.63</v>
      </c>
      <c r="Q52" s="2"/>
      <c r="T52" s="10" t="s">
        <v>106</v>
      </c>
      <c r="U52" s="10" t="s">
        <v>289</v>
      </c>
      <c r="X52" s="133">
        <v>42516</v>
      </c>
      <c r="Y52" s="10">
        <v>62.53</v>
      </c>
      <c r="Z52" s="10">
        <v>63.12</v>
      </c>
      <c r="AA52" s="10">
        <v>62.42</v>
      </c>
      <c r="AB52" s="10">
        <v>62.87</v>
      </c>
      <c r="AC52" s="95">
        <v>1776300</v>
      </c>
      <c r="AD52" s="10">
        <v>62.45</v>
      </c>
      <c r="AE52" s="2">
        <f t="shared" si="0"/>
        <v>0.69999999999999574</v>
      </c>
      <c r="AF52" s="138">
        <f t="shared" si="1"/>
        <v>8.0710250201776468E-3</v>
      </c>
    </row>
    <row r="53" spans="15:32" x14ac:dyDescent="0.25">
      <c r="O53" s="83">
        <v>0.99</v>
      </c>
      <c r="P53" s="83">
        <f t="shared" si="2"/>
        <v>69.923699999999997</v>
      </c>
      <c r="Q53" s="2"/>
      <c r="T53" s="95" t="s">
        <v>107</v>
      </c>
      <c r="U53" s="95">
        <v>2539154</v>
      </c>
      <c r="X53" s="133">
        <v>42515</v>
      </c>
      <c r="Y53" s="10">
        <v>62.51</v>
      </c>
      <c r="Z53" s="10">
        <v>62.75</v>
      </c>
      <c r="AA53" s="10">
        <v>62.2</v>
      </c>
      <c r="AB53" s="10">
        <v>62.36</v>
      </c>
      <c r="AC53" s="95">
        <v>2631400</v>
      </c>
      <c r="AD53" s="10">
        <v>61.95</v>
      </c>
      <c r="AE53" s="2">
        <f t="shared" si="0"/>
        <v>0.54999999999999716</v>
      </c>
      <c r="AF53" s="138">
        <f t="shared" si="1"/>
        <v>-6.4526536538145329E-4</v>
      </c>
    </row>
    <row r="54" spans="15:32" x14ac:dyDescent="0.25">
      <c r="O54" s="83">
        <v>0.98</v>
      </c>
      <c r="P54" s="83">
        <f t="shared" si="2"/>
        <v>69.217399999999998</v>
      </c>
      <c r="Q54" s="2"/>
      <c r="T54" s="95" t="s">
        <v>110</v>
      </c>
      <c r="U54" s="95">
        <v>3303440</v>
      </c>
      <c r="X54" s="133">
        <v>42514</v>
      </c>
      <c r="Y54" s="10">
        <v>61.69</v>
      </c>
      <c r="Z54" s="10">
        <v>62.72</v>
      </c>
      <c r="AA54" s="10">
        <v>61.6</v>
      </c>
      <c r="AB54" s="10">
        <v>62.4</v>
      </c>
      <c r="AC54" s="95">
        <v>4197400</v>
      </c>
      <c r="AD54" s="10">
        <v>61.99</v>
      </c>
      <c r="AE54" s="2">
        <f t="shared" si="0"/>
        <v>1.1199999999999974</v>
      </c>
      <c r="AF54" s="138">
        <f t="shared" si="1"/>
        <v>-4.8161823727724817E-3</v>
      </c>
    </row>
    <row r="55" spans="15:32" x14ac:dyDescent="0.25">
      <c r="O55" s="83">
        <v>0.97</v>
      </c>
      <c r="P55" s="83">
        <f t="shared" si="2"/>
        <v>68.511099999999999</v>
      </c>
      <c r="T55" s="10" t="s">
        <v>108</v>
      </c>
      <c r="U55" s="10" t="s">
        <v>547</v>
      </c>
      <c r="X55" s="133">
        <v>42513</v>
      </c>
      <c r="Y55" s="10">
        <v>62.55</v>
      </c>
      <c r="Z55" s="10">
        <v>63.03</v>
      </c>
      <c r="AA55" s="10">
        <v>62.49</v>
      </c>
      <c r="AB55" s="10">
        <v>62.7</v>
      </c>
      <c r="AC55" s="95">
        <v>2127200</v>
      </c>
      <c r="AD55" s="10">
        <v>62.29</v>
      </c>
      <c r="AE55" s="2">
        <f t="shared" si="0"/>
        <v>0.53999999999999915</v>
      </c>
      <c r="AF55" s="138">
        <f t="shared" si="1"/>
        <v>4.0296582849774776E-3</v>
      </c>
    </row>
    <row r="56" spans="15:32" x14ac:dyDescent="0.25">
      <c r="O56" s="83">
        <v>0.96</v>
      </c>
      <c r="P56" s="83">
        <f t="shared" si="2"/>
        <v>67.8048</v>
      </c>
      <c r="T56" s="10" t="s">
        <v>111</v>
      </c>
      <c r="U56" s="10">
        <v>25.47</v>
      </c>
      <c r="X56" s="133">
        <v>42510</v>
      </c>
      <c r="Y56" s="10">
        <v>62.91</v>
      </c>
      <c r="Z56" s="10">
        <v>62.91</v>
      </c>
      <c r="AA56" s="10">
        <v>62.28</v>
      </c>
      <c r="AB56" s="10">
        <v>62.45</v>
      </c>
      <c r="AC56" s="95">
        <v>3313300</v>
      </c>
      <c r="AD56" s="10">
        <v>62.04</v>
      </c>
      <c r="AE56" s="2">
        <f t="shared" si="0"/>
        <v>0.62999999999999545</v>
      </c>
      <c r="AF56" s="138">
        <f t="shared" si="1"/>
        <v>-7.3600000000000332E-3</v>
      </c>
    </row>
    <row r="57" spans="15:32" x14ac:dyDescent="0.25">
      <c r="O57" s="83">
        <v>0.95</v>
      </c>
      <c r="P57" s="83">
        <f t="shared" si="2"/>
        <v>67.098499999999987</v>
      </c>
      <c r="T57" s="10" t="s">
        <v>112</v>
      </c>
      <c r="U57" s="10">
        <v>2.77</v>
      </c>
      <c r="X57" s="133">
        <v>42509</v>
      </c>
      <c r="Y57" s="10">
        <v>62.28</v>
      </c>
      <c r="Z57" s="10">
        <v>62.95</v>
      </c>
      <c r="AA57" s="10">
        <v>62.06</v>
      </c>
      <c r="AB57" s="10">
        <v>62.92</v>
      </c>
      <c r="AC57" s="95">
        <v>2577100</v>
      </c>
      <c r="AD57" s="10">
        <v>62.5</v>
      </c>
      <c r="AE57" s="2">
        <f t="shared" si="0"/>
        <v>0.89000000000000057</v>
      </c>
      <c r="AF57" s="138">
        <f t="shared" si="1"/>
        <v>8.3898031623104163E-3</v>
      </c>
    </row>
    <row r="58" spans="15:32" x14ac:dyDescent="0.25">
      <c r="O58" s="83">
        <v>0.94</v>
      </c>
      <c r="P58" s="83">
        <f t="shared" si="2"/>
        <v>66.392199999999988</v>
      </c>
      <c r="T58" s="10" t="s">
        <v>109</v>
      </c>
      <c r="U58" s="10" t="s">
        <v>587</v>
      </c>
      <c r="X58" s="133">
        <v>42508</v>
      </c>
      <c r="Y58" s="10">
        <v>62.72</v>
      </c>
      <c r="Z58" s="10">
        <v>62.82</v>
      </c>
      <c r="AA58" s="10">
        <v>61.93</v>
      </c>
      <c r="AB58" s="10">
        <v>62.39</v>
      </c>
      <c r="AC58" s="95">
        <v>3036900</v>
      </c>
      <c r="AD58" s="10">
        <v>61.98</v>
      </c>
      <c r="AE58" s="2">
        <f t="shared" si="0"/>
        <v>0.89000000000000057</v>
      </c>
      <c r="AF58" s="138">
        <f t="shared" si="1"/>
        <v>-9.4294390282884111E-3</v>
      </c>
    </row>
    <row r="59" spans="15:32" x14ac:dyDescent="0.25">
      <c r="O59" s="83">
        <v>0.93</v>
      </c>
      <c r="P59" s="83">
        <f t="shared" si="2"/>
        <v>65.685900000000004</v>
      </c>
      <c r="X59" s="133">
        <v>42507</v>
      </c>
      <c r="Y59" s="10">
        <v>64.3</v>
      </c>
      <c r="Z59" s="10">
        <v>64.430000000000007</v>
      </c>
      <c r="AA59" s="10">
        <v>62.74</v>
      </c>
      <c r="AB59" s="10">
        <v>62.99</v>
      </c>
      <c r="AC59" s="95">
        <v>3497200</v>
      </c>
      <c r="AD59" s="10">
        <v>62.57</v>
      </c>
      <c r="AE59" s="2">
        <f t="shared" si="0"/>
        <v>1.6900000000000048</v>
      </c>
      <c r="AF59" s="138">
        <f t="shared" si="1"/>
        <v>-2.4477705020268137E-2</v>
      </c>
    </row>
    <row r="60" spans="15:32" x14ac:dyDescent="0.25">
      <c r="O60" s="83">
        <v>0.92</v>
      </c>
      <c r="P60" s="83">
        <f t="shared" si="2"/>
        <v>64.979600000000005</v>
      </c>
      <c r="X60" s="133">
        <v>42506</v>
      </c>
      <c r="Y60" s="10">
        <v>64.39</v>
      </c>
      <c r="Z60" s="10">
        <v>64.790000000000006</v>
      </c>
      <c r="AA60" s="10">
        <v>64.23</v>
      </c>
      <c r="AB60" s="10">
        <v>64.569999999999993</v>
      </c>
      <c r="AC60" s="95">
        <v>2274800</v>
      </c>
      <c r="AD60" s="10">
        <v>64.14</v>
      </c>
      <c r="AE60" s="2">
        <f t="shared" si="0"/>
        <v>0.56000000000000227</v>
      </c>
      <c r="AF60" s="138">
        <f t="shared" si="1"/>
        <v>7.8015290997024422E-4</v>
      </c>
    </row>
    <row r="61" spans="15:32" x14ac:dyDescent="0.25">
      <c r="O61" s="83">
        <v>0.91</v>
      </c>
      <c r="P61" s="83">
        <f t="shared" si="2"/>
        <v>64.273299999999992</v>
      </c>
      <c r="X61" s="133">
        <v>42503</v>
      </c>
      <c r="Y61" s="10">
        <v>64.61</v>
      </c>
      <c r="Z61" s="10">
        <v>65.11</v>
      </c>
      <c r="AA61" s="10">
        <v>64.17</v>
      </c>
      <c r="AB61" s="10">
        <v>64.52</v>
      </c>
      <c r="AC61" s="95">
        <v>2763800</v>
      </c>
      <c r="AD61" s="10">
        <v>64.09</v>
      </c>
      <c r="AE61" s="2">
        <f t="shared" si="0"/>
        <v>0.93999999999999773</v>
      </c>
      <c r="AF61" s="138">
        <f t="shared" si="1"/>
        <v>-3.1109037175299781E-3</v>
      </c>
    </row>
    <row r="62" spans="15:32" x14ac:dyDescent="0.25">
      <c r="O62" s="83">
        <v>0.9</v>
      </c>
      <c r="P62" s="83">
        <f t="shared" si="2"/>
        <v>63.567</v>
      </c>
      <c r="X62" s="133">
        <v>42502</v>
      </c>
      <c r="Y62" s="10">
        <v>64.13</v>
      </c>
      <c r="Z62" s="10">
        <v>64.78</v>
      </c>
      <c r="AA62" s="10">
        <v>64.08</v>
      </c>
      <c r="AB62" s="10">
        <v>64.72</v>
      </c>
      <c r="AC62" s="95">
        <v>2563800</v>
      </c>
      <c r="AD62" s="10">
        <v>64.290000000000006</v>
      </c>
      <c r="AE62" s="2">
        <f t="shared" si="0"/>
        <v>0.70000000000000284</v>
      </c>
      <c r="AF62" s="138">
        <f t="shared" si="1"/>
        <v>1.1008020128951079E-2</v>
      </c>
    </row>
    <row r="63" spans="15:32" x14ac:dyDescent="0.25">
      <c r="X63" s="133">
        <v>42501</v>
      </c>
      <c r="Y63" s="10">
        <v>63.73</v>
      </c>
      <c r="Z63" s="10">
        <v>64.37</v>
      </c>
      <c r="AA63" s="10">
        <v>63.7</v>
      </c>
      <c r="AB63" s="10">
        <v>64.010000000000005</v>
      </c>
      <c r="AC63" s="95">
        <v>3449800</v>
      </c>
      <c r="AD63" s="10">
        <v>63.59</v>
      </c>
      <c r="AE63" s="2">
        <f t="shared" si="0"/>
        <v>0.67000000000000171</v>
      </c>
      <c r="AF63" s="138">
        <f t="shared" si="1"/>
        <v>4.4226820407518019E-3</v>
      </c>
    </row>
    <row r="64" spans="15:32" x14ac:dyDescent="0.25">
      <c r="X64" s="133">
        <v>42500</v>
      </c>
      <c r="Y64" s="10">
        <v>62.88</v>
      </c>
      <c r="Z64" s="10">
        <v>63.8</v>
      </c>
      <c r="AA64" s="10">
        <v>62.73</v>
      </c>
      <c r="AB64" s="10">
        <v>63.73</v>
      </c>
      <c r="AC64" s="95">
        <v>3245700</v>
      </c>
      <c r="AD64" s="10">
        <v>63.31</v>
      </c>
      <c r="AE64" s="2">
        <f t="shared" si="0"/>
        <v>1.0700000000000003</v>
      </c>
      <c r="AF64" s="138">
        <f t="shared" si="1"/>
        <v>1.5885750962772782E-2</v>
      </c>
    </row>
    <row r="65" spans="24:32" x14ac:dyDescent="0.25">
      <c r="X65" s="133">
        <v>42499</v>
      </c>
      <c r="Y65" s="10">
        <v>62.21</v>
      </c>
      <c r="Z65" s="10">
        <v>62.88</v>
      </c>
      <c r="AA65" s="10">
        <v>62</v>
      </c>
      <c r="AB65" s="10">
        <v>62.73</v>
      </c>
      <c r="AC65" s="95">
        <v>2418900</v>
      </c>
      <c r="AD65" s="10">
        <v>62.32</v>
      </c>
      <c r="AE65" s="2">
        <f t="shared" si="0"/>
        <v>0.88000000000000256</v>
      </c>
      <c r="AF65" s="138">
        <f t="shared" si="1"/>
        <v>1.004862236628834E-2</v>
      </c>
    </row>
    <row r="66" spans="24:32" x14ac:dyDescent="0.25">
      <c r="X66" s="133">
        <v>42496</v>
      </c>
      <c r="Y66" s="10">
        <v>62.07</v>
      </c>
      <c r="Z66" s="10">
        <v>62.27</v>
      </c>
      <c r="AA66" s="10">
        <v>61.46</v>
      </c>
      <c r="AB66" s="10">
        <v>62.11</v>
      </c>
      <c r="AC66" s="95">
        <v>2271900</v>
      </c>
      <c r="AD66" s="10">
        <v>61.7</v>
      </c>
      <c r="AE66" s="2">
        <f t="shared" si="0"/>
        <v>0.81000000000000227</v>
      </c>
      <c r="AF66" s="138">
        <f t="shared" si="1"/>
        <v>4.8646019134102048E-4</v>
      </c>
    </row>
    <row r="67" spans="24:32" x14ac:dyDescent="0.25">
      <c r="X67" s="133">
        <v>42495</v>
      </c>
      <c r="Y67" s="10">
        <v>61.8</v>
      </c>
      <c r="Z67" s="10">
        <v>62.29</v>
      </c>
      <c r="AA67" s="10">
        <v>61.78</v>
      </c>
      <c r="AB67" s="10">
        <v>62.08</v>
      </c>
      <c r="AC67" s="95">
        <v>3084800</v>
      </c>
      <c r="AD67" s="10">
        <v>61.67</v>
      </c>
      <c r="AE67" s="2">
        <f>Z67-AA67</f>
        <v>0.50999999999999801</v>
      </c>
      <c r="AF67" s="138">
        <f>AD67/AD68-1</f>
        <v>5.5437795532367051E-3</v>
      </c>
    </row>
    <row r="68" spans="24:32" x14ac:dyDescent="0.25">
      <c r="X68" s="133">
        <v>42494</v>
      </c>
      <c r="Y68" s="10">
        <v>61.33</v>
      </c>
      <c r="Z68" s="10">
        <v>62.06</v>
      </c>
      <c r="AA68" s="10">
        <v>61.21</v>
      </c>
      <c r="AB68" s="10">
        <v>61.74</v>
      </c>
      <c r="AC68" s="95">
        <v>2648100</v>
      </c>
      <c r="AD68" s="10">
        <v>61.33</v>
      </c>
      <c r="AE68" s="2">
        <f>Z68-AA68</f>
        <v>0.85000000000000142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42587</v>
      </c>
      <c r="X2" s="10">
        <v>30.51</v>
      </c>
      <c r="Y2" s="10">
        <v>30.89</v>
      </c>
      <c r="Z2" s="10">
        <v>30.5</v>
      </c>
      <c r="AA2" s="10">
        <v>30.8</v>
      </c>
      <c r="AB2" s="95">
        <v>13129000</v>
      </c>
      <c r="AC2" s="10">
        <v>30.8</v>
      </c>
      <c r="AD2" s="2">
        <f>Y2-Z2</f>
        <v>0.39000000000000057</v>
      </c>
      <c r="AE2" s="138">
        <f>AC2/AC3-1</f>
        <v>1.5161502966380969E-2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30.88</v>
      </c>
      <c r="W3" s="133">
        <v>42586</v>
      </c>
      <c r="X3" s="10">
        <v>30.24</v>
      </c>
      <c r="Y3" s="10">
        <v>30.53</v>
      </c>
      <c r="Z3" s="10">
        <v>30.23</v>
      </c>
      <c r="AA3" s="10">
        <v>30.34</v>
      </c>
      <c r="AB3" s="95">
        <v>8660900</v>
      </c>
      <c r="AC3" s="10">
        <v>30.34</v>
      </c>
      <c r="AD3" s="2">
        <f t="shared" ref="AD3:AD66" si="0">Y3-Z3</f>
        <v>0.30000000000000071</v>
      </c>
      <c r="AE3" s="138">
        <f t="shared" ref="AE3:AE66" si="1">AC3/AC4-1</f>
        <v>3.3068783068783691E-3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30.88</v>
      </c>
      <c r="W4" s="133">
        <v>42585</v>
      </c>
      <c r="X4" s="10">
        <v>30</v>
      </c>
      <c r="Y4" s="10">
        <v>30.25</v>
      </c>
      <c r="Z4" s="10">
        <v>29.91</v>
      </c>
      <c r="AA4" s="10">
        <v>30.24</v>
      </c>
      <c r="AB4" s="95">
        <v>14504200</v>
      </c>
      <c r="AC4" s="10">
        <v>30.24</v>
      </c>
      <c r="AD4" s="2">
        <f t="shared" si="0"/>
        <v>0.33999999999999986</v>
      </c>
      <c r="AE4" s="138">
        <f t="shared" si="1"/>
        <v>1.0357500835282307E-2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42584</v>
      </c>
      <c r="X5" s="10">
        <v>31.03</v>
      </c>
      <c r="Y5" s="10">
        <v>31.08</v>
      </c>
      <c r="Z5" s="10">
        <v>29.82</v>
      </c>
      <c r="AA5" s="10">
        <v>29.93</v>
      </c>
      <c r="AB5" s="95">
        <v>24346900</v>
      </c>
      <c r="AC5" s="10">
        <v>29.93</v>
      </c>
      <c r="AD5" s="2">
        <f t="shared" si="0"/>
        <v>1.259999999999998</v>
      </c>
      <c r="AE5" s="138">
        <f t="shared" si="1"/>
        <v>-4.3769968051118213E-2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42583</v>
      </c>
      <c r="X6" s="10">
        <v>31.54</v>
      </c>
      <c r="Y6" s="10">
        <v>31.62</v>
      </c>
      <c r="Z6" s="10">
        <v>31.2</v>
      </c>
      <c r="AA6" s="10">
        <v>31.3</v>
      </c>
      <c r="AB6" s="95">
        <v>11190600</v>
      </c>
      <c r="AC6" s="10">
        <v>31.3</v>
      </c>
      <c r="AD6" s="2">
        <f t="shared" si="0"/>
        <v>0.42000000000000171</v>
      </c>
      <c r="AE6" s="138">
        <f t="shared" si="1"/>
        <v>-7.609384908053185E-3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36.819999999999709</v>
      </c>
      <c r="R7">
        <v>0</v>
      </c>
      <c r="W7" s="133">
        <v>42580</v>
      </c>
      <c r="X7" s="10">
        <v>30.79</v>
      </c>
      <c r="Y7" s="10">
        <v>31.55</v>
      </c>
      <c r="Z7" s="10">
        <v>30.78</v>
      </c>
      <c r="AA7" s="10">
        <v>31.54</v>
      </c>
      <c r="AB7" s="95">
        <v>16150500</v>
      </c>
      <c r="AC7" s="10">
        <v>31.54</v>
      </c>
      <c r="AD7" s="2">
        <f t="shared" si="0"/>
        <v>0.76999999999999957</v>
      </c>
      <c r="AE7" s="138">
        <f t="shared" si="1"/>
        <v>1.7747660535656795E-2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31.05</v>
      </c>
      <c r="Y8" s="10">
        <v>31.2</v>
      </c>
      <c r="Z8" s="10">
        <v>30.65</v>
      </c>
      <c r="AA8" s="10">
        <v>30.99</v>
      </c>
      <c r="AB8" s="95">
        <v>20363900</v>
      </c>
      <c r="AC8" s="10">
        <v>30.99</v>
      </c>
      <c r="AD8" s="2">
        <f t="shared" si="0"/>
        <v>0.55000000000000071</v>
      </c>
      <c r="AE8" s="138">
        <f t="shared" si="1"/>
        <v>-3.216739537788893E-2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32.18</v>
      </c>
      <c r="Y9" s="10">
        <v>32.29</v>
      </c>
      <c r="Z9" s="10">
        <v>31.97</v>
      </c>
      <c r="AA9" s="10">
        <v>32.020000000000003</v>
      </c>
      <c r="AB9" s="95">
        <v>9159500</v>
      </c>
      <c r="AC9" s="10">
        <v>32.020000000000003</v>
      </c>
      <c r="AD9" s="2">
        <f t="shared" si="0"/>
        <v>0.32000000000000028</v>
      </c>
      <c r="AE9" s="138">
        <f t="shared" si="1"/>
        <v>-4.0435458786934886E-3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230</v>
      </c>
      <c r="P10" s="34"/>
      <c r="Q10" s="2">
        <f>M29</f>
        <v>36.819999999999709</v>
      </c>
      <c r="W10" s="133">
        <v>42577</v>
      </c>
      <c r="X10" s="10">
        <v>31.98</v>
      </c>
      <c r="Y10" s="10">
        <v>32.22</v>
      </c>
      <c r="Z10" s="10">
        <v>31.89</v>
      </c>
      <c r="AA10" s="10">
        <v>32.15</v>
      </c>
      <c r="AB10" s="95">
        <v>9462000</v>
      </c>
      <c r="AC10" s="10">
        <v>32.15</v>
      </c>
      <c r="AD10" s="2">
        <f t="shared" si="0"/>
        <v>0.32999999999999829</v>
      </c>
      <c r="AE10" s="138">
        <f t="shared" si="1"/>
        <v>2.8072364316904519E-3</v>
      </c>
    </row>
    <row r="11" spans="1:31" x14ac:dyDescent="0.25">
      <c r="O11" s="11" t="s">
        <v>184</v>
      </c>
      <c r="P11" s="34"/>
      <c r="Q11" s="138">
        <f>VALUE(TRIM(CLEAN(MID(U58, FIND("(", U58)+1, 5))))</f>
        <v>4.9399999999999999E-2</v>
      </c>
      <c r="W11" s="133">
        <v>42576</v>
      </c>
      <c r="X11" s="10">
        <v>32.19</v>
      </c>
      <c r="Y11" s="10">
        <v>32.36</v>
      </c>
      <c r="Z11" s="10">
        <v>31.96</v>
      </c>
      <c r="AA11" s="10">
        <v>32.06</v>
      </c>
      <c r="AB11" s="95">
        <v>11324900</v>
      </c>
      <c r="AC11" s="10">
        <v>32.06</v>
      </c>
      <c r="AD11" s="2">
        <f t="shared" si="0"/>
        <v>0.39999999999999858</v>
      </c>
      <c r="AE11" s="138">
        <f t="shared" si="1"/>
        <v>-3.1094527363182412E-3</v>
      </c>
    </row>
    <row r="12" spans="1:31" x14ac:dyDescent="0.25">
      <c r="W12" s="133">
        <v>42573</v>
      </c>
      <c r="X12" s="10">
        <v>32.1</v>
      </c>
      <c r="Y12" s="10">
        <v>32.24</v>
      </c>
      <c r="Z12" s="10">
        <v>31.72</v>
      </c>
      <c r="AA12" s="10">
        <v>32.159999999999997</v>
      </c>
      <c r="AB12" s="95">
        <v>13305400</v>
      </c>
      <c r="AC12" s="10">
        <v>32.159999999999997</v>
      </c>
      <c r="AD12" s="2">
        <f t="shared" si="0"/>
        <v>0.52000000000000313</v>
      </c>
      <c r="AE12" s="138">
        <f t="shared" si="1"/>
        <v>4.0586949734622291E-3</v>
      </c>
    </row>
    <row r="13" spans="1:31" x14ac:dyDescent="0.25">
      <c r="W13" s="133">
        <v>42572</v>
      </c>
      <c r="X13" s="10">
        <v>31.49</v>
      </c>
      <c r="Y13" s="10">
        <v>32.869999999999997</v>
      </c>
      <c r="Z13" s="10">
        <v>31.49</v>
      </c>
      <c r="AA13" s="10">
        <v>32.03</v>
      </c>
      <c r="AB13" s="95">
        <v>36218500</v>
      </c>
      <c r="AC13" s="10">
        <v>32.03</v>
      </c>
      <c r="AD13" s="2">
        <f t="shared" si="0"/>
        <v>1.379999999999999</v>
      </c>
      <c r="AE13" s="138">
        <f t="shared" si="1"/>
        <v>1.7148301047951842E-2</v>
      </c>
    </row>
    <row r="14" spans="1:31" x14ac:dyDescent="0.25">
      <c r="W14" s="133">
        <v>42571</v>
      </c>
      <c r="X14" s="10">
        <v>31.42</v>
      </c>
      <c r="Y14" s="10">
        <v>31.58</v>
      </c>
      <c r="Z14" s="10">
        <v>31.07</v>
      </c>
      <c r="AA14" s="10">
        <v>31.49</v>
      </c>
      <c r="AB14" s="95">
        <v>20923000</v>
      </c>
      <c r="AC14" s="10">
        <v>31.49</v>
      </c>
      <c r="AD14" s="2">
        <f t="shared" si="0"/>
        <v>0.50999999999999801</v>
      </c>
      <c r="AE14" s="138">
        <f t="shared" si="1"/>
        <v>7.6799999999999091E-3</v>
      </c>
    </row>
    <row r="15" spans="1:31" x14ac:dyDescent="0.25">
      <c r="W15" s="133">
        <v>42570</v>
      </c>
      <c r="X15" s="10">
        <v>30.7</v>
      </c>
      <c r="Y15" s="10">
        <v>31.27</v>
      </c>
      <c r="Z15" s="10">
        <v>30.7</v>
      </c>
      <c r="AA15" s="10">
        <v>31.25</v>
      </c>
      <c r="AB15" s="95">
        <v>17164100</v>
      </c>
      <c r="AC15" s="10">
        <v>31.25</v>
      </c>
      <c r="AD15" s="2">
        <f t="shared" si="0"/>
        <v>0.57000000000000028</v>
      </c>
      <c r="AE15" s="138">
        <f t="shared" si="1"/>
        <v>1.2309685779073432E-2</v>
      </c>
    </row>
    <row r="16" spans="1:31" x14ac:dyDescent="0.25">
      <c r="W16" s="133">
        <v>42569</v>
      </c>
      <c r="X16" s="10">
        <v>30.75</v>
      </c>
      <c r="Y16" s="10">
        <v>31.1</v>
      </c>
      <c r="Z16" s="10">
        <v>30.61</v>
      </c>
      <c r="AA16" s="10">
        <v>30.87</v>
      </c>
      <c r="AB16" s="95">
        <v>8732300</v>
      </c>
      <c r="AC16" s="10">
        <v>30.87</v>
      </c>
      <c r="AD16" s="2">
        <f t="shared" si="0"/>
        <v>0.49000000000000199</v>
      </c>
      <c r="AE16" s="138">
        <f t="shared" si="1"/>
        <v>3.2499187520311779E-3</v>
      </c>
    </row>
    <row r="17" spans="1:31" x14ac:dyDescent="0.25">
      <c r="W17" s="133">
        <v>42566</v>
      </c>
      <c r="X17" s="10">
        <v>30.82</v>
      </c>
      <c r="Y17" s="10">
        <v>30.98</v>
      </c>
      <c r="Z17" s="10">
        <v>30.57</v>
      </c>
      <c r="AA17" s="10">
        <v>30.77</v>
      </c>
      <c r="AB17" s="95">
        <v>8429500</v>
      </c>
      <c r="AC17" s="10">
        <v>30.77</v>
      </c>
      <c r="AD17" s="2">
        <f t="shared" si="0"/>
        <v>0.41000000000000014</v>
      </c>
      <c r="AE17" s="138">
        <f t="shared" si="1"/>
        <v>3.2509752925879987E-4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42565</v>
      </c>
      <c r="X18" s="10">
        <v>30.88</v>
      </c>
      <c r="Y18" s="10">
        <v>31.05</v>
      </c>
      <c r="Z18" s="10">
        <v>30.6</v>
      </c>
      <c r="AA18" s="10">
        <v>30.76</v>
      </c>
      <c r="AB18" s="95">
        <v>11306400</v>
      </c>
      <c r="AC18" s="10">
        <v>30.76</v>
      </c>
      <c r="AD18" s="2">
        <f t="shared" si="0"/>
        <v>0.44999999999999929</v>
      </c>
      <c r="AE18" s="138">
        <f t="shared" si="1"/>
        <v>4.2442050277506915E-3</v>
      </c>
    </row>
    <row r="19" spans="1:31" x14ac:dyDescent="0.25">
      <c r="W19" s="133">
        <v>42564</v>
      </c>
      <c r="X19" s="10">
        <v>30.63</v>
      </c>
      <c r="Y19" s="10">
        <v>30.69</v>
      </c>
      <c r="Z19" s="10">
        <v>30.22</v>
      </c>
      <c r="AA19" s="10">
        <v>30.63</v>
      </c>
      <c r="AB19" s="95">
        <v>13303600</v>
      </c>
      <c r="AC19" s="10">
        <v>30.63</v>
      </c>
      <c r="AD19" s="2">
        <f t="shared" si="0"/>
        <v>0.47000000000000242</v>
      </c>
      <c r="AE19" s="138">
        <f t="shared" si="1"/>
        <v>9.8039215686274161E-4</v>
      </c>
    </row>
    <row r="20" spans="1:31" x14ac:dyDescent="0.25">
      <c r="W20" s="133">
        <v>42563</v>
      </c>
      <c r="X20" s="10">
        <v>30.45</v>
      </c>
      <c r="Y20" s="10">
        <v>30.85</v>
      </c>
      <c r="Z20" s="10">
        <v>30.39</v>
      </c>
      <c r="AA20" s="10">
        <v>30.6</v>
      </c>
      <c r="AB20" s="95">
        <v>16786300</v>
      </c>
      <c r="AC20" s="10">
        <v>30.6</v>
      </c>
      <c r="AD20" s="2">
        <f t="shared" si="0"/>
        <v>0.46000000000000085</v>
      </c>
      <c r="AE20" s="138">
        <f t="shared" si="1"/>
        <v>1.5599070693660844E-2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42562</v>
      </c>
      <c r="X21" s="10">
        <v>29.79</v>
      </c>
      <c r="Y21" s="10">
        <v>30.27</v>
      </c>
      <c r="Z21" s="10">
        <v>29.74</v>
      </c>
      <c r="AA21" s="10">
        <v>30.13</v>
      </c>
      <c r="AB21" s="95">
        <v>13870300</v>
      </c>
      <c r="AC21" s="10">
        <v>30.13</v>
      </c>
      <c r="AD21" s="2">
        <f t="shared" si="0"/>
        <v>0.53000000000000114</v>
      </c>
      <c r="AE21" s="138">
        <f t="shared" si="1"/>
        <v>1.5846257585974355E-2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42559</v>
      </c>
      <c r="X22" s="10">
        <v>29.27</v>
      </c>
      <c r="Y22" s="10">
        <v>29.87</v>
      </c>
      <c r="Z22" s="10">
        <v>29.27</v>
      </c>
      <c r="AA22" s="10">
        <v>29.66</v>
      </c>
      <c r="AB22" s="95">
        <v>16659400</v>
      </c>
      <c r="AC22" s="10">
        <v>29.66</v>
      </c>
      <c r="AD22" s="2">
        <f t="shared" si="0"/>
        <v>0.60000000000000142</v>
      </c>
      <c r="AE22" s="138">
        <f t="shared" si="1"/>
        <v>3.2011134307585287E-2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42558</v>
      </c>
      <c r="X23" s="10">
        <v>28.49</v>
      </c>
      <c r="Y23" s="10">
        <v>29.06</v>
      </c>
      <c r="Z23" s="10">
        <v>28.42</v>
      </c>
      <c r="AA23" s="10">
        <v>28.74</v>
      </c>
      <c r="AB23" s="95">
        <v>10842300</v>
      </c>
      <c r="AC23" s="10">
        <v>28.74</v>
      </c>
      <c r="AD23" s="2">
        <f t="shared" si="0"/>
        <v>0.63999999999999702</v>
      </c>
      <c r="AE23" s="138">
        <f t="shared" si="1"/>
        <v>1.1971830985915588E-2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42557</v>
      </c>
      <c r="X24" s="10">
        <v>28</v>
      </c>
      <c r="Y24" s="10">
        <v>28.41</v>
      </c>
      <c r="Z24" s="10">
        <v>27.52</v>
      </c>
      <c r="AA24" s="10">
        <v>28.4</v>
      </c>
      <c r="AB24" s="95">
        <v>14631400</v>
      </c>
      <c r="AC24" s="10">
        <v>28.4</v>
      </c>
      <c r="AD24" s="2">
        <f t="shared" si="0"/>
        <v>0.89000000000000057</v>
      </c>
      <c r="AE24" s="138">
        <f t="shared" si="1"/>
        <v>8.1647142350016466E-3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42556</v>
      </c>
      <c r="X25" s="10">
        <v>28.64</v>
      </c>
      <c r="Y25" s="10">
        <v>28.68</v>
      </c>
      <c r="Z25" s="10">
        <v>28.04</v>
      </c>
      <c r="AA25" s="10">
        <v>28.17</v>
      </c>
      <c r="AB25" s="95">
        <v>12178200</v>
      </c>
      <c r="AC25" s="10">
        <v>28.17</v>
      </c>
      <c r="AD25" s="2">
        <f t="shared" si="0"/>
        <v>0.64000000000000057</v>
      </c>
      <c r="AE25" s="138">
        <f t="shared" si="1"/>
        <v>-2.4922118380062308E-2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42552</v>
      </c>
      <c r="X26" s="10">
        <v>28.69</v>
      </c>
      <c r="Y26" s="10">
        <v>28.98</v>
      </c>
      <c r="Z26" s="10">
        <v>28.36</v>
      </c>
      <c r="AA26" s="10">
        <v>28.89</v>
      </c>
      <c r="AB26" s="95">
        <v>15157900</v>
      </c>
      <c r="AC26" s="10">
        <v>28.89</v>
      </c>
      <c r="AD26" s="2">
        <f t="shared" si="0"/>
        <v>0.62000000000000099</v>
      </c>
      <c r="AE26" s="138">
        <f t="shared" si="1"/>
        <v>2.0848056537102533E-2</v>
      </c>
    </row>
    <row r="27" spans="1:31" x14ac:dyDescent="0.25">
      <c r="W27" s="133">
        <v>42551</v>
      </c>
      <c r="X27" s="10">
        <v>28.18</v>
      </c>
      <c r="Y27" s="10">
        <v>29.66</v>
      </c>
      <c r="Z27" s="10">
        <v>27.7</v>
      </c>
      <c r="AA27" s="10">
        <v>28.3</v>
      </c>
      <c r="AB27" s="95">
        <v>15360600</v>
      </c>
      <c r="AC27" s="10">
        <v>28.3</v>
      </c>
      <c r="AD27" s="2">
        <f t="shared" si="0"/>
        <v>1.9600000000000009</v>
      </c>
      <c r="AE27" s="138">
        <f t="shared" si="1"/>
        <v>4.6148384806532494E-3</v>
      </c>
    </row>
    <row r="28" spans="1:31" x14ac:dyDescent="0.25">
      <c r="W28" s="133">
        <v>42550</v>
      </c>
      <c r="X28" s="10">
        <v>28</v>
      </c>
      <c r="Y28" s="10">
        <v>28.2</v>
      </c>
      <c r="Z28" s="10">
        <v>27.6</v>
      </c>
      <c r="AA28" s="10">
        <v>28.17</v>
      </c>
      <c r="AB28" s="95">
        <v>10644100</v>
      </c>
      <c r="AC28" s="10">
        <v>28.17</v>
      </c>
      <c r="AD28" s="2">
        <f t="shared" si="0"/>
        <v>0.59999999999999787</v>
      </c>
      <c r="AE28" s="138">
        <f t="shared" si="1"/>
        <v>1.5501081470800315E-2</v>
      </c>
    </row>
    <row r="29" spans="1:31" x14ac:dyDescent="0.25">
      <c r="L29" t="s">
        <v>230</v>
      </c>
      <c r="M29" s="2">
        <f>M47+K47-F47</f>
        <v>36.819999999999709</v>
      </c>
      <c r="W29" s="133">
        <v>42549</v>
      </c>
      <c r="X29" s="10">
        <v>27.93</v>
      </c>
      <c r="Y29" s="10">
        <v>27.98</v>
      </c>
      <c r="Z29" s="10">
        <v>27.4</v>
      </c>
      <c r="AA29" s="10">
        <v>27.74</v>
      </c>
      <c r="AB29" s="95">
        <v>14061400</v>
      </c>
      <c r="AC29" s="10">
        <v>27.74</v>
      </c>
      <c r="AD29" s="2">
        <f t="shared" si="0"/>
        <v>0.58000000000000185</v>
      </c>
      <c r="AE29" s="138">
        <f t="shared" si="1"/>
        <v>8.3605961468555812E-3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42548</v>
      </c>
      <c r="X30" s="10">
        <v>28.09</v>
      </c>
      <c r="Y30" s="10">
        <v>28.1</v>
      </c>
      <c r="Z30" s="10">
        <v>27.34</v>
      </c>
      <c r="AA30" s="10">
        <v>27.51</v>
      </c>
      <c r="AB30" s="95">
        <v>18634200</v>
      </c>
      <c r="AC30" s="10">
        <v>27.51</v>
      </c>
      <c r="AD30" s="2">
        <f t="shared" si="0"/>
        <v>0.76000000000000156</v>
      </c>
      <c r="AE30" s="138">
        <f t="shared" si="1"/>
        <v>-2.9629629629629672E-2</v>
      </c>
    </row>
    <row r="31" spans="1:31" x14ac:dyDescent="0.25">
      <c r="A31" s="398" t="s">
        <v>56</v>
      </c>
      <c r="B31" s="539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42545</v>
      </c>
      <c r="X31" s="10">
        <v>28.58</v>
      </c>
      <c r="Y31" s="10">
        <v>29.04</v>
      </c>
      <c r="Z31" s="10">
        <v>28.25</v>
      </c>
      <c r="AA31" s="10">
        <v>28.35</v>
      </c>
      <c r="AB31" s="95">
        <v>30181100</v>
      </c>
      <c r="AC31" s="10">
        <v>28.35</v>
      </c>
      <c r="AD31" s="2">
        <f t="shared" si="0"/>
        <v>0.78999999999999915</v>
      </c>
      <c r="AE31" s="138">
        <f t="shared" si="1"/>
        <v>-4.9295774647887258E-2</v>
      </c>
    </row>
    <row r="32" spans="1:31" x14ac:dyDescent="0.25">
      <c r="A32" s="399" t="s">
        <v>71</v>
      </c>
      <c r="B32" s="539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42544</v>
      </c>
      <c r="X32" s="10">
        <v>29.59</v>
      </c>
      <c r="Y32" s="10">
        <v>29.85</v>
      </c>
      <c r="Z32" s="10">
        <v>29.55</v>
      </c>
      <c r="AA32" s="10">
        <v>29.82</v>
      </c>
      <c r="AB32" s="95">
        <v>9598100</v>
      </c>
      <c r="AC32" s="10">
        <v>29.82</v>
      </c>
      <c r="AD32" s="2">
        <f t="shared" si="0"/>
        <v>0.30000000000000071</v>
      </c>
      <c r="AE32" s="138">
        <f t="shared" si="1"/>
        <v>1.7053206002728416E-2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42543</v>
      </c>
      <c r="X33" s="10">
        <v>29.34</v>
      </c>
      <c r="Y33" s="10">
        <v>29.59</v>
      </c>
      <c r="Z33" s="10">
        <v>29.27</v>
      </c>
      <c r="AA33" s="10">
        <v>29.32</v>
      </c>
      <c r="AB33" s="95">
        <v>8717200</v>
      </c>
      <c r="AC33" s="10">
        <v>29.32</v>
      </c>
      <c r="AD33" s="2">
        <f t="shared" si="0"/>
        <v>0.32000000000000028</v>
      </c>
      <c r="AE33" s="138">
        <f t="shared" si="1"/>
        <v>-6.4384954252796334E-3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42542</v>
      </c>
      <c r="X34" s="10">
        <v>29.64</v>
      </c>
      <c r="Y34" s="10">
        <v>29.77</v>
      </c>
      <c r="Z34" s="10">
        <v>29.43</v>
      </c>
      <c r="AA34" s="10">
        <v>29.51</v>
      </c>
      <c r="AB34" s="95">
        <v>10318000</v>
      </c>
      <c r="AC34" s="10">
        <v>29.51</v>
      </c>
      <c r="AD34" s="2">
        <f t="shared" si="0"/>
        <v>0.33999999999999986</v>
      </c>
      <c r="AE34" s="138">
        <f t="shared" si="1"/>
        <v>-4.7217537942663146E-3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42541</v>
      </c>
      <c r="X35" s="10">
        <v>29.62</v>
      </c>
      <c r="Y35" s="10">
        <v>30.03</v>
      </c>
      <c r="Z35" s="10">
        <v>29.59</v>
      </c>
      <c r="AA35" s="10">
        <v>29.65</v>
      </c>
      <c r="AB35" s="95">
        <v>12329100</v>
      </c>
      <c r="AC35" s="10">
        <v>29.65</v>
      </c>
      <c r="AD35" s="2">
        <f t="shared" si="0"/>
        <v>0.44000000000000128</v>
      </c>
      <c r="AE35" s="138">
        <f t="shared" si="1"/>
        <v>1.436879917892564E-2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42538</v>
      </c>
      <c r="X36" s="10">
        <v>29.14</v>
      </c>
      <c r="Y36" s="10">
        <v>29.43</v>
      </c>
      <c r="Z36" s="10">
        <v>29.06</v>
      </c>
      <c r="AA36" s="10">
        <v>29.23</v>
      </c>
      <c r="AB36" s="95">
        <v>12707400</v>
      </c>
      <c r="AC36" s="10">
        <v>29.23</v>
      </c>
      <c r="AD36" s="2">
        <f t="shared" si="0"/>
        <v>0.37000000000000099</v>
      </c>
      <c r="AE36" s="138">
        <f t="shared" si="1"/>
        <v>7.2363886974500247E-3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42537</v>
      </c>
      <c r="X37" s="10">
        <v>28.67</v>
      </c>
      <c r="Y37" s="10">
        <v>29.07</v>
      </c>
      <c r="Z37" s="10">
        <v>28.5</v>
      </c>
      <c r="AA37" s="10">
        <v>29.02</v>
      </c>
      <c r="AB37" s="95">
        <v>9654400</v>
      </c>
      <c r="AC37" s="10">
        <v>29.02</v>
      </c>
      <c r="AD37" s="2">
        <f t="shared" si="0"/>
        <v>0.57000000000000028</v>
      </c>
      <c r="AE37" s="138">
        <f t="shared" si="1"/>
        <v>5.5440055440054703E-3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42536</v>
      </c>
      <c r="X38" s="10">
        <v>28.98</v>
      </c>
      <c r="Y38" s="10">
        <v>29.22</v>
      </c>
      <c r="Z38" s="10">
        <v>28.79</v>
      </c>
      <c r="AA38" s="10">
        <v>28.86</v>
      </c>
      <c r="AB38" s="95">
        <v>8479900</v>
      </c>
      <c r="AC38" s="10">
        <v>28.86</v>
      </c>
      <c r="AD38" s="2">
        <f t="shared" si="0"/>
        <v>0.42999999999999972</v>
      </c>
      <c r="AE38" s="138">
        <f t="shared" si="1"/>
        <v>1.0405827263266776E-3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42535</v>
      </c>
      <c r="X39" s="10">
        <v>29.07</v>
      </c>
      <c r="Y39" s="10">
        <v>29.31</v>
      </c>
      <c r="Z39" s="10">
        <v>28.65</v>
      </c>
      <c r="AA39" s="10">
        <v>28.83</v>
      </c>
      <c r="AB39" s="95">
        <v>10751700</v>
      </c>
      <c r="AC39" s="10">
        <v>28.83</v>
      </c>
      <c r="AD39" s="2">
        <f t="shared" si="0"/>
        <v>0.66000000000000014</v>
      </c>
      <c r="AE39" s="138">
        <f t="shared" si="1"/>
        <v>-8.5969738651994199E-3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42534</v>
      </c>
      <c r="X40" s="10">
        <v>28.85</v>
      </c>
      <c r="Y40" s="10">
        <v>29.4</v>
      </c>
      <c r="Z40" s="10">
        <v>28.8</v>
      </c>
      <c r="AA40" s="10">
        <v>29.08</v>
      </c>
      <c r="AB40" s="95">
        <v>13871300</v>
      </c>
      <c r="AC40" s="10">
        <v>29.08</v>
      </c>
      <c r="AD40" s="2">
        <f t="shared" si="0"/>
        <v>0.59999999999999787</v>
      </c>
      <c r="AE40" s="138">
        <f t="shared" si="1"/>
        <v>6.8823124569861172E-4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525" t="s">
        <v>78</v>
      </c>
      <c r="P41" s="525"/>
      <c r="W41" s="133">
        <v>42531</v>
      </c>
      <c r="X41" s="10">
        <v>29.22</v>
      </c>
      <c r="Y41" s="10">
        <v>29.34</v>
      </c>
      <c r="Z41" s="10">
        <v>28.98</v>
      </c>
      <c r="AA41" s="10">
        <v>29.06</v>
      </c>
      <c r="AB41" s="95">
        <v>10740400</v>
      </c>
      <c r="AC41" s="10">
        <v>29.06</v>
      </c>
      <c r="AD41" s="2">
        <f t="shared" si="0"/>
        <v>0.35999999999999943</v>
      </c>
      <c r="AE41" s="138">
        <f t="shared" si="1"/>
        <v>-1.021798365122617E-2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33.968000000000004</v>
      </c>
      <c r="Q42" s="2"/>
      <c r="T42" s="91" t="s">
        <v>113</v>
      </c>
      <c r="W42" s="133">
        <v>42530</v>
      </c>
      <c r="X42" s="10">
        <v>29.48</v>
      </c>
      <c r="Y42" s="10">
        <v>29.5</v>
      </c>
      <c r="Z42" s="10">
        <v>29.16</v>
      </c>
      <c r="AA42" s="10">
        <v>29.36</v>
      </c>
      <c r="AB42" s="95">
        <v>11907500</v>
      </c>
      <c r="AC42" s="10">
        <v>29.36</v>
      </c>
      <c r="AD42" s="2">
        <f t="shared" si="0"/>
        <v>0.33999999999999986</v>
      </c>
      <c r="AE42" s="138">
        <f t="shared" si="1"/>
        <v>-7.1017923571187191E-3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33.659199999999998</v>
      </c>
      <c r="Q43" s="2"/>
      <c r="T43" s="161" t="s">
        <v>98</v>
      </c>
      <c r="U43" s="161">
        <v>30.34</v>
      </c>
      <c r="W43" s="133">
        <v>42529</v>
      </c>
      <c r="X43" s="10">
        <v>30</v>
      </c>
      <c r="Y43" s="10">
        <v>30.03</v>
      </c>
      <c r="Z43" s="10">
        <v>29.52</v>
      </c>
      <c r="AA43" s="10">
        <v>29.57</v>
      </c>
      <c r="AB43" s="95">
        <v>12990900</v>
      </c>
      <c r="AC43" s="10">
        <v>29.57</v>
      </c>
      <c r="AD43" s="2">
        <f t="shared" si="0"/>
        <v>0.51000000000000156</v>
      </c>
      <c r="AE43" s="138" t="e">
        <f t="shared" si="1"/>
        <v>#DIV/0!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33.3504</v>
      </c>
      <c r="Q44" s="2"/>
      <c r="T44" s="10" t="s">
        <v>99</v>
      </c>
      <c r="U44" s="10">
        <v>30.51</v>
      </c>
      <c r="W44" s="133">
        <v>42529</v>
      </c>
      <c r="X44" s="10" t="s">
        <v>196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33.041600000000003</v>
      </c>
      <c r="Q45" s="2"/>
      <c r="T45" s="10" t="s">
        <v>100</v>
      </c>
      <c r="U45" s="10" t="s">
        <v>457</v>
      </c>
      <c r="W45" s="133">
        <v>42528</v>
      </c>
      <c r="X45" s="10">
        <v>30.16</v>
      </c>
      <c r="Y45" s="10">
        <v>30.38</v>
      </c>
      <c r="Z45" s="10">
        <v>29.95</v>
      </c>
      <c r="AA45" s="10">
        <v>30.23</v>
      </c>
      <c r="AB45" s="95">
        <v>14425700</v>
      </c>
      <c r="AC45" s="10">
        <v>29.85</v>
      </c>
      <c r="AD45" s="2">
        <f t="shared" si="0"/>
        <v>0.42999999999999972</v>
      </c>
      <c r="AE45" s="138">
        <f t="shared" si="1"/>
        <v>8.1053698074975422E-3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32.732799999999997</v>
      </c>
      <c r="Q46" s="2"/>
      <c r="T46" s="10" t="s">
        <v>101</v>
      </c>
      <c r="U46" s="10" t="s">
        <v>458</v>
      </c>
      <c r="W46" s="133">
        <v>42527</v>
      </c>
      <c r="X46" s="10">
        <v>29.85</v>
      </c>
      <c r="Y46" s="10">
        <v>30.04</v>
      </c>
      <c r="Z46" s="10">
        <v>29.72</v>
      </c>
      <c r="AA46" s="10">
        <v>29.99</v>
      </c>
      <c r="AB46" s="95">
        <v>10985800</v>
      </c>
      <c r="AC46" s="10">
        <v>29.61</v>
      </c>
      <c r="AD46" s="2">
        <f t="shared" si="0"/>
        <v>0.32000000000000028</v>
      </c>
      <c r="AE46" s="138">
        <f t="shared" si="1"/>
        <v>1.300034211426615E-2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32.423999999999999</v>
      </c>
      <c r="Q47" s="2"/>
      <c r="T47" s="10" t="s">
        <v>102</v>
      </c>
      <c r="U47" s="10">
        <v>36.53</v>
      </c>
      <c r="W47" s="133">
        <v>42524</v>
      </c>
      <c r="X47" s="10">
        <v>30.09</v>
      </c>
      <c r="Y47" s="10">
        <v>30.15</v>
      </c>
      <c r="Z47" s="10">
        <v>29.51</v>
      </c>
      <c r="AA47" s="10">
        <v>29.6</v>
      </c>
      <c r="AB47" s="95">
        <v>18549600</v>
      </c>
      <c r="AC47" s="10">
        <v>29.23</v>
      </c>
      <c r="AD47" s="2">
        <f t="shared" si="0"/>
        <v>0.63999999999999702</v>
      </c>
      <c r="AE47" s="138">
        <f t="shared" si="1"/>
        <v>-2.1753681392235547E-2</v>
      </c>
    </row>
    <row r="48" spans="1:31" x14ac:dyDescent="0.25">
      <c r="O48" s="83">
        <v>1.04</v>
      </c>
      <c r="P48" s="83">
        <f t="shared" si="2"/>
        <v>32.115200000000002</v>
      </c>
      <c r="Q48" s="2"/>
      <c r="T48" s="10" t="s">
        <v>103</v>
      </c>
      <c r="U48" s="10">
        <v>1.65374</v>
      </c>
      <c r="W48" s="133">
        <v>42523</v>
      </c>
      <c r="X48" s="10">
        <v>30.13</v>
      </c>
      <c r="Y48" s="10">
        <v>30.46</v>
      </c>
      <c r="Z48" s="10">
        <v>30.05</v>
      </c>
      <c r="AA48" s="10">
        <v>30.26</v>
      </c>
      <c r="AB48" s="95">
        <v>12649300</v>
      </c>
      <c r="AC48" s="10">
        <v>29.88</v>
      </c>
      <c r="AD48" s="2">
        <f t="shared" si="0"/>
        <v>0.41000000000000014</v>
      </c>
      <c r="AE48" s="138">
        <f t="shared" si="1"/>
        <v>1.3404825737264314E-3</v>
      </c>
    </row>
    <row r="49" spans="15:31" x14ac:dyDescent="0.25">
      <c r="O49" s="83">
        <v>1.03</v>
      </c>
      <c r="P49" s="83">
        <f t="shared" si="2"/>
        <v>31.8064</v>
      </c>
      <c r="Q49" s="2"/>
      <c r="T49" s="10" t="s">
        <v>123</v>
      </c>
      <c r="U49" s="10" t="s">
        <v>335</v>
      </c>
      <c r="W49" s="133">
        <v>42522</v>
      </c>
      <c r="X49" s="10">
        <v>31.15</v>
      </c>
      <c r="Y49" s="10">
        <v>31.15</v>
      </c>
      <c r="Z49" s="10">
        <v>29.87</v>
      </c>
      <c r="AA49" s="10">
        <v>30.22</v>
      </c>
      <c r="AB49" s="95">
        <v>26002300</v>
      </c>
      <c r="AC49" s="10">
        <v>29.84</v>
      </c>
      <c r="AD49" s="2">
        <f t="shared" si="0"/>
        <v>1.2799999999999976</v>
      </c>
      <c r="AE49" s="138">
        <f t="shared" si="1"/>
        <v>-3.3991583036581452E-2</v>
      </c>
    </row>
    <row r="50" spans="15:31" x14ac:dyDescent="0.25">
      <c r="O50" s="83">
        <v>1.02</v>
      </c>
      <c r="P50" s="83">
        <f t="shared" si="2"/>
        <v>31.497599999999998</v>
      </c>
      <c r="Q50" s="2"/>
      <c r="T50" s="10"/>
      <c r="U50" s="10"/>
      <c r="W50" s="133">
        <v>42521</v>
      </c>
      <c r="X50" s="10">
        <v>31.54</v>
      </c>
      <c r="Y50" s="10">
        <v>31.62</v>
      </c>
      <c r="Z50" s="10">
        <v>31.13</v>
      </c>
      <c r="AA50" s="10">
        <v>31.28</v>
      </c>
      <c r="AB50" s="95">
        <v>11803400</v>
      </c>
      <c r="AC50" s="10">
        <v>30.89</v>
      </c>
      <c r="AD50" s="2">
        <f t="shared" si="0"/>
        <v>0.49000000000000199</v>
      </c>
      <c r="AE50" s="138">
        <f t="shared" si="1"/>
        <v>-3.548387096774186E-3</v>
      </c>
    </row>
    <row r="51" spans="15:31" x14ac:dyDescent="0.25">
      <c r="O51" s="83">
        <v>1.01</v>
      </c>
      <c r="P51" s="83">
        <f t="shared" si="2"/>
        <v>31.188800000000001</v>
      </c>
      <c r="Q51" s="2"/>
      <c r="T51" s="10" t="s">
        <v>105</v>
      </c>
      <c r="U51" s="10" t="s">
        <v>459</v>
      </c>
      <c r="W51" s="133">
        <v>42517</v>
      </c>
      <c r="X51" s="10">
        <v>31.31</v>
      </c>
      <c r="Y51" s="10">
        <v>31.64</v>
      </c>
      <c r="Z51" s="10">
        <v>31.26</v>
      </c>
      <c r="AA51" s="10">
        <v>31.39</v>
      </c>
      <c r="AB51" s="95">
        <v>6089800</v>
      </c>
      <c r="AC51" s="10">
        <v>31</v>
      </c>
      <c r="AD51" s="2">
        <f t="shared" si="0"/>
        <v>0.37999999999999901</v>
      </c>
      <c r="AE51" s="138">
        <f t="shared" si="1"/>
        <v>3.2362459546926292E-3</v>
      </c>
    </row>
    <row r="52" spans="15:31" x14ac:dyDescent="0.25">
      <c r="O52" s="83">
        <v>1</v>
      </c>
      <c r="P52" s="83">
        <f t="shared" si="2"/>
        <v>30.88</v>
      </c>
      <c r="Q52" s="2"/>
      <c r="T52" s="10" t="s">
        <v>106</v>
      </c>
      <c r="U52" s="10" t="s">
        <v>210</v>
      </c>
      <c r="W52" s="133">
        <v>42516</v>
      </c>
      <c r="X52" s="10">
        <v>31.65</v>
      </c>
      <c r="Y52" s="10">
        <v>31.75</v>
      </c>
      <c r="Z52" s="10">
        <v>31.18</v>
      </c>
      <c r="AA52" s="10">
        <v>31.29</v>
      </c>
      <c r="AB52" s="95">
        <v>6747700</v>
      </c>
      <c r="AC52" s="10">
        <v>30.9</v>
      </c>
      <c r="AD52" s="2">
        <f t="shared" si="0"/>
        <v>0.57000000000000028</v>
      </c>
      <c r="AE52" s="138">
        <f t="shared" si="1"/>
        <v>-1.1200000000000099E-2</v>
      </c>
    </row>
    <row r="53" spans="15:31" x14ac:dyDescent="0.25">
      <c r="O53" s="83">
        <v>0.99</v>
      </c>
      <c r="P53" s="83">
        <f t="shared" si="2"/>
        <v>30.571199999999997</v>
      </c>
      <c r="Q53" s="2"/>
      <c r="T53" s="10" t="s">
        <v>107</v>
      </c>
      <c r="U53" s="95">
        <v>13135880</v>
      </c>
      <c r="W53" s="133">
        <v>42515</v>
      </c>
      <c r="X53" s="10">
        <v>31.19</v>
      </c>
      <c r="Y53" s="10">
        <v>31.77</v>
      </c>
      <c r="Z53" s="10">
        <v>31.12</v>
      </c>
      <c r="AA53" s="10">
        <v>31.65</v>
      </c>
      <c r="AB53" s="95">
        <v>10151600</v>
      </c>
      <c r="AC53" s="10">
        <v>31.25</v>
      </c>
      <c r="AD53" s="2">
        <f t="shared" si="0"/>
        <v>0.64999999999999858</v>
      </c>
      <c r="AE53" s="138">
        <f t="shared" si="1"/>
        <v>1.924331376386168E-2</v>
      </c>
    </row>
    <row r="54" spans="15:31" x14ac:dyDescent="0.25">
      <c r="O54" s="83">
        <v>0.98</v>
      </c>
      <c r="P54" s="83">
        <f t="shared" si="2"/>
        <v>30.2624</v>
      </c>
      <c r="Q54" s="2"/>
      <c r="T54" s="10" t="s">
        <v>110</v>
      </c>
      <c r="U54" s="95">
        <v>13007400</v>
      </c>
      <c r="W54" s="133">
        <v>42514</v>
      </c>
      <c r="X54" s="10">
        <v>30.65</v>
      </c>
      <c r="Y54" s="10">
        <v>31.08</v>
      </c>
      <c r="Z54" s="10">
        <v>30.62</v>
      </c>
      <c r="AA54" s="10">
        <v>31.05</v>
      </c>
      <c r="AB54" s="95">
        <v>8743100</v>
      </c>
      <c r="AC54" s="10">
        <v>30.66</v>
      </c>
      <c r="AD54" s="2">
        <f t="shared" si="0"/>
        <v>0.4599999999999973</v>
      </c>
      <c r="AE54" s="138">
        <f t="shared" si="1"/>
        <v>1.4895729890764597E-2</v>
      </c>
    </row>
    <row r="55" spans="15:31" x14ac:dyDescent="0.25">
      <c r="O55" s="83">
        <v>0.97</v>
      </c>
      <c r="P55" s="83">
        <f t="shared" si="2"/>
        <v>29.953599999999998</v>
      </c>
      <c r="T55" s="10" t="s">
        <v>108</v>
      </c>
      <c r="U55" s="10" t="s">
        <v>460</v>
      </c>
      <c r="W55" s="133">
        <v>42513</v>
      </c>
      <c r="X55" s="10">
        <v>30.5</v>
      </c>
      <c r="Y55" s="10">
        <v>30.63</v>
      </c>
      <c r="Z55" s="10">
        <v>30.35</v>
      </c>
      <c r="AA55" s="10">
        <v>30.59</v>
      </c>
      <c r="AB55" s="95">
        <v>6698900</v>
      </c>
      <c r="AC55" s="10">
        <v>30.21</v>
      </c>
      <c r="AD55" s="2">
        <f t="shared" si="0"/>
        <v>0.27999999999999758</v>
      </c>
      <c r="AE55" s="138">
        <f t="shared" si="1"/>
        <v>6.6247101689298482E-4</v>
      </c>
    </row>
    <row r="56" spans="15:31" x14ac:dyDescent="0.25">
      <c r="O56" s="83">
        <v>0.96</v>
      </c>
      <c r="P56" s="83">
        <f t="shared" si="2"/>
        <v>29.644799999999996</v>
      </c>
      <c r="T56" s="10" t="s">
        <v>111</v>
      </c>
      <c r="U56" s="10">
        <v>3.94</v>
      </c>
      <c r="W56" s="133">
        <v>42510</v>
      </c>
      <c r="X56" s="10">
        <v>30.51</v>
      </c>
      <c r="Y56" s="10">
        <v>30.79</v>
      </c>
      <c r="Z56" s="10">
        <v>30.4</v>
      </c>
      <c r="AA56" s="10">
        <v>30.57</v>
      </c>
      <c r="AB56" s="95">
        <v>7736100</v>
      </c>
      <c r="AC56" s="10">
        <v>30.19</v>
      </c>
      <c r="AD56" s="2">
        <f t="shared" si="0"/>
        <v>0.39000000000000057</v>
      </c>
      <c r="AE56" s="138">
        <f t="shared" si="1"/>
        <v>8.3500334001336274E-3</v>
      </c>
    </row>
    <row r="57" spans="15:31" x14ac:dyDescent="0.25">
      <c r="O57" s="83">
        <v>0.95</v>
      </c>
      <c r="P57" s="83">
        <f t="shared" si="2"/>
        <v>29.335999999999999</v>
      </c>
      <c r="T57" s="10" t="s">
        <v>112</v>
      </c>
      <c r="U57" s="10">
        <v>7.81</v>
      </c>
      <c r="W57" s="133">
        <v>42509</v>
      </c>
      <c r="X57" s="10">
        <v>30.51</v>
      </c>
      <c r="Y57" s="10">
        <v>30.68</v>
      </c>
      <c r="Z57" s="10">
        <v>30.17</v>
      </c>
      <c r="AA57" s="10">
        <v>30.32</v>
      </c>
      <c r="AB57" s="95">
        <v>10142200</v>
      </c>
      <c r="AC57" s="10">
        <v>29.94</v>
      </c>
      <c r="AD57" s="2">
        <f t="shared" si="0"/>
        <v>0.50999999999999801</v>
      </c>
      <c r="AE57" s="138">
        <f t="shared" si="1"/>
        <v>-1.383399209486158E-2</v>
      </c>
    </row>
    <row r="58" spans="15:31" x14ac:dyDescent="0.25">
      <c r="O58" s="83">
        <v>0.94</v>
      </c>
      <c r="P58" s="83">
        <f t="shared" si="2"/>
        <v>29.027199999999997</v>
      </c>
      <c r="T58" s="10" t="s">
        <v>109</v>
      </c>
      <c r="U58" s="10" t="s">
        <v>574</v>
      </c>
      <c r="W58" s="133">
        <v>42508</v>
      </c>
      <c r="X58" s="10">
        <v>30.56</v>
      </c>
      <c r="Y58" s="10">
        <v>31.04</v>
      </c>
      <c r="Z58" s="10">
        <v>30.44</v>
      </c>
      <c r="AA58" s="10">
        <v>30.75</v>
      </c>
      <c r="AB58" s="95">
        <v>8454200</v>
      </c>
      <c r="AC58" s="10">
        <v>30.36</v>
      </c>
      <c r="AD58" s="2">
        <f t="shared" si="0"/>
        <v>0.59999999999999787</v>
      </c>
      <c r="AE58" s="138">
        <f t="shared" si="1"/>
        <v>3.9682539682539542E-3</v>
      </c>
    </row>
    <row r="59" spans="15:31" x14ac:dyDescent="0.25">
      <c r="O59" s="83">
        <v>0.93</v>
      </c>
      <c r="P59" s="83">
        <f t="shared" si="2"/>
        <v>28.718399999999999</v>
      </c>
      <c r="W59" s="133">
        <v>42507</v>
      </c>
      <c r="X59" s="10">
        <v>30.4</v>
      </c>
      <c r="Y59" s="10">
        <v>30.78</v>
      </c>
      <c r="Z59" s="10">
        <v>30.28</v>
      </c>
      <c r="AA59" s="10">
        <v>30.63</v>
      </c>
      <c r="AB59" s="95">
        <v>9542900</v>
      </c>
      <c r="AC59" s="10">
        <v>30.24</v>
      </c>
      <c r="AD59" s="2">
        <f t="shared" si="0"/>
        <v>0.5</v>
      </c>
      <c r="AE59" s="138">
        <f t="shared" si="1"/>
        <v>-1.3210039630119352E-3</v>
      </c>
    </row>
    <row r="60" spans="15:31" x14ac:dyDescent="0.25">
      <c r="O60" s="83">
        <v>0.92</v>
      </c>
      <c r="P60" s="83">
        <f t="shared" si="2"/>
        <v>28.409600000000001</v>
      </c>
      <c r="W60" s="133">
        <v>42506</v>
      </c>
      <c r="X60" s="10">
        <v>30.5</v>
      </c>
      <c r="Y60" s="10">
        <v>30.98</v>
      </c>
      <c r="Z60" s="10">
        <v>30.5</v>
      </c>
      <c r="AA60" s="10">
        <v>30.67</v>
      </c>
      <c r="AB60" s="95">
        <v>17749500</v>
      </c>
      <c r="AC60" s="10">
        <v>30.28</v>
      </c>
      <c r="AD60" s="2">
        <f t="shared" si="0"/>
        <v>0.48000000000000043</v>
      </c>
      <c r="AE60" s="138">
        <f t="shared" si="1"/>
        <v>4.644990046450026E-3</v>
      </c>
    </row>
    <row r="61" spans="15:31" x14ac:dyDescent="0.25">
      <c r="O61" s="83">
        <v>0.91</v>
      </c>
      <c r="P61" s="83">
        <f t="shared" si="2"/>
        <v>28.1008</v>
      </c>
      <c r="W61" s="133">
        <v>42503</v>
      </c>
      <c r="X61" s="10">
        <v>30.87</v>
      </c>
      <c r="Y61" s="10">
        <v>31.29</v>
      </c>
      <c r="Z61" s="10">
        <v>30.37</v>
      </c>
      <c r="AA61" s="10">
        <v>30.52</v>
      </c>
      <c r="AB61" s="95">
        <v>10563400</v>
      </c>
      <c r="AC61" s="10">
        <v>30.14</v>
      </c>
      <c r="AD61" s="2">
        <f t="shared" si="0"/>
        <v>0.91999999999999815</v>
      </c>
      <c r="AE61" s="138">
        <f t="shared" si="1"/>
        <v>-2.1110750243585552E-2</v>
      </c>
    </row>
    <row r="62" spans="15:31" x14ac:dyDescent="0.25">
      <c r="O62" s="83">
        <v>0.9</v>
      </c>
      <c r="P62" s="83">
        <f t="shared" si="2"/>
        <v>27.791999999999998</v>
      </c>
      <c r="W62" s="133">
        <v>42502</v>
      </c>
      <c r="X62" s="10">
        <v>31.2</v>
      </c>
      <c r="Y62" s="10">
        <v>31.37</v>
      </c>
      <c r="Z62" s="10">
        <v>30.75</v>
      </c>
      <c r="AA62" s="10">
        <v>31.18</v>
      </c>
      <c r="AB62" s="95">
        <v>9411500</v>
      </c>
      <c r="AC62" s="10">
        <v>30.79</v>
      </c>
      <c r="AD62" s="2">
        <f t="shared" si="0"/>
        <v>0.62000000000000099</v>
      </c>
      <c r="AE62" s="138">
        <f t="shared" si="1"/>
        <v>3.2583903551643978E-3</v>
      </c>
    </row>
    <row r="63" spans="15:31" x14ac:dyDescent="0.25">
      <c r="W63" s="133">
        <v>42501</v>
      </c>
      <c r="X63" s="10">
        <v>31.32</v>
      </c>
      <c r="Y63" s="10">
        <v>31.46</v>
      </c>
      <c r="Z63" s="10">
        <v>31</v>
      </c>
      <c r="AA63" s="10">
        <v>31.08</v>
      </c>
      <c r="AB63" s="95">
        <v>8538100</v>
      </c>
      <c r="AC63" s="10">
        <v>30.69</v>
      </c>
      <c r="AD63" s="2">
        <f t="shared" si="0"/>
        <v>0.46000000000000085</v>
      </c>
      <c r="AE63" s="138">
        <f t="shared" si="1"/>
        <v>-8.720930232558155E-3</v>
      </c>
    </row>
    <row r="64" spans="15:31" x14ac:dyDescent="0.25">
      <c r="W64" s="133">
        <v>42500</v>
      </c>
      <c r="X64" s="10">
        <v>30.9</v>
      </c>
      <c r="Y64" s="10">
        <v>31.37</v>
      </c>
      <c r="Z64" s="10">
        <v>30.84</v>
      </c>
      <c r="AA64" s="10">
        <v>31.35</v>
      </c>
      <c r="AB64" s="95">
        <v>9185400</v>
      </c>
      <c r="AC64" s="10">
        <v>30.96</v>
      </c>
      <c r="AD64" s="2">
        <f t="shared" si="0"/>
        <v>0.53000000000000114</v>
      </c>
      <c r="AE64" s="138">
        <f t="shared" si="1"/>
        <v>1.875616979269501E-2</v>
      </c>
    </row>
    <row r="65" spans="23:31" x14ac:dyDescent="0.25">
      <c r="W65" s="133">
        <v>42499</v>
      </c>
      <c r="X65" s="10">
        <v>31</v>
      </c>
      <c r="Y65" s="10">
        <v>31.07</v>
      </c>
      <c r="Z65" s="10">
        <v>30.54</v>
      </c>
      <c r="AA65" s="10">
        <v>30.78</v>
      </c>
      <c r="AB65" s="95">
        <v>8127200</v>
      </c>
      <c r="AC65" s="10">
        <v>30.39</v>
      </c>
      <c r="AD65" s="2">
        <f t="shared" si="0"/>
        <v>0.53000000000000114</v>
      </c>
      <c r="AE65" s="138">
        <f t="shared" si="1"/>
        <v>-5.8881256133463955E-3</v>
      </c>
    </row>
    <row r="66" spans="23:31" x14ac:dyDescent="0.25">
      <c r="W66" s="133">
        <v>42496</v>
      </c>
      <c r="X66" s="10">
        <v>30.73</v>
      </c>
      <c r="Y66" s="10">
        <v>31.11</v>
      </c>
      <c r="Z66" s="10">
        <v>30.56</v>
      </c>
      <c r="AA66" s="10">
        <v>30.96</v>
      </c>
      <c r="AB66" s="95">
        <v>11427900</v>
      </c>
      <c r="AC66" s="10">
        <v>30.57</v>
      </c>
      <c r="AD66" s="2">
        <f t="shared" si="0"/>
        <v>0.55000000000000071</v>
      </c>
      <c r="AE66" s="138">
        <f t="shared" si="1"/>
        <v>1.3594164456233404E-2</v>
      </c>
    </row>
    <row r="67" spans="23:31" x14ac:dyDescent="0.25">
      <c r="W67" s="133">
        <v>42495</v>
      </c>
      <c r="X67" s="10">
        <v>30.79</v>
      </c>
      <c r="Y67" s="10">
        <v>30.81</v>
      </c>
      <c r="Z67" s="10">
        <v>30.3</v>
      </c>
      <c r="AA67" s="10">
        <v>30.54</v>
      </c>
      <c r="AB67" s="95">
        <v>10383800</v>
      </c>
      <c r="AC67" s="10">
        <v>30.16</v>
      </c>
      <c r="AD67" s="2">
        <f>Y67-Z67</f>
        <v>0.50999999999999801</v>
      </c>
      <c r="AE67" s="138">
        <f>AC67/AC68-1</f>
        <v>-1.6550810989738318E-3</v>
      </c>
    </row>
    <row r="68" spans="23:31" x14ac:dyDescent="0.25">
      <c r="W68" s="133">
        <v>42494</v>
      </c>
      <c r="X68" s="10">
        <v>31</v>
      </c>
      <c r="Y68" s="10">
        <v>31.09</v>
      </c>
      <c r="Z68" s="10">
        <v>30.42</v>
      </c>
      <c r="AA68" s="10">
        <v>30.59</v>
      </c>
      <c r="AB68" s="95">
        <v>13574700</v>
      </c>
      <c r="AC68" s="10">
        <v>30.21</v>
      </c>
      <c r="AD68" s="2">
        <f>Y68-Z68</f>
        <v>0.66999999999999815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42587</v>
      </c>
      <c r="X2" s="10">
        <v>157.32</v>
      </c>
      <c r="Y2" s="10">
        <v>157.81</v>
      </c>
      <c r="Z2" s="10">
        <v>156.82</v>
      </c>
      <c r="AA2" s="10">
        <v>157.51</v>
      </c>
      <c r="AB2" s="95">
        <v>893000</v>
      </c>
      <c r="AC2" s="10">
        <v>157.51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156.52000000000001</v>
      </c>
      <c r="W3" s="133">
        <v>42586</v>
      </c>
      <c r="X3" s="10">
        <v>156.62</v>
      </c>
      <c r="Y3" s="10">
        <v>157.69</v>
      </c>
      <c r="Z3" s="10">
        <v>156.25</v>
      </c>
      <c r="AA3" s="10">
        <v>156.41999999999999</v>
      </c>
      <c r="AB3" s="95">
        <v>893300</v>
      </c>
      <c r="AC3" s="10">
        <v>156.41999999999999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156.52000000000001</v>
      </c>
      <c r="W4" s="133">
        <v>42585</v>
      </c>
      <c r="X4" s="10">
        <v>156.83000000000001</v>
      </c>
      <c r="Y4" s="10">
        <v>156.83000000000001</v>
      </c>
      <c r="Z4" s="10">
        <v>155.66999999999999</v>
      </c>
      <c r="AA4" s="10">
        <v>156</v>
      </c>
      <c r="AB4" s="95">
        <v>1039700</v>
      </c>
      <c r="AC4" s="10">
        <v>156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42584</v>
      </c>
      <c r="X5" s="10">
        <v>159.53</v>
      </c>
      <c r="Y5" s="10">
        <v>159.79</v>
      </c>
      <c r="Z5" s="10">
        <v>155.88999999999999</v>
      </c>
      <c r="AA5" s="10">
        <v>156.44</v>
      </c>
      <c r="AB5" s="95">
        <v>1711300</v>
      </c>
      <c r="AC5" s="10">
        <v>156.44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42583</v>
      </c>
      <c r="X6" s="10">
        <v>158.75</v>
      </c>
      <c r="Y6" s="10">
        <v>160.68</v>
      </c>
      <c r="Z6" s="10">
        <v>158.57</v>
      </c>
      <c r="AA6" s="10">
        <v>159.56</v>
      </c>
      <c r="AB6" s="95">
        <v>1794000</v>
      </c>
      <c r="AC6" s="10">
        <v>159.56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188</v>
      </c>
      <c r="Q7" s="2">
        <f>Q10+Q8</f>
        <v>171.47000000000003</v>
      </c>
      <c r="R7">
        <v>0</v>
      </c>
      <c r="W7" s="133">
        <v>42580</v>
      </c>
      <c r="X7" s="10">
        <v>158.94</v>
      </c>
      <c r="Y7" s="10">
        <v>159.99</v>
      </c>
      <c r="Z7" s="10">
        <v>158.38</v>
      </c>
      <c r="AA7" s="10">
        <v>158.84</v>
      </c>
      <c r="AB7" s="95">
        <v>1438600</v>
      </c>
      <c r="AC7" s="10">
        <v>158.84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192</v>
      </c>
      <c r="P8" s="34"/>
      <c r="Q8" s="2">
        <f>K18+M18-F18+Q2*Q4</f>
        <v>0</v>
      </c>
      <c r="W8" s="133">
        <v>42579</v>
      </c>
      <c r="X8" s="10">
        <v>157.16</v>
      </c>
      <c r="Y8" s="10">
        <v>159.26</v>
      </c>
      <c r="Z8" s="10">
        <v>156.56</v>
      </c>
      <c r="AA8" s="10">
        <v>158.82</v>
      </c>
      <c r="AB8" s="95">
        <v>1654700</v>
      </c>
      <c r="AC8" s="10">
        <v>158.82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231</v>
      </c>
      <c r="Q9" s="138">
        <f>IF(Q2=0, 0, Q8/Q6)</f>
        <v>0</v>
      </c>
      <c r="W9" s="133">
        <v>42578</v>
      </c>
      <c r="X9" s="10">
        <v>159.38999999999999</v>
      </c>
      <c r="Y9" s="10">
        <v>159.5</v>
      </c>
      <c r="Z9" s="10">
        <v>157.47999999999999</v>
      </c>
      <c r="AA9" s="10">
        <v>158.9</v>
      </c>
      <c r="AB9" s="95">
        <v>1536800</v>
      </c>
      <c r="AC9" s="10">
        <v>158.9</v>
      </c>
      <c r="AD9" s="2"/>
      <c r="AE9" s="138"/>
    </row>
    <row r="10" spans="1:43" x14ac:dyDescent="0.25">
      <c r="O10" s="11" t="s">
        <v>230</v>
      </c>
      <c r="P10" s="34"/>
      <c r="Q10" s="2">
        <f>M34</f>
        <v>171.47000000000003</v>
      </c>
      <c r="W10" s="133">
        <v>42577</v>
      </c>
      <c r="X10" s="10">
        <v>157</v>
      </c>
      <c r="Y10" s="10">
        <v>159.13</v>
      </c>
      <c r="Z10" s="10">
        <v>156.30000000000001</v>
      </c>
      <c r="AA10" s="10">
        <v>158.88999999999999</v>
      </c>
      <c r="AB10" s="95">
        <v>1508200</v>
      </c>
      <c r="AC10" s="10">
        <v>158.88999999999999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3.8E-3</v>
      </c>
      <c r="W11" s="133">
        <v>42576</v>
      </c>
      <c r="X11" s="10">
        <v>157</v>
      </c>
      <c r="Y11" s="10">
        <v>157.56</v>
      </c>
      <c r="Z11" s="10">
        <v>156.29</v>
      </c>
      <c r="AA11" s="10">
        <v>156.97999999999999</v>
      </c>
      <c r="AB11" s="95">
        <v>1119400</v>
      </c>
      <c r="AC11" s="10">
        <v>156.97999999999999</v>
      </c>
      <c r="AD11" s="2"/>
      <c r="AE11" s="138"/>
    </row>
    <row r="12" spans="1:43" x14ac:dyDescent="0.25">
      <c r="W12" s="133">
        <v>42573</v>
      </c>
      <c r="X12" s="10">
        <v>156.82</v>
      </c>
      <c r="Y12" s="10">
        <v>157.37</v>
      </c>
      <c r="Z12" s="10">
        <v>156.02000000000001</v>
      </c>
      <c r="AA12" s="10">
        <v>156.88999999999999</v>
      </c>
      <c r="AB12" s="95">
        <v>901900</v>
      </c>
      <c r="AC12" s="10">
        <v>156.88999999999999</v>
      </c>
      <c r="AD12" s="2"/>
      <c r="AE12" s="138"/>
    </row>
    <row r="13" spans="1:43" x14ac:dyDescent="0.25">
      <c r="W13" s="133">
        <v>42572</v>
      </c>
      <c r="X13" s="10">
        <v>157.53</v>
      </c>
      <c r="Y13" s="10">
        <v>157.79</v>
      </c>
      <c r="Z13" s="10">
        <v>155.72</v>
      </c>
      <c r="AA13" s="10">
        <v>156.19999999999999</v>
      </c>
      <c r="AB13" s="95">
        <v>1103200</v>
      </c>
      <c r="AC13" s="10">
        <v>156.19999999999999</v>
      </c>
      <c r="AD13" s="2"/>
      <c r="AE13" s="138"/>
    </row>
    <row r="14" spans="1:43" x14ac:dyDescent="0.25">
      <c r="W14" s="133">
        <v>42571</v>
      </c>
      <c r="X14" s="10">
        <v>156.79</v>
      </c>
      <c r="Y14" s="10">
        <v>158.1</v>
      </c>
      <c r="Z14" s="10">
        <v>156.54</v>
      </c>
      <c r="AA14" s="10">
        <v>157.69</v>
      </c>
      <c r="AB14" s="95">
        <v>686900</v>
      </c>
      <c r="AC14" s="10">
        <v>157.69</v>
      </c>
      <c r="AD14" s="2"/>
      <c r="AE14" s="138"/>
    </row>
    <row r="15" spans="1:43" x14ac:dyDescent="0.25">
      <c r="W15" s="133">
        <v>42570</v>
      </c>
      <c r="X15" s="10">
        <v>156.27000000000001</v>
      </c>
      <c r="Y15" s="10">
        <v>156.94</v>
      </c>
      <c r="Z15" s="10">
        <v>155.56</v>
      </c>
      <c r="AA15" s="10">
        <v>156.63999999999999</v>
      </c>
      <c r="AB15" s="95">
        <v>679200</v>
      </c>
      <c r="AC15" s="10">
        <v>156.63999999999999</v>
      </c>
      <c r="AD15" s="2"/>
      <c r="AE15" s="138"/>
    </row>
    <row r="16" spans="1:43" x14ac:dyDescent="0.25">
      <c r="W16" s="133">
        <v>42569</v>
      </c>
      <c r="X16" s="10">
        <v>156.65</v>
      </c>
      <c r="Y16" s="10">
        <v>157.32</v>
      </c>
      <c r="Z16" s="10">
        <v>156.06</v>
      </c>
      <c r="AA16" s="10">
        <v>157.05000000000001</v>
      </c>
      <c r="AB16" s="95">
        <v>1098900</v>
      </c>
      <c r="AC16" s="10">
        <v>157.05000000000001</v>
      </c>
      <c r="AD16" s="2"/>
      <c r="AE16" s="138"/>
    </row>
    <row r="17" spans="1:31" x14ac:dyDescent="0.25">
      <c r="W17" s="133">
        <v>42566</v>
      </c>
      <c r="X17" s="10">
        <v>158.37</v>
      </c>
      <c r="Y17" s="10">
        <v>158.37</v>
      </c>
      <c r="Z17" s="10">
        <v>156.75</v>
      </c>
      <c r="AA17" s="10">
        <v>157.04</v>
      </c>
      <c r="AB17" s="95">
        <v>1628200</v>
      </c>
      <c r="AC17" s="10">
        <v>157.04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42565</v>
      </c>
      <c r="X18" s="10">
        <v>156.6</v>
      </c>
      <c r="Y18" s="10">
        <v>158.07</v>
      </c>
      <c r="Z18" s="10">
        <v>155.69999999999999</v>
      </c>
      <c r="AA18" s="10">
        <v>157.72999999999999</v>
      </c>
      <c r="AB18" s="95">
        <v>2033500</v>
      </c>
      <c r="AC18" s="10">
        <v>157.72999999999999</v>
      </c>
      <c r="AD18" s="2"/>
      <c r="AE18" s="138"/>
    </row>
    <row r="19" spans="1:31" x14ac:dyDescent="0.25">
      <c r="W19" s="133">
        <v>42564</v>
      </c>
      <c r="X19" s="10">
        <v>155.01</v>
      </c>
      <c r="Y19" s="10">
        <v>155.16999999999999</v>
      </c>
      <c r="Z19" s="10">
        <v>154.09</v>
      </c>
      <c r="AA19" s="10">
        <v>154.80000000000001</v>
      </c>
      <c r="AB19" s="95">
        <v>844200</v>
      </c>
      <c r="AC19" s="10">
        <v>154.80000000000001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42563</v>
      </c>
      <c r="X20" s="10">
        <v>153.22999999999999</v>
      </c>
      <c r="Y20" s="10">
        <v>154.77000000000001</v>
      </c>
      <c r="Z20" s="10">
        <v>152.44999999999999</v>
      </c>
      <c r="AA20" s="10">
        <v>154.38</v>
      </c>
      <c r="AB20" s="95">
        <v>1188000</v>
      </c>
      <c r="AC20" s="10">
        <v>154.38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42562</v>
      </c>
      <c r="X21" s="10">
        <v>153.07</v>
      </c>
      <c r="Y21" s="10">
        <v>153.65</v>
      </c>
      <c r="Z21" s="10">
        <v>152.01</v>
      </c>
      <c r="AA21" s="10">
        <v>152.34</v>
      </c>
      <c r="AB21" s="95">
        <v>959100</v>
      </c>
      <c r="AC21" s="10">
        <v>152.34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42559</v>
      </c>
      <c r="X22" s="10">
        <v>150.47</v>
      </c>
      <c r="Y22" s="10">
        <v>153.41999999999999</v>
      </c>
      <c r="Z22" s="10">
        <v>150.36000000000001</v>
      </c>
      <c r="AA22" s="10">
        <v>152.69</v>
      </c>
      <c r="AB22" s="95">
        <v>1153700</v>
      </c>
      <c r="AC22" s="10">
        <v>152.69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42558</v>
      </c>
      <c r="X23" s="10">
        <v>148.84</v>
      </c>
      <c r="Y23" s="10">
        <v>149.72999999999999</v>
      </c>
      <c r="Z23" s="10">
        <v>148.44999999999999</v>
      </c>
      <c r="AA23" s="10">
        <v>149.06</v>
      </c>
      <c r="AB23" s="95">
        <v>1331900</v>
      </c>
      <c r="AC23" s="10">
        <v>149.06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42557</v>
      </c>
      <c r="X24" s="10">
        <v>146.4</v>
      </c>
      <c r="Y24" s="10">
        <v>149.38</v>
      </c>
      <c r="Z24" s="10">
        <v>145.75</v>
      </c>
      <c r="AA24" s="10">
        <v>149.11000000000001</v>
      </c>
      <c r="AB24" s="95">
        <v>1869400</v>
      </c>
      <c r="AC24" s="10">
        <v>149.11000000000001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42556</v>
      </c>
      <c r="X25" s="10">
        <v>148.19999999999999</v>
      </c>
      <c r="Y25" s="10">
        <v>148.74</v>
      </c>
      <c r="Z25" s="10">
        <v>146.63999999999999</v>
      </c>
      <c r="AA25" s="10">
        <v>147.25</v>
      </c>
      <c r="AB25" s="95">
        <v>1878200</v>
      </c>
      <c r="AC25" s="10">
        <v>147.25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42552</v>
      </c>
      <c r="X26" s="10">
        <v>147.94</v>
      </c>
      <c r="Y26" s="10">
        <v>149.85</v>
      </c>
      <c r="Z26" s="10">
        <v>147.47</v>
      </c>
      <c r="AA26" s="10">
        <v>149.22999999999999</v>
      </c>
      <c r="AB26" s="95">
        <v>1433100</v>
      </c>
      <c r="AC26" s="10">
        <v>149.22999999999999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42551</v>
      </c>
      <c r="X27" s="10">
        <v>145.59</v>
      </c>
      <c r="Y27" s="10">
        <v>147.78</v>
      </c>
      <c r="Z27" s="10">
        <v>145.13</v>
      </c>
      <c r="AA27" s="10">
        <v>147.76</v>
      </c>
      <c r="AB27" s="95">
        <v>2419800</v>
      </c>
      <c r="AC27" s="10">
        <v>147.76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42550</v>
      </c>
      <c r="X28" s="10">
        <v>144.47</v>
      </c>
      <c r="Y28" s="10">
        <v>145.65</v>
      </c>
      <c r="Z28" s="10">
        <v>143.09</v>
      </c>
      <c r="AA28" s="10">
        <v>145.16</v>
      </c>
      <c r="AB28" s="95">
        <v>1998800</v>
      </c>
      <c r="AC28" s="10">
        <v>145.16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42549</v>
      </c>
      <c r="X29" s="10">
        <v>142.37</v>
      </c>
      <c r="Y29" s="10">
        <v>143.27000000000001</v>
      </c>
      <c r="Z29" s="10">
        <v>141.5</v>
      </c>
      <c r="AA29" s="10">
        <v>143.15</v>
      </c>
      <c r="AB29" s="95">
        <v>2075100</v>
      </c>
      <c r="AC29" s="10">
        <v>143.15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42548</v>
      </c>
      <c r="X30" s="10">
        <v>143.84</v>
      </c>
      <c r="Y30" s="10">
        <v>144.65</v>
      </c>
      <c r="Z30" s="10">
        <v>140.21</v>
      </c>
      <c r="AA30" s="10">
        <v>140.93</v>
      </c>
      <c r="AB30" s="95">
        <v>2842400</v>
      </c>
      <c r="AC30" s="10">
        <v>140.93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42545</v>
      </c>
      <c r="X31" s="10">
        <v>146.63</v>
      </c>
      <c r="Y31" s="10">
        <v>148.84</v>
      </c>
      <c r="Z31" s="10">
        <v>144.62</v>
      </c>
      <c r="AA31" s="10">
        <v>145.35</v>
      </c>
      <c r="AB31" s="95">
        <v>3149400</v>
      </c>
      <c r="AC31" s="10">
        <v>145.35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42544</v>
      </c>
      <c r="X32" s="10">
        <v>151.5</v>
      </c>
      <c r="Y32" s="10">
        <v>152.19</v>
      </c>
      <c r="Z32" s="10">
        <v>150.80000000000001</v>
      </c>
      <c r="AA32" s="10">
        <v>152.13999999999999</v>
      </c>
      <c r="AB32" s="95">
        <v>1136900</v>
      </c>
      <c r="AC32" s="10">
        <v>152.13999999999999</v>
      </c>
      <c r="AD32" s="2"/>
      <c r="AE32" s="138"/>
    </row>
    <row r="33" spans="1:31" x14ac:dyDescent="0.25">
      <c r="W33" s="133">
        <v>42543</v>
      </c>
      <c r="X33" s="10">
        <v>149.1</v>
      </c>
      <c r="Y33" s="10">
        <v>151.5</v>
      </c>
      <c r="Z33" s="10">
        <v>149.05000000000001</v>
      </c>
      <c r="AA33" s="10">
        <v>149.85</v>
      </c>
      <c r="AB33" s="95">
        <v>936000</v>
      </c>
      <c r="AC33" s="10">
        <v>149.85</v>
      </c>
      <c r="AD33" s="2"/>
      <c r="AE33" s="138"/>
    </row>
    <row r="34" spans="1:31" x14ac:dyDescent="0.25">
      <c r="L34" t="s">
        <v>230</v>
      </c>
      <c r="M34" s="2">
        <f>M45+K45-F45</f>
        <v>171.47000000000003</v>
      </c>
      <c r="W34" s="133">
        <v>42542</v>
      </c>
      <c r="X34" s="10">
        <v>148.94999999999999</v>
      </c>
      <c r="Y34" s="10">
        <v>150.09</v>
      </c>
      <c r="Z34" s="10">
        <v>148.38999999999999</v>
      </c>
      <c r="AA34" s="10">
        <v>148.91</v>
      </c>
      <c r="AB34" s="95">
        <v>1257900</v>
      </c>
      <c r="AC34" s="10">
        <v>148.91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42541</v>
      </c>
      <c r="X35" s="10">
        <v>147.72</v>
      </c>
      <c r="Y35" s="10">
        <v>149.19999999999999</v>
      </c>
      <c r="Z35" s="10">
        <v>147.55000000000001</v>
      </c>
      <c r="AA35" s="10">
        <v>148.37</v>
      </c>
      <c r="AB35" s="95">
        <v>1264400</v>
      </c>
      <c r="AC35" s="10">
        <v>148.37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42538</v>
      </c>
      <c r="X36" s="10">
        <v>147.11000000000001</v>
      </c>
      <c r="Y36" s="10">
        <v>147.38</v>
      </c>
      <c r="Z36" s="10">
        <v>145.83000000000001</v>
      </c>
      <c r="AA36" s="10">
        <v>146.24</v>
      </c>
      <c r="AB36" s="95">
        <v>1418500</v>
      </c>
      <c r="AC36" s="10">
        <v>146.24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42537</v>
      </c>
      <c r="X37" s="10">
        <v>146.63999999999999</v>
      </c>
      <c r="Y37" s="10">
        <v>147.4</v>
      </c>
      <c r="Z37" s="10">
        <v>145.22999999999999</v>
      </c>
      <c r="AA37" s="10">
        <v>147.22999999999999</v>
      </c>
      <c r="AB37" s="95">
        <v>1335100</v>
      </c>
      <c r="AC37" s="10">
        <v>147.22999999999999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42536</v>
      </c>
      <c r="X38" s="10">
        <v>148.38999999999999</v>
      </c>
      <c r="Y38" s="10">
        <v>148.66</v>
      </c>
      <c r="Z38" s="10">
        <v>147.26</v>
      </c>
      <c r="AA38" s="10">
        <v>147.41</v>
      </c>
      <c r="AB38" s="95">
        <v>1131800</v>
      </c>
      <c r="AC38" s="10">
        <v>147.41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42535</v>
      </c>
      <c r="X39" s="10">
        <v>149.74</v>
      </c>
      <c r="Y39" s="10">
        <v>149.82</v>
      </c>
      <c r="Z39" s="10">
        <v>147.12</v>
      </c>
      <c r="AA39" s="10">
        <v>147.97999999999999</v>
      </c>
      <c r="AB39" s="95">
        <v>1755900</v>
      </c>
      <c r="AC39" s="10">
        <v>147.97999999999999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42534</v>
      </c>
      <c r="X40" s="10">
        <v>151.5</v>
      </c>
      <c r="Y40" s="10">
        <v>152.34</v>
      </c>
      <c r="Z40" s="10">
        <v>150.44</v>
      </c>
      <c r="AA40" s="10">
        <v>150.52000000000001</v>
      </c>
      <c r="AB40" s="95">
        <v>956800</v>
      </c>
      <c r="AC40" s="10">
        <v>150.52000000000001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42534</v>
      </c>
      <c r="X41" s="10" t="s">
        <v>185</v>
      </c>
      <c r="Y41" s="10"/>
      <c r="Z41" s="10"/>
      <c r="AA41" s="10"/>
      <c r="AB41" s="95"/>
      <c r="AC41" s="10"/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42531</v>
      </c>
      <c r="X42" s="10">
        <v>153.04</v>
      </c>
      <c r="Y42" s="10">
        <v>153.28</v>
      </c>
      <c r="Z42" s="10">
        <v>151.41999999999999</v>
      </c>
      <c r="AA42" s="10">
        <v>151.80000000000001</v>
      </c>
      <c r="AB42" s="95">
        <v>1303100</v>
      </c>
      <c r="AC42" s="10">
        <v>151.65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156.41999999999999</v>
      </c>
      <c r="W43" s="133">
        <v>42530</v>
      </c>
      <c r="X43" s="10">
        <v>153.6</v>
      </c>
      <c r="Y43" s="10">
        <v>154.81</v>
      </c>
      <c r="Z43" s="10">
        <v>153.01</v>
      </c>
      <c r="AA43" s="10">
        <v>154.15</v>
      </c>
      <c r="AB43" s="95">
        <v>1002600</v>
      </c>
      <c r="AC43" s="10">
        <v>154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157.32</v>
      </c>
      <c r="W44" s="133">
        <v>42529</v>
      </c>
      <c r="X44" s="10">
        <v>152.96</v>
      </c>
      <c r="Y44" s="10">
        <v>154.30000000000001</v>
      </c>
      <c r="Z44" s="10">
        <v>151.99</v>
      </c>
      <c r="AA44" s="10">
        <v>154.13999999999999</v>
      </c>
      <c r="AB44" s="95">
        <v>1395000</v>
      </c>
      <c r="AC44" s="10">
        <v>153.99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25" t="s">
        <v>78</v>
      </c>
      <c r="P45" s="525"/>
      <c r="T45" s="100" t="s">
        <v>100</v>
      </c>
      <c r="U45" s="100" t="s">
        <v>461</v>
      </c>
      <c r="W45" s="133">
        <v>42528</v>
      </c>
      <c r="X45" s="10">
        <v>153.19999999999999</v>
      </c>
      <c r="Y45" s="10">
        <v>153.61000000000001</v>
      </c>
      <c r="Z45" s="10">
        <v>152.53</v>
      </c>
      <c r="AA45" s="10">
        <v>152.69</v>
      </c>
      <c r="AB45" s="95">
        <v>1415600</v>
      </c>
      <c r="AC45" s="10">
        <v>152.54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172.17200000000003</v>
      </c>
      <c r="Q46" s="2"/>
      <c r="T46" s="100" t="s">
        <v>101</v>
      </c>
      <c r="U46" s="100" t="s">
        <v>368</v>
      </c>
      <c r="W46" s="133">
        <v>42527</v>
      </c>
      <c r="X46" s="10">
        <v>152.80000000000001</v>
      </c>
      <c r="Y46" s="10">
        <v>153.9</v>
      </c>
      <c r="Z46" s="10">
        <v>152.03</v>
      </c>
      <c r="AA46" s="10">
        <v>153.19</v>
      </c>
      <c r="AB46" s="95">
        <v>1015000</v>
      </c>
      <c r="AC46" s="10">
        <v>153.04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170.60680000000002</v>
      </c>
      <c r="Q47" s="2"/>
      <c r="T47" s="100" t="s">
        <v>102</v>
      </c>
      <c r="U47" s="100">
        <v>172.06</v>
      </c>
      <c r="W47" s="133">
        <v>42524</v>
      </c>
      <c r="X47" s="10">
        <v>152.71</v>
      </c>
      <c r="Y47" s="10">
        <v>153.28</v>
      </c>
      <c r="Z47" s="10">
        <v>151.29</v>
      </c>
      <c r="AA47" s="10">
        <v>152.87</v>
      </c>
      <c r="AB47" s="95">
        <v>831700</v>
      </c>
      <c r="AC47" s="10">
        <v>152.72</v>
      </c>
      <c r="AD47" s="2"/>
      <c r="AE47" s="138"/>
    </row>
    <row r="48" spans="1:31" x14ac:dyDescent="0.25">
      <c r="O48" s="83">
        <v>1.08</v>
      </c>
      <c r="P48" s="83">
        <f t="shared" si="0"/>
        <v>169.04160000000002</v>
      </c>
      <c r="Q48" s="2"/>
      <c r="T48" s="100" t="s">
        <v>103</v>
      </c>
      <c r="U48" s="100">
        <v>0.98223099999999997</v>
      </c>
      <c r="W48" s="133">
        <v>42523</v>
      </c>
      <c r="X48" s="10">
        <v>152.58000000000001</v>
      </c>
      <c r="Y48" s="10">
        <v>153.69999999999999</v>
      </c>
      <c r="Z48" s="10">
        <v>152.31</v>
      </c>
      <c r="AA48" s="10">
        <v>153.55000000000001</v>
      </c>
      <c r="AB48" s="95">
        <v>809600</v>
      </c>
      <c r="AC48" s="10">
        <v>153.4</v>
      </c>
      <c r="AD48" s="2"/>
      <c r="AE48" s="138"/>
    </row>
    <row r="49" spans="15:31" x14ac:dyDescent="0.25">
      <c r="O49" s="83">
        <v>1.07</v>
      </c>
      <c r="P49" s="83">
        <f t="shared" si="0"/>
        <v>167.47640000000001</v>
      </c>
      <c r="Q49" s="2"/>
      <c r="T49" s="100" t="s">
        <v>123</v>
      </c>
      <c r="U49" s="100" t="s">
        <v>335</v>
      </c>
      <c r="W49" s="133">
        <v>42522</v>
      </c>
      <c r="X49" s="10">
        <v>151.29</v>
      </c>
      <c r="Y49" s="10">
        <v>153.44999999999999</v>
      </c>
      <c r="Z49" s="10">
        <v>150.63</v>
      </c>
      <c r="AA49" s="10">
        <v>153.06</v>
      </c>
      <c r="AB49" s="95">
        <v>1730000</v>
      </c>
      <c r="AC49" s="10">
        <v>152.91</v>
      </c>
      <c r="AD49" s="2"/>
      <c r="AE49" s="138"/>
    </row>
    <row r="50" spans="15:31" x14ac:dyDescent="0.25">
      <c r="O50" s="83">
        <v>1.06</v>
      </c>
      <c r="P50" s="83">
        <f t="shared" si="0"/>
        <v>165.91120000000001</v>
      </c>
      <c r="Q50" s="2"/>
      <c r="T50" s="100"/>
      <c r="U50" s="100"/>
      <c r="W50" s="133">
        <v>42521</v>
      </c>
      <c r="X50" s="10">
        <v>152</v>
      </c>
      <c r="Y50" s="10">
        <v>152.12</v>
      </c>
      <c r="Z50" s="10">
        <v>150.52000000000001</v>
      </c>
      <c r="AA50" s="10">
        <v>151.77000000000001</v>
      </c>
      <c r="AB50" s="95">
        <v>2177300</v>
      </c>
      <c r="AC50" s="10">
        <v>151.62</v>
      </c>
      <c r="AD50" s="2"/>
      <c r="AE50" s="138"/>
    </row>
    <row r="51" spans="15:31" x14ac:dyDescent="0.25">
      <c r="O51" s="83">
        <v>1.05</v>
      </c>
      <c r="P51" s="83">
        <f t="shared" si="0"/>
        <v>164.346</v>
      </c>
      <c r="Q51" s="2"/>
      <c r="T51" s="100" t="s">
        <v>105</v>
      </c>
      <c r="U51" s="100" t="s">
        <v>462</v>
      </c>
      <c r="W51" s="133">
        <v>42517</v>
      </c>
      <c r="X51" s="10">
        <v>151.52000000000001</v>
      </c>
      <c r="Y51" s="10">
        <v>152.16999999999999</v>
      </c>
      <c r="Z51" s="10">
        <v>150.35</v>
      </c>
      <c r="AA51" s="10">
        <v>152.13</v>
      </c>
      <c r="AB51" s="95">
        <v>1847600</v>
      </c>
      <c r="AC51" s="10">
        <v>151.97999999999999</v>
      </c>
      <c r="AD51" s="2"/>
      <c r="AE51" s="138"/>
    </row>
    <row r="52" spans="15:31" x14ac:dyDescent="0.25">
      <c r="O52" s="83">
        <v>1.04</v>
      </c>
      <c r="P52" s="83">
        <f t="shared" si="0"/>
        <v>162.78080000000003</v>
      </c>
      <c r="Q52" s="2"/>
      <c r="T52" s="100" t="s">
        <v>106</v>
      </c>
      <c r="U52" s="100" t="s">
        <v>362</v>
      </c>
      <c r="W52" s="133">
        <v>42516</v>
      </c>
      <c r="X52" s="10">
        <v>150.93</v>
      </c>
      <c r="Y52" s="10">
        <v>151.85</v>
      </c>
      <c r="Z52" s="10">
        <v>150.51</v>
      </c>
      <c r="AA52" s="10">
        <v>151.19999999999999</v>
      </c>
      <c r="AB52" s="95">
        <v>914300</v>
      </c>
      <c r="AC52" s="10">
        <v>151.05000000000001</v>
      </c>
      <c r="AD52" s="2"/>
      <c r="AE52" s="138"/>
    </row>
    <row r="53" spans="15:31" x14ac:dyDescent="0.25">
      <c r="O53" s="83">
        <v>1.03</v>
      </c>
      <c r="P53" s="83">
        <f t="shared" si="0"/>
        <v>161.21560000000002</v>
      </c>
      <c r="Q53" s="2"/>
      <c r="T53" s="100" t="s">
        <v>107</v>
      </c>
      <c r="U53" s="101">
        <v>935576</v>
      </c>
      <c r="W53" s="133">
        <v>42515</v>
      </c>
      <c r="X53" s="10">
        <v>150.84</v>
      </c>
      <c r="Y53" s="10">
        <v>151.68</v>
      </c>
      <c r="Z53" s="10">
        <v>150.6</v>
      </c>
      <c r="AA53" s="10">
        <v>151.16</v>
      </c>
      <c r="AB53" s="95">
        <v>1311800</v>
      </c>
      <c r="AC53" s="10">
        <v>151.01</v>
      </c>
      <c r="AD53" s="2"/>
      <c r="AE53" s="138"/>
    </row>
    <row r="54" spans="15:31" x14ac:dyDescent="0.25">
      <c r="O54" s="83">
        <v>1.02</v>
      </c>
      <c r="P54" s="83">
        <f t="shared" si="0"/>
        <v>159.65040000000002</v>
      </c>
      <c r="Q54" s="2"/>
      <c r="T54" s="100" t="s">
        <v>110</v>
      </c>
      <c r="U54" s="101">
        <v>1396590</v>
      </c>
      <c r="W54" s="133">
        <v>42514</v>
      </c>
      <c r="X54" s="10">
        <v>149.24</v>
      </c>
      <c r="Y54" s="10">
        <v>151.06</v>
      </c>
      <c r="Z54" s="10">
        <v>148.79</v>
      </c>
      <c r="AA54" s="10">
        <v>150.68</v>
      </c>
      <c r="AB54" s="95">
        <v>1097600</v>
      </c>
      <c r="AC54" s="10">
        <v>150.53</v>
      </c>
      <c r="AD54" s="2"/>
      <c r="AE54" s="138"/>
    </row>
    <row r="55" spans="15:31" x14ac:dyDescent="0.25">
      <c r="O55" s="83">
        <v>1.01</v>
      </c>
      <c r="P55" s="83">
        <f t="shared" si="0"/>
        <v>158.08520000000001</v>
      </c>
      <c r="Q55" s="2"/>
      <c r="T55" s="100" t="s">
        <v>108</v>
      </c>
      <c r="U55" s="100" t="s">
        <v>463</v>
      </c>
      <c r="W55" s="133">
        <v>42513</v>
      </c>
      <c r="X55" s="10">
        <v>148.85</v>
      </c>
      <c r="Y55" s="10">
        <v>149.44</v>
      </c>
      <c r="Z55" s="10">
        <v>147.87</v>
      </c>
      <c r="AA55" s="10">
        <v>148.84</v>
      </c>
      <c r="AB55" s="95">
        <v>994100</v>
      </c>
      <c r="AC55" s="10">
        <v>148.69</v>
      </c>
      <c r="AD55" s="2"/>
      <c r="AE55" s="138"/>
    </row>
    <row r="56" spans="15:31" x14ac:dyDescent="0.25">
      <c r="O56" s="83">
        <v>1</v>
      </c>
      <c r="P56" s="83">
        <f t="shared" si="0"/>
        <v>156.52000000000001</v>
      </c>
      <c r="Q56" s="2"/>
      <c r="T56" s="100" t="s">
        <v>111</v>
      </c>
      <c r="U56" s="100">
        <v>31.51</v>
      </c>
      <c r="W56" s="133">
        <v>42510</v>
      </c>
      <c r="X56" s="10">
        <v>149.35</v>
      </c>
      <c r="Y56" s="10">
        <v>150.31</v>
      </c>
      <c r="Z56" s="10">
        <v>148.35</v>
      </c>
      <c r="AA56" s="10">
        <v>148.85</v>
      </c>
      <c r="AB56" s="95">
        <v>1420900</v>
      </c>
      <c r="AC56" s="10">
        <v>148.69999999999999</v>
      </c>
      <c r="AD56" s="2"/>
      <c r="AE56" s="138"/>
    </row>
    <row r="57" spans="15:31" x14ac:dyDescent="0.25">
      <c r="O57" s="83">
        <v>0.99</v>
      </c>
      <c r="P57" s="83">
        <f t="shared" si="0"/>
        <v>154.95480000000001</v>
      </c>
      <c r="Q57" s="2"/>
      <c r="T57" s="100" t="s">
        <v>112</v>
      </c>
      <c r="U57" s="100">
        <v>5</v>
      </c>
      <c r="W57" s="133">
        <v>42509</v>
      </c>
      <c r="X57" s="10">
        <v>149.51</v>
      </c>
      <c r="Y57" s="10">
        <v>149.56</v>
      </c>
      <c r="Z57" s="10">
        <v>146.93</v>
      </c>
      <c r="AA57" s="10">
        <v>148.41999999999999</v>
      </c>
      <c r="AB57" s="95">
        <v>1428000</v>
      </c>
      <c r="AC57" s="10">
        <v>148.27000000000001</v>
      </c>
      <c r="AD57" s="2"/>
      <c r="AE57" s="138"/>
    </row>
    <row r="58" spans="15:31" x14ac:dyDescent="0.25">
      <c r="O58" s="83">
        <v>0.98</v>
      </c>
      <c r="P58" s="83">
        <f t="shared" si="0"/>
        <v>153.3896</v>
      </c>
      <c r="Q58" s="2"/>
      <c r="T58" s="100" t="s">
        <v>109</v>
      </c>
      <c r="U58" s="100" t="s">
        <v>328</v>
      </c>
      <c r="W58" s="133">
        <v>42508</v>
      </c>
      <c r="X58" s="10">
        <v>148.43</v>
      </c>
      <c r="Y58" s="10">
        <v>151.22</v>
      </c>
      <c r="Z58" s="10">
        <v>148.01</v>
      </c>
      <c r="AA58" s="10">
        <v>150.11000000000001</v>
      </c>
      <c r="AB58" s="95">
        <v>1715100</v>
      </c>
      <c r="AC58" s="10">
        <v>149.96</v>
      </c>
      <c r="AD58" s="2"/>
      <c r="AE58" s="138"/>
    </row>
    <row r="59" spans="15:31" x14ac:dyDescent="0.25">
      <c r="O59" s="83">
        <v>0.97</v>
      </c>
      <c r="P59" s="83">
        <f t="shared" si="0"/>
        <v>151.8244</v>
      </c>
      <c r="W59" s="133">
        <v>42507</v>
      </c>
      <c r="X59" s="10">
        <v>150.19</v>
      </c>
      <c r="Y59" s="10">
        <v>150.94999999999999</v>
      </c>
      <c r="Z59" s="10">
        <v>148.06</v>
      </c>
      <c r="AA59" s="10">
        <v>148.82</v>
      </c>
      <c r="AB59" s="95">
        <v>1815800</v>
      </c>
      <c r="AC59" s="10">
        <v>148.66999999999999</v>
      </c>
      <c r="AD59" s="2"/>
      <c r="AE59" s="138"/>
    </row>
    <row r="60" spans="15:31" x14ac:dyDescent="0.25">
      <c r="O60" s="83">
        <v>0.96</v>
      </c>
      <c r="P60" s="83">
        <f t="shared" si="0"/>
        <v>150.25919999999999</v>
      </c>
      <c r="W60" s="133">
        <v>42506</v>
      </c>
      <c r="X60" s="10">
        <v>147.9</v>
      </c>
      <c r="Y60" s="10">
        <v>150.43</v>
      </c>
      <c r="Z60" s="10">
        <v>147.69999999999999</v>
      </c>
      <c r="AA60" s="10">
        <v>150.24</v>
      </c>
      <c r="AB60" s="95">
        <v>1473000</v>
      </c>
      <c r="AC60" s="10">
        <v>150.09</v>
      </c>
      <c r="AD60" s="2"/>
      <c r="AE60" s="138"/>
    </row>
    <row r="61" spans="15:31" x14ac:dyDescent="0.25">
      <c r="O61" s="83">
        <v>0.95</v>
      </c>
      <c r="P61" s="83">
        <f t="shared" si="0"/>
        <v>148.69400000000002</v>
      </c>
      <c r="W61" s="133">
        <v>42503</v>
      </c>
      <c r="X61" s="10">
        <v>148.37</v>
      </c>
      <c r="Y61" s="10">
        <v>149.35</v>
      </c>
      <c r="Z61" s="10">
        <v>147.4</v>
      </c>
      <c r="AA61" s="10">
        <v>147.88999999999999</v>
      </c>
      <c r="AB61" s="95">
        <v>1531100</v>
      </c>
      <c r="AC61" s="10">
        <v>147.74</v>
      </c>
      <c r="AD61" s="2"/>
      <c r="AE61" s="138"/>
    </row>
    <row r="62" spans="15:31" x14ac:dyDescent="0.25">
      <c r="O62" s="83">
        <v>0.94</v>
      </c>
      <c r="P62" s="83">
        <f t="shared" si="0"/>
        <v>147.12880000000001</v>
      </c>
      <c r="W62" s="133">
        <v>42502</v>
      </c>
      <c r="X62" s="10">
        <v>148.29</v>
      </c>
      <c r="Y62" s="10">
        <v>149.26</v>
      </c>
      <c r="Z62" s="10">
        <v>147.58000000000001</v>
      </c>
      <c r="AA62" s="10">
        <v>148.91999999999999</v>
      </c>
      <c r="AB62" s="95">
        <v>1203300</v>
      </c>
      <c r="AC62" s="10">
        <v>148.77000000000001</v>
      </c>
      <c r="AD62" s="2"/>
      <c r="AE62" s="138"/>
    </row>
    <row r="63" spans="15:31" x14ac:dyDescent="0.25">
      <c r="O63" s="83">
        <v>0.93</v>
      </c>
      <c r="P63" s="83">
        <f t="shared" si="0"/>
        <v>145.56360000000001</v>
      </c>
      <c r="W63" s="133">
        <v>42501</v>
      </c>
      <c r="X63" s="10">
        <v>149</v>
      </c>
      <c r="Y63" s="10">
        <v>149.94999999999999</v>
      </c>
      <c r="Z63" s="10">
        <v>147.94999999999999</v>
      </c>
      <c r="AA63" s="10">
        <v>147.97</v>
      </c>
      <c r="AB63" s="95">
        <v>972200</v>
      </c>
      <c r="AC63" s="10">
        <v>147.82</v>
      </c>
      <c r="AD63" s="2"/>
      <c r="AE63" s="138"/>
    </row>
    <row r="64" spans="15:31" x14ac:dyDescent="0.25">
      <c r="O64" s="83">
        <v>0.92</v>
      </c>
      <c r="P64" s="83">
        <f t="shared" si="0"/>
        <v>143.9984</v>
      </c>
      <c r="W64" s="133">
        <v>42500</v>
      </c>
      <c r="X64" s="10">
        <v>148.36000000000001</v>
      </c>
      <c r="Y64" s="10">
        <v>148.88999999999999</v>
      </c>
      <c r="Z64" s="10">
        <v>147.08000000000001</v>
      </c>
      <c r="AA64" s="10">
        <v>148.83000000000001</v>
      </c>
      <c r="AB64" s="95">
        <v>1471500</v>
      </c>
      <c r="AC64" s="10">
        <v>148.68</v>
      </c>
      <c r="AD64" s="2"/>
      <c r="AE64" s="138"/>
    </row>
    <row r="65" spans="15:31" x14ac:dyDescent="0.25">
      <c r="O65" s="83">
        <v>0.91</v>
      </c>
      <c r="P65" s="83">
        <f t="shared" si="0"/>
        <v>142.43320000000003</v>
      </c>
      <c r="W65" s="133">
        <v>42499</v>
      </c>
      <c r="X65" s="10">
        <v>147.29</v>
      </c>
      <c r="Y65" s="10">
        <v>148.5</v>
      </c>
      <c r="Z65" s="10">
        <v>146.78</v>
      </c>
      <c r="AA65" s="10">
        <v>147.46</v>
      </c>
      <c r="AB65" s="95">
        <v>1191200</v>
      </c>
      <c r="AC65" s="10">
        <v>147.31</v>
      </c>
      <c r="AD65" s="2"/>
      <c r="AE65" s="138"/>
    </row>
    <row r="66" spans="15:31" x14ac:dyDescent="0.25">
      <c r="O66" s="83">
        <v>0.9</v>
      </c>
      <c r="P66" s="83">
        <f t="shared" si="0"/>
        <v>140.86800000000002</v>
      </c>
      <c r="W66" s="133">
        <v>42496</v>
      </c>
      <c r="X66" s="10">
        <v>145</v>
      </c>
      <c r="Y66" s="10">
        <v>147.53</v>
      </c>
      <c r="Z66" s="10">
        <v>144.86000000000001</v>
      </c>
      <c r="AA66" s="10">
        <v>146.97</v>
      </c>
      <c r="AB66" s="95">
        <v>1257400</v>
      </c>
      <c r="AC66" s="10">
        <v>146.82</v>
      </c>
      <c r="AD66" s="2"/>
      <c r="AE66" s="138"/>
    </row>
    <row r="67" spans="15:31" x14ac:dyDescent="0.25">
      <c r="W67" s="133">
        <v>42495</v>
      </c>
      <c r="X67" s="10">
        <v>144.18</v>
      </c>
      <c r="Y67" s="10">
        <v>145.78</v>
      </c>
      <c r="Z67" s="10">
        <v>143.79</v>
      </c>
      <c r="AA67" s="10">
        <v>145.13999999999999</v>
      </c>
      <c r="AB67" s="95">
        <v>1224000</v>
      </c>
      <c r="AC67" s="10">
        <v>145</v>
      </c>
      <c r="AD67" s="2"/>
      <c r="AE67" s="138"/>
    </row>
    <row r="68" spans="15:31" x14ac:dyDescent="0.25">
      <c r="W68" s="133">
        <v>42494</v>
      </c>
      <c r="X68" s="10">
        <v>143.22999999999999</v>
      </c>
      <c r="Y68" s="10">
        <v>145.03</v>
      </c>
      <c r="Z68" s="10">
        <v>142.97999999999999</v>
      </c>
      <c r="AA68" s="10">
        <v>144.55000000000001</v>
      </c>
      <c r="AB68" s="95">
        <v>982500</v>
      </c>
      <c r="AC68" s="10">
        <v>144.41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42587</v>
      </c>
      <c r="X2" s="10">
        <v>33.57</v>
      </c>
      <c r="Y2" s="10">
        <v>34.119999999999997</v>
      </c>
      <c r="Z2" s="10">
        <v>33.520000000000003</v>
      </c>
      <c r="AA2" s="10">
        <v>34.01</v>
      </c>
      <c r="AB2" s="95">
        <v>482500</v>
      </c>
      <c r="AC2" s="10">
        <v>34.01</v>
      </c>
      <c r="AD2" s="2">
        <f>Y2-Z2</f>
        <v>0.59999999999999432</v>
      </c>
      <c r="AE2" s="138">
        <f>AC2/AC3-1</f>
        <v>1.9484412470023971E-2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34.159999999999997</v>
      </c>
      <c r="W3" s="133">
        <v>42586</v>
      </c>
      <c r="X3" s="10">
        <v>33.35</v>
      </c>
      <c r="Y3" s="10">
        <v>33.69</v>
      </c>
      <c r="Z3" s="10">
        <v>33.33</v>
      </c>
      <c r="AA3" s="10">
        <v>33.36</v>
      </c>
      <c r="AB3" s="95">
        <v>665800</v>
      </c>
      <c r="AC3" s="10">
        <v>33.36</v>
      </c>
      <c r="AD3" s="2">
        <f t="shared" ref="AD3:AD66" si="0">Y3-Z3</f>
        <v>0.35999999999999943</v>
      </c>
      <c r="AE3" s="138">
        <f t="shared" ref="AE3:AE66" si="1">AC3/AC4-1</f>
        <v>-1.7953321364453378E-3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34.159999999999997</v>
      </c>
      <c r="W4" s="133">
        <v>42585</v>
      </c>
      <c r="X4" s="10">
        <v>33.28</v>
      </c>
      <c r="Y4" s="10">
        <v>33.590000000000003</v>
      </c>
      <c r="Z4" s="10">
        <v>33.14</v>
      </c>
      <c r="AA4" s="10">
        <v>33.42</v>
      </c>
      <c r="AB4" s="95">
        <v>781600</v>
      </c>
      <c r="AC4" s="10">
        <v>33.42</v>
      </c>
      <c r="AD4" s="2">
        <f t="shared" si="0"/>
        <v>0.45000000000000284</v>
      </c>
      <c r="AE4" s="138">
        <f t="shared" si="1"/>
        <v>2.3995200959807672E-3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42584</v>
      </c>
      <c r="X5" s="10">
        <v>33.57</v>
      </c>
      <c r="Y5" s="10">
        <v>33.770000000000003</v>
      </c>
      <c r="Z5" s="10">
        <v>33.159999999999997</v>
      </c>
      <c r="AA5" s="10">
        <v>33.340000000000003</v>
      </c>
      <c r="AB5" s="95">
        <v>876700</v>
      </c>
      <c r="AC5" s="10">
        <v>33.340000000000003</v>
      </c>
      <c r="AD5" s="2">
        <f t="shared" si="0"/>
        <v>0.61000000000000654</v>
      </c>
      <c r="AE5" s="138">
        <f t="shared" si="1"/>
        <v>-8.0333234156499955E-3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42583</v>
      </c>
      <c r="X6" s="10">
        <v>33.36</v>
      </c>
      <c r="Y6" s="10">
        <v>33.81</v>
      </c>
      <c r="Z6" s="10">
        <v>33.159999999999997</v>
      </c>
      <c r="AA6" s="10">
        <v>33.61</v>
      </c>
      <c r="AB6" s="95">
        <v>1046600</v>
      </c>
      <c r="AC6" s="10">
        <v>33.61</v>
      </c>
      <c r="AD6" s="2">
        <f t="shared" si="0"/>
        <v>0.65000000000000568</v>
      </c>
      <c r="AE6" s="138">
        <f t="shared" si="1"/>
        <v>4.7832585949176831E-3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529.88000000000284</v>
      </c>
      <c r="R7">
        <v>0</v>
      </c>
      <c r="W7" s="133">
        <v>42580</v>
      </c>
      <c r="X7" s="10">
        <v>33.28</v>
      </c>
      <c r="Y7" s="10">
        <v>33.619999999999997</v>
      </c>
      <c r="Z7" s="10">
        <v>32.729999999999997</v>
      </c>
      <c r="AA7" s="10">
        <v>33.450000000000003</v>
      </c>
      <c r="AB7" s="95">
        <v>928400</v>
      </c>
      <c r="AC7" s="10">
        <v>33.450000000000003</v>
      </c>
      <c r="AD7" s="2">
        <f t="shared" si="0"/>
        <v>0.89000000000000057</v>
      </c>
      <c r="AE7" s="138">
        <f t="shared" si="1"/>
        <v>2.9985007496251548E-3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31.54</v>
      </c>
      <c r="Y8" s="10">
        <v>33.590000000000003</v>
      </c>
      <c r="Z8" s="10">
        <v>31.54</v>
      </c>
      <c r="AA8" s="10">
        <v>33.35</v>
      </c>
      <c r="AB8" s="95">
        <v>1388000</v>
      </c>
      <c r="AC8" s="10">
        <v>33.35</v>
      </c>
      <c r="AD8" s="2">
        <f t="shared" si="0"/>
        <v>2.0500000000000043</v>
      </c>
      <c r="AE8" s="138">
        <f t="shared" si="1"/>
        <v>2.9003394014193384E-2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32.08</v>
      </c>
      <c r="Y9" s="10">
        <v>32.85</v>
      </c>
      <c r="Z9" s="10">
        <v>32.020000000000003</v>
      </c>
      <c r="AA9" s="10">
        <v>32.409999999999997</v>
      </c>
      <c r="AB9" s="95">
        <v>1261000</v>
      </c>
      <c r="AC9" s="10">
        <v>32.409999999999997</v>
      </c>
      <c r="AD9" s="2">
        <f t="shared" si="0"/>
        <v>0.82999999999999829</v>
      </c>
      <c r="AE9" s="138">
        <f t="shared" si="1"/>
        <v>1.3129102844638973E-2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230</v>
      </c>
      <c r="P10" s="34"/>
      <c r="Q10" s="2">
        <f>M36</f>
        <v>529.88000000000284</v>
      </c>
      <c r="W10" s="133">
        <v>42577</v>
      </c>
      <c r="X10" s="10">
        <v>31.2</v>
      </c>
      <c r="Y10" s="10">
        <v>32.03</v>
      </c>
      <c r="Z10" s="10">
        <v>31.04</v>
      </c>
      <c r="AA10" s="10">
        <v>31.99</v>
      </c>
      <c r="AB10" s="95">
        <v>530400</v>
      </c>
      <c r="AC10" s="10">
        <v>31.99</v>
      </c>
      <c r="AD10" s="2">
        <f t="shared" si="0"/>
        <v>0.99000000000000199</v>
      </c>
      <c r="AE10" s="138">
        <f t="shared" si="1"/>
        <v>2.7626084163186571E-2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3.1199999999999999E-2</v>
      </c>
      <c r="W11" s="133">
        <v>42576</v>
      </c>
      <c r="X11" s="10">
        <v>31.04</v>
      </c>
      <c r="Y11" s="10">
        <v>31.19</v>
      </c>
      <c r="Z11" s="10">
        <v>30.84</v>
      </c>
      <c r="AA11" s="10">
        <v>31.13</v>
      </c>
      <c r="AB11" s="95">
        <v>477100</v>
      </c>
      <c r="AC11" s="10">
        <v>31.13</v>
      </c>
      <c r="AD11" s="2">
        <f t="shared" si="0"/>
        <v>0.35000000000000142</v>
      </c>
      <c r="AE11" s="138">
        <f t="shared" si="1"/>
        <v>2.2537025112685516E-3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42573</v>
      </c>
      <c r="X12" s="10">
        <v>30.51</v>
      </c>
      <c r="Y12" s="10">
        <v>31.16</v>
      </c>
      <c r="Z12" s="10">
        <v>30.47</v>
      </c>
      <c r="AA12" s="10">
        <v>31.06</v>
      </c>
      <c r="AB12" s="95">
        <v>561600</v>
      </c>
      <c r="AC12" s="10">
        <v>31.06</v>
      </c>
      <c r="AD12" s="2">
        <f t="shared" si="0"/>
        <v>0.69000000000000128</v>
      </c>
      <c r="AE12" s="138">
        <f t="shared" si="1"/>
        <v>5.8290155440414715E-3</v>
      </c>
    </row>
    <row r="13" spans="1:43" x14ac:dyDescent="0.25">
      <c r="W13" s="133">
        <v>42572</v>
      </c>
      <c r="X13" s="10">
        <v>31.38</v>
      </c>
      <c r="Y13" s="10">
        <v>31.4</v>
      </c>
      <c r="Z13" s="10">
        <v>30.61</v>
      </c>
      <c r="AA13" s="10">
        <v>30.88</v>
      </c>
      <c r="AB13" s="95">
        <v>991600</v>
      </c>
      <c r="AC13" s="10">
        <v>30.88</v>
      </c>
      <c r="AD13" s="2">
        <f t="shared" si="0"/>
        <v>0.78999999999999915</v>
      </c>
      <c r="AE13" s="138">
        <f t="shared" si="1"/>
        <v>-2.27848101265824E-2</v>
      </c>
    </row>
    <row r="14" spans="1:43" x14ac:dyDescent="0.25">
      <c r="W14" s="133">
        <v>42571</v>
      </c>
      <c r="X14" s="10">
        <v>31.45</v>
      </c>
      <c r="Y14" s="10">
        <v>31.84</v>
      </c>
      <c r="Z14" s="10">
        <v>31.38</v>
      </c>
      <c r="AA14" s="10">
        <v>31.6</v>
      </c>
      <c r="AB14" s="95">
        <v>443800</v>
      </c>
      <c r="AC14" s="10">
        <v>31.6</v>
      </c>
      <c r="AD14" s="2">
        <f t="shared" si="0"/>
        <v>0.46000000000000085</v>
      </c>
      <c r="AE14" s="138">
        <f t="shared" si="1"/>
        <v>2.220107833809104E-3</v>
      </c>
    </row>
    <row r="15" spans="1:43" x14ac:dyDescent="0.25">
      <c r="W15" s="133">
        <v>42570</v>
      </c>
      <c r="X15" s="10">
        <v>31.46</v>
      </c>
      <c r="Y15" s="10">
        <v>31.7</v>
      </c>
      <c r="Z15" s="10">
        <v>31.42</v>
      </c>
      <c r="AA15" s="10">
        <v>31.53</v>
      </c>
      <c r="AB15" s="95">
        <v>439400</v>
      </c>
      <c r="AC15" s="10">
        <v>31.53</v>
      </c>
      <c r="AD15" s="2">
        <f t="shared" si="0"/>
        <v>0.27999999999999758</v>
      </c>
      <c r="AE15" s="138">
        <f t="shared" si="1"/>
        <v>-5.3627760252364931E-3</v>
      </c>
    </row>
    <row r="16" spans="1:43" x14ac:dyDescent="0.25">
      <c r="W16" s="133">
        <v>42569</v>
      </c>
      <c r="X16" s="10">
        <v>31.36</v>
      </c>
      <c r="Y16" s="10">
        <v>31.81</v>
      </c>
      <c r="Z16" s="10">
        <v>31.36</v>
      </c>
      <c r="AA16" s="10">
        <v>31.7</v>
      </c>
      <c r="AB16" s="95">
        <v>330000</v>
      </c>
      <c r="AC16" s="10">
        <v>31.7</v>
      </c>
      <c r="AD16" s="2">
        <f t="shared" si="0"/>
        <v>0.44999999999999929</v>
      </c>
      <c r="AE16" s="138">
        <f t="shared" si="1"/>
        <v>-9.4547746612039241E-4</v>
      </c>
    </row>
    <row r="17" spans="1:31" x14ac:dyDescent="0.25">
      <c r="W17" s="133">
        <v>42566</v>
      </c>
      <c r="X17" s="10">
        <v>31.56</v>
      </c>
      <c r="Y17" s="10">
        <v>31.78</v>
      </c>
      <c r="Z17" s="10">
        <v>31.35</v>
      </c>
      <c r="AA17" s="10">
        <v>31.73</v>
      </c>
      <c r="AB17" s="95">
        <v>658000</v>
      </c>
      <c r="AC17" s="10">
        <v>31.73</v>
      </c>
      <c r="AD17" s="2">
        <f t="shared" si="0"/>
        <v>0.42999999999999972</v>
      </c>
      <c r="AE17" s="138">
        <f t="shared" si="1"/>
        <v>6.6624365482232939E-3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42565</v>
      </c>
      <c r="X18" s="10">
        <v>31.86</v>
      </c>
      <c r="Y18" s="10">
        <v>32.03</v>
      </c>
      <c r="Z18" s="10">
        <v>31.5</v>
      </c>
      <c r="AA18" s="10">
        <v>31.52</v>
      </c>
      <c r="AB18" s="95">
        <v>568400</v>
      </c>
      <c r="AC18" s="10">
        <v>31.52</v>
      </c>
      <c r="AD18" s="2">
        <f t="shared" si="0"/>
        <v>0.53000000000000114</v>
      </c>
      <c r="AE18" s="138">
        <f t="shared" si="1"/>
        <v>-3.1715826197276087E-4</v>
      </c>
    </row>
    <row r="19" spans="1:31" x14ac:dyDescent="0.25">
      <c r="W19" s="133">
        <v>42564</v>
      </c>
      <c r="X19" s="10">
        <v>32.06</v>
      </c>
      <c r="Y19" s="10">
        <v>32.06</v>
      </c>
      <c r="Z19" s="10">
        <v>31.25</v>
      </c>
      <c r="AA19" s="10">
        <v>31.53</v>
      </c>
      <c r="AB19" s="95">
        <v>607500</v>
      </c>
      <c r="AC19" s="10">
        <v>31.53</v>
      </c>
      <c r="AD19" s="2">
        <f t="shared" si="0"/>
        <v>0.81000000000000227</v>
      </c>
      <c r="AE19" s="138">
        <f t="shared" si="1"/>
        <v>-9.1137649277184263E-3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42563</v>
      </c>
      <c r="X20" s="10">
        <v>31.76</v>
      </c>
      <c r="Y20" s="10">
        <v>31.89</v>
      </c>
      <c r="Z20" s="10">
        <v>31.35</v>
      </c>
      <c r="AA20" s="10">
        <v>31.82</v>
      </c>
      <c r="AB20" s="95">
        <v>738300</v>
      </c>
      <c r="AC20" s="10">
        <v>31.82</v>
      </c>
      <c r="AD20" s="2">
        <f t="shared" si="0"/>
        <v>0.53999999999999915</v>
      </c>
      <c r="AE20" s="138">
        <f t="shared" si="1"/>
        <v>1.7263427109974305E-2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42562</v>
      </c>
      <c r="X21" s="10">
        <v>31.5</v>
      </c>
      <c r="Y21" s="10">
        <v>31.62</v>
      </c>
      <c r="Z21" s="10">
        <v>31.02</v>
      </c>
      <c r="AA21" s="10">
        <v>31.28</v>
      </c>
      <c r="AB21" s="95">
        <v>700700</v>
      </c>
      <c r="AC21" s="10">
        <v>31.28</v>
      </c>
      <c r="AD21" s="2">
        <f t="shared" si="0"/>
        <v>0.60000000000000142</v>
      </c>
      <c r="AE21" s="138">
        <f t="shared" si="1"/>
        <v>1.889250814332244E-2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42559</v>
      </c>
      <c r="X22" s="10">
        <v>30.5</v>
      </c>
      <c r="Y22" s="10">
        <v>30.99</v>
      </c>
      <c r="Z22" s="10">
        <v>30.44</v>
      </c>
      <c r="AA22" s="10">
        <v>30.7</v>
      </c>
      <c r="AB22" s="95">
        <v>1109000</v>
      </c>
      <c r="AC22" s="10">
        <v>30.7</v>
      </c>
      <c r="AD22" s="2">
        <f t="shared" si="0"/>
        <v>0.54999999999999716</v>
      </c>
      <c r="AE22" s="138">
        <f t="shared" si="1"/>
        <v>2.3333333333333206E-2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42558</v>
      </c>
      <c r="X23" s="10">
        <v>30.16</v>
      </c>
      <c r="Y23" s="10">
        <v>30.63</v>
      </c>
      <c r="Z23" s="10">
        <v>29.65</v>
      </c>
      <c r="AA23" s="10">
        <v>30</v>
      </c>
      <c r="AB23" s="95">
        <v>804900</v>
      </c>
      <c r="AC23" s="10">
        <v>30</v>
      </c>
      <c r="AD23" s="2">
        <f t="shared" si="0"/>
        <v>0.98000000000000043</v>
      </c>
      <c r="AE23" s="138">
        <f t="shared" si="1"/>
        <v>-3.6532713384257454E-3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42557</v>
      </c>
      <c r="X24" s="10">
        <v>29.85</v>
      </c>
      <c r="Y24" s="10">
        <v>30.22</v>
      </c>
      <c r="Z24" s="10">
        <v>29.31</v>
      </c>
      <c r="AA24" s="10">
        <v>30.11</v>
      </c>
      <c r="AB24" s="95">
        <v>1179700</v>
      </c>
      <c r="AC24" s="10">
        <v>30.11</v>
      </c>
      <c r="AD24" s="2">
        <f t="shared" si="0"/>
        <v>0.91000000000000014</v>
      </c>
      <c r="AE24" s="138">
        <f t="shared" si="1"/>
        <v>2.9980013324450994E-3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42556</v>
      </c>
      <c r="X25" s="10">
        <v>30.57</v>
      </c>
      <c r="Y25" s="10">
        <v>30.76</v>
      </c>
      <c r="Z25" s="10">
        <v>29.75</v>
      </c>
      <c r="AA25" s="10">
        <v>30.02</v>
      </c>
      <c r="AB25" s="95">
        <v>645800</v>
      </c>
      <c r="AC25" s="10">
        <v>30.02</v>
      </c>
      <c r="AD25" s="2">
        <f t="shared" si="0"/>
        <v>1.0100000000000016</v>
      </c>
      <c r="AE25" s="138">
        <f t="shared" si="1"/>
        <v>-2.8478964401294493E-2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42552</v>
      </c>
      <c r="X26" s="10">
        <v>30.59</v>
      </c>
      <c r="Y26" s="10">
        <v>31.18</v>
      </c>
      <c r="Z26" s="10">
        <v>30.51</v>
      </c>
      <c r="AA26" s="10">
        <v>30.9</v>
      </c>
      <c r="AB26" s="95">
        <v>513500</v>
      </c>
      <c r="AC26" s="10">
        <v>30.9</v>
      </c>
      <c r="AD26" s="2">
        <f t="shared" si="0"/>
        <v>0.66999999999999815</v>
      </c>
      <c r="AE26" s="138">
        <f t="shared" si="1"/>
        <v>7.8277886497064575E-3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42551</v>
      </c>
      <c r="X27" s="10">
        <v>29.94</v>
      </c>
      <c r="Y27" s="10">
        <v>30.68</v>
      </c>
      <c r="Z27" s="10">
        <v>29.76</v>
      </c>
      <c r="AA27" s="10">
        <v>30.66</v>
      </c>
      <c r="AB27" s="95">
        <v>803700</v>
      </c>
      <c r="AC27" s="10">
        <v>30.66</v>
      </c>
      <c r="AD27" s="2">
        <f t="shared" si="0"/>
        <v>0.91999999999999815</v>
      </c>
      <c r="AE27" s="138">
        <f t="shared" si="1"/>
        <v>3.1628532974428136E-2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42550</v>
      </c>
      <c r="X28" s="10">
        <v>30</v>
      </c>
      <c r="Y28" s="10">
        <v>30.19</v>
      </c>
      <c r="Z28" s="10">
        <v>29.5</v>
      </c>
      <c r="AA28" s="10">
        <v>29.72</v>
      </c>
      <c r="AB28" s="95">
        <v>910500</v>
      </c>
      <c r="AC28" s="10">
        <v>29.72</v>
      </c>
      <c r="AD28" s="2">
        <f t="shared" si="0"/>
        <v>0.69000000000000128</v>
      </c>
      <c r="AE28" s="138">
        <f t="shared" si="1"/>
        <v>4.7329276538201626E-3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42549</v>
      </c>
      <c r="X29" s="10">
        <v>29.44</v>
      </c>
      <c r="Y29" s="10">
        <v>29.72</v>
      </c>
      <c r="Z29" s="10">
        <v>29.17</v>
      </c>
      <c r="AA29" s="10">
        <v>29.58</v>
      </c>
      <c r="AB29" s="95">
        <v>1352500</v>
      </c>
      <c r="AC29" s="10">
        <v>29.58</v>
      </c>
      <c r="AD29" s="2">
        <f t="shared" si="0"/>
        <v>0.54999999999999716</v>
      </c>
      <c r="AE29" s="138">
        <f t="shared" si="1"/>
        <v>2.1056265101829563E-2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42548</v>
      </c>
      <c r="X30" s="10">
        <v>29.98</v>
      </c>
      <c r="Y30" s="10">
        <v>30</v>
      </c>
      <c r="Z30" s="10">
        <v>28.72</v>
      </c>
      <c r="AA30" s="10">
        <v>28.97</v>
      </c>
      <c r="AB30" s="95">
        <v>1003800</v>
      </c>
      <c r="AC30" s="10">
        <v>28.97</v>
      </c>
      <c r="AD30" s="2">
        <f t="shared" si="0"/>
        <v>1.2800000000000011</v>
      </c>
      <c r="AE30" s="138">
        <f t="shared" si="1"/>
        <v>-4.8291721419185363E-2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42545</v>
      </c>
      <c r="X31" s="10">
        <v>31.91</v>
      </c>
      <c r="Y31" s="10">
        <v>32.01</v>
      </c>
      <c r="Z31" s="10">
        <v>30.42</v>
      </c>
      <c r="AA31" s="10">
        <v>30.44</v>
      </c>
      <c r="AB31" s="95">
        <v>1182600</v>
      </c>
      <c r="AC31" s="10">
        <v>30.44</v>
      </c>
      <c r="AD31" s="2">
        <f t="shared" si="0"/>
        <v>1.5899999999999963</v>
      </c>
      <c r="AE31" s="138">
        <f t="shared" si="1"/>
        <v>-9.0257023311416607E-2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42544</v>
      </c>
      <c r="X32" s="10">
        <v>33.17</v>
      </c>
      <c r="Y32" s="10">
        <v>33.47</v>
      </c>
      <c r="Z32" s="10">
        <v>33.17</v>
      </c>
      <c r="AA32" s="10">
        <v>33.46</v>
      </c>
      <c r="AB32" s="95">
        <v>462100</v>
      </c>
      <c r="AC32" s="10">
        <v>33.46</v>
      </c>
      <c r="AD32" s="2">
        <f t="shared" si="0"/>
        <v>0.29999999999999716</v>
      </c>
      <c r="AE32" s="138">
        <f t="shared" si="1"/>
        <v>2.5436714679742511E-2</v>
      </c>
    </row>
    <row r="33" spans="1:31" x14ac:dyDescent="0.25">
      <c r="W33" s="133">
        <v>42543</v>
      </c>
      <c r="X33" s="10">
        <v>32.85</v>
      </c>
      <c r="Y33" s="10">
        <v>32.9</v>
      </c>
      <c r="Z33" s="10">
        <v>32.49</v>
      </c>
      <c r="AA33" s="10">
        <v>32.630000000000003</v>
      </c>
      <c r="AB33" s="95">
        <v>484300</v>
      </c>
      <c r="AC33" s="10">
        <v>32.630000000000003</v>
      </c>
      <c r="AD33" s="2">
        <f t="shared" si="0"/>
        <v>0.40999999999999659</v>
      </c>
      <c r="AE33" s="138">
        <f t="shared" si="1"/>
        <v>-9.1855480710334447E-4</v>
      </c>
    </row>
    <row r="34" spans="1:31" x14ac:dyDescent="0.25">
      <c r="W34" s="133">
        <v>42542</v>
      </c>
      <c r="X34" s="10">
        <v>33.340000000000003</v>
      </c>
      <c r="Y34" s="10">
        <v>33.42</v>
      </c>
      <c r="Z34" s="10">
        <v>32.53</v>
      </c>
      <c r="AA34" s="10">
        <v>32.659999999999997</v>
      </c>
      <c r="AB34" s="95">
        <v>747400</v>
      </c>
      <c r="AC34" s="10">
        <v>32.659999999999997</v>
      </c>
      <c r="AD34" s="2">
        <f t="shared" si="0"/>
        <v>0.89000000000000057</v>
      </c>
      <c r="AE34" s="138">
        <f t="shared" si="1"/>
        <v>-2.0983213429256686E-2</v>
      </c>
    </row>
    <row r="35" spans="1:31" x14ac:dyDescent="0.25">
      <c r="W35" s="133">
        <v>42541</v>
      </c>
      <c r="X35" s="10">
        <v>33.479999999999997</v>
      </c>
      <c r="Y35" s="10">
        <v>33.72</v>
      </c>
      <c r="Z35" s="10">
        <v>33.26</v>
      </c>
      <c r="AA35" s="10">
        <v>33.36</v>
      </c>
      <c r="AB35" s="95">
        <v>406600</v>
      </c>
      <c r="AC35" s="10">
        <v>33.36</v>
      </c>
      <c r="AD35" s="2">
        <f t="shared" si="0"/>
        <v>0.46000000000000085</v>
      </c>
      <c r="AE35" s="138">
        <f t="shared" si="1"/>
        <v>1.3365735115431265E-2</v>
      </c>
    </row>
    <row r="36" spans="1:31" x14ac:dyDescent="0.25">
      <c r="L36" t="s">
        <v>230</v>
      </c>
      <c r="M36" s="2">
        <f>M47+K47-F47</f>
        <v>529.88000000000284</v>
      </c>
      <c r="W36" s="133">
        <v>42538</v>
      </c>
      <c r="X36" s="10">
        <v>32.6</v>
      </c>
      <c r="Y36" s="10">
        <v>33.07</v>
      </c>
      <c r="Z36" s="10">
        <v>32.409999999999997</v>
      </c>
      <c r="AA36" s="10">
        <v>32.92</v>
      </c>
      <c r="AB36" s="95">
        <v>893300</v>
      </c>
      <c r="AC36" s="10">
        <v>32.92</v>
      </c>
      <c r="AD36" s="2">
        <f t="shared" si="0"/>
        <v>0.66000000000000369</v>
      </c>
      <c r="AE36" s="138">
        <f t="shared" si="1"/>
        <v>1.3234841489689231E-2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42537</v>
      </c>
      <c r="X37" s="10">
        <v>32.22</v>
      </c>
      <c r="Y37" s="10">
        <v>32.619999999999997</v>
      </c>
      <c r="Z37" s="10">
        <v>31.8</v>
      </c>
      <c r="AA37" s="10">
        <v>32.49</v>
      </c>
      <c r="AB37" s="95">
        <v>568600</v>
      </c>
      <c r="AC37" s="10">
        <v>32.49</v>
      </c>
      <c r="AD37" s="2">
        <f t="shared" si="0"/>
        <v>0.81999999999999673</v>
      </c>
      <c r="AE37" s="138">
        <f t="shared" si="1"/>
        <v>1.5413070283600838E-3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42536</v>
      </c>
      <c r="X38" s="10">
        <v>32.770000000000003</v>
      </c>
      <c r="Y38" s="10">
        <v>32.97</v>
      </c>
      <c r="Z38" s="10">
        <v>32.409999999999997</v>
      </c>
      <c r="AA38" s="10">
        <v>32.44</v>
      </c>
      <c r="AB38" s="95">
        <v>415100</v>
      </c>
      <c r="AC38" s="10">
        <v>32.44</v>
      </c>
      <c r="AD38" s="2">
        <f t="shared" si="0"/>
        <v>0.56000000000000227</v>
      </c>
      <c r="AE38" s="138">
        <f t="shared" si="1"/>
        <v>-2.4600246002461912E-3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42535</v>
      </c>
      <c r="X39" s="10">
        <v>32.72</v>
      </c>
      <c r="Y39" s="10">
        <v>33.130000000000003</v>
      </c>
      <c r="Z39" s="10">
        <v>32.33</v>
      </c>
      <c r="AA39" s="10">
        <v>32.520000000000003</v>
      </c>
      <c r="AB39" s="95">
        <v>879400</v>
      </c>
      <c r="AC39" s="10">
        <v>32.520000000000003</v>
      </c>
      <c r="AD39" s="2">
        <f t="shared" si="0"/>
        <v>0.80000000000000426</v>
      </c>
      <c r="AE39" s="138">
        <f t="shared" si="1"/>
        <v>-1.1850501367365318E-2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42534</v>
      </c>
      <c r="X40" s="10">
        <v>33.369999999999997</v>
      </c>
      <c r="Y40" s="10">
        <v>33.5</v>
      </c>
      <c r="Z40" s="10">
        <v>32.89</v>
      </c>
      <c r="AA40" s="10">
        <v>32.909999999999997</v>
      </c>
      <c r="AB40" s="95">
        <v>448200</v>
      </c>
      <c r="AC40" s="10">
        <v>32.909999999999997</v>
      </c>
      <c r="AD40" s="2">
        <f t="shared" si="0"/>
        <v>0.60999999999999943</v>
      </c>
      <c r="AE40" s="138">
        <f t="shared" si="1"/>
        <v>-1.5849282296650724E-2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42531</v>
      </c>
      <c r="X41" s="10">
        <v>33.61</v>
      </c>
      <c r="Y41" s="10">
        <v>33.630000000000003</v>
      </c>
      <c r="Z41" s="10">
        <v>33.07</v>
      </c>
      <c r="AA41" s="10">
        <v>33.44</v>
      </c>
      <c r="AB41" s="95">
        <v>877900</v>
      </c>
      <c r="AC41" s="10">
        <v>33.44</v>
      </c>
      <c r="AD41" s="2">
        <f t="shared" si="0"/>
        <v>0.56000000000000227</v>
      </c>
      <c r="AE41" s="138">
        <f t="shared" si="1"/>
        <v>-1.9067175124670155E-2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42530</v>
      </c>
      <c r="X42" s="10">
        <v>33.96</v>
      </c>
      <c r="Y42" s="10">
        <v>34.14</v>
      </c>
      <c r="Z42" s="10">
        <v>33.74</v>
      </c>
      <c r="AA42" s="10">
        <v>34.090000000000003</v>
      </c>
      <c r="AB42" s="95">
        <v>247800</v>
      </c>
      <c r="AC42" s="10">
        <v>34.090000000000003</v>
      </c>
      <c r="AD42" s="2">
        <f t="shared" si="0"/>
        <v>0.39999999999999858</v>
      </c>
      <c r="AE42" s="138">
        <f t="shared" si="1"/>
        <v>-8.4351367073879358E-3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37.576000000000001</v>
      </c>
      <c r="T43" s="93" t="s">
        <v>98</v>
      </c>
      <c r="U43" s="444">
        <v>33.36</v>
      </c>
      <c r="W43" s="133">
        <v>42529</v>
      </c>
      <c r="X43" s="10">
        <v>34.5</v>
      </c>
      <c r="Y43" s="10">
        <v>34.57</v>
      </c>
      <c r="Z43" s="10">
        <v>34.25</v>
      </c>
      <c r="AA43" s="10">
        <v>34.380000000000003</v>
      </c>
      <c r="AB43" s="95">
        <v>740900</v>
      </c>
      <c r="AC43" s="10">
        <v>34.380000000000003</v>
      </c>
      <c r="AD43" s="2">
        <f t="shared" si="0"/>
        <v>0.32000000000000028</v>
      </c>
      <c r="AE43" s="138">
        <f t="shared" si="1"/>
        <v>3.2098044937263204E-3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37.234400000000001</v>
      </c>
      <c r="T44" s="93" t="s">
        <v>99</v>
      </c>
      <c r="U44" s="444">
        <v>33.57</v>
      </c>
      <c r="W44" s="133">
        <v>42528</v>
      </c>
      <c r="X44" s="10">
        <v>33.950000000000003</v>
      </c>
      <c r="Y44" s="10">
        <v>34.369999999999997</v>
      </c>
      <c r="Z44" s="10">
        <v>33.869999999999997</v>
      </c>
      <c r="AA44" s="10">
        <v>34.270000000000003</v>
      </c>
      <c r="AB44" s="95">
        <v>376500</v>
      </c>
      <c r="AC44" s="10">
        <v>34.270000000000003</v>
      </c>
      <c r="AD44" s="2">
        <f t="shared" si="0"/>
        <v>0.5</v>
      </c>
      <c r="AE44" s="138">
        <f t="shared" si="1"/>
        <v>9.7230406599884134E-3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36.892800000000001</v>
      </c>
      <c r="T45" s="93" t="s">
        <v>100</v>
      </c>
      <c r="U45" s="444" t="s">
        <v>363</v>
      </c>
      <c r="W45" s="133">
        <v>42527</v>
      </c>
      <c r="X45" s="10">
        <v>33.79</v>
      </c>
      <c r="Y45" s="10">
        <v>34.07</v>
      </c>
      <c r="Z45" s="10">
        <v>33.49</v>
      </c>
      <c r="AA45" s="10">
        <v>33.94</v>
      </c>
      <c r="AB45" s="95">
        <v>704000</v>
      </c>
      <c r="AC45" s="10">
        <v>33.94</v>
      </c>
      <c r="AD45" s="2">
        <f t="shared" si="0"/>
        <v>0.57999999999999829</v>
      </c>
      <c r="AE45" s="138">
        <f t="shared" si="1"/>
        <v>1.1323003575685275E-2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36.551200000000001</v>
      </c>
      <c r="Q46" s="2"/>
      <c r="T46" s="93" t="s">
        <v>101</v>
      </c>
      <c r="U46" s="444" t="s">
        <v>369</v>
      </c>
      <c r="W46" s="133">
        <v>42524</v>
      </c>
      <c r="X46" s="10">
        <v>33.96</v>
      </c>
      <c r="Y46" s="10">
        <v>33.96</v>
      </c>
      <c r="Z46" s="10">
        <v>33.31</v>
      </c>
      <c r="AA46" s="10">
        <v>33.56</v>
      </c>
      <c r="AB46" s="95">
        <v>655300</v>
      </c>
      <c r="AC46" s="10">
        <v>33.56</v>
      </c>
      <c r="AD46" s="2">
        <f t="shared" si="0"/>
        <v>0.64999999999999858</v>
      </c>
      <c r="AE46" s="138">
        <f t="shared" si="1"/>
        <v>-7.1005917159762122E-3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36.209599999999995</v>
      </c>
      <c r="Q47" s="2"/>
      <c r="T47" s="93" t="s">
        <v>102</v>
      </c>
      <c r="U47" s="444">
        <v>34.33</v>
      </c>
      <c r="W47" s="133">
        <v>42523</v>
      </c>
      <c r="X47" s="10">
        <v>33.090000000000003</v>
      </c>
      <c r="Y47" s="10">
        <v>33.840000000000003</v>
      </c>
      <c r="Z47" s="10">
        <v>33.090000000000003</v>
      </c>
      <c r="AA47" s="10">
        <v>33.799999999999997</v>
      </c>
      <c r="AB47" s="95">
        <v>635100</v>
      </c>
      <c r="AC47" s="10">
        <v>33.799999999999997</v>
      </c>
      <c r="AD47" s="2">
        <f t="shared" si="0"/>
        <v>0.75</v>
      </c>
      <c r="AE47" s="138">
        <f t="shared" si="1"/>
        <v>1.6235718580877911E-2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35.867999999999995</v>
      </c>
      <c r="Q48" s="2"/>
      <c r="T48" s="93" t="s">
        <v>103</v>
      </c>
      <c r="U48" s="444">
        <v>1.4225300000000001</v>
      </c>
      <c r="W48" s="133">
        <v>42522</v>
      </c>
      <c r="X48" s="10">
        <v>32.96</v>
      </c>
      <c r="Y48" s="10">
        <v>33.42</v>
      </c>
      <c r="Z48" s="10">
        <v>32.6</v>
      </c>
      <c r="AA48" s="10">
        <v>33.26</v>
      </c>
      <c r="AB48" s="95">
        <v>778600</v>
      </c>
      <c r="AC48" s="10">
        <v>33.26</v>
      </c>
      <c r="AD48" s="2">
        <f t="shared" si="0"/>
        <v>0.82000000000000028</v>
      </c>
      <c r="AE48" s="138">
        <f t="shared" si="1"/>
        <v>3.0075187969913486E-4</v>
      </c>
    </row>
    <row r="49" spans="15:31" x14ac:dyDescent="0.25">
      <c r="O49" s="83">
        <v>1.04</v>
      </c>
      <c r="P49" s="83">
        <f t="shared" si="5"/>
        <v>35.526399999999995</v>
      </c>
      <c r="Q49" s="2"/>
      <c r="T49" s="93" t="s">
        <v>123</v>
      </c>
      <c r="U49" s="444" t="s">
        <v>357</v>
      </c>
      <c r="W49" s="133">
        <v>42521</v>
      </c>
      <c r="X49" s="10">
        <v>33.520000000000003</v>
      </c>
      <c r="Y49" s="10">
        <v>33.979999999999997</v>
      </c>
      <c r="Z49" s="10">
        <v>33.14</v>
      </c>
      <c r="AA49" s="10">
        <v>33.25</v>
      </c>
      <c r="AB49" s="95">
        <v>966600</v>
      </c>
      <c r="AC49" s="10">
        <v>33.25</v>
      </c>
      <c r="AD49" s="2">
        <f t="shared" si="0"/>
        <v>0.83999999999999631</v>
      </c>
      <c r="AE49" s="138">
        <f t="shared" si="1"/>
        <v>-5.6818181818181213E-3</v>
      </c>
    </row>
    <row r="50" spans="15:31" x14ac:dyDescent="0.25">
      <c r="O50" s="83">
        <v>1.03</v>
      </c>
      <c r="P50" s="83">
        <f t="shared" si="5"/>
        <v>35.184799999999996</v>
      </c>
      <c r="Q50" s="2"/>
      <c r="T50" s="93"/>
      <c r="U50" s="444"/>
      <c r="W50" s="133">
        <v>42517</v>
      </c>
      <c r="X50" s="10">
        <v>33.590000000000003</v>
      </c>
      <c r="Y50" s="10">
        <v>33.9</v>
      </c>
      <c r="Z50" s="10">
        <v>33.26</v>
      </c>
      <c r="AA50" s="10">
        <v>33.44</v>
      </c>
      <c r="AB50" s="95">
        <v>579700</v>
      </c>
      <c r="AC50" s="10">
        <v>33.44</v>
      </c>
      <c r="AD50" s="2">
        <f t="shared" si="0"/>
        <v>0.64000000000000057</v>
      </c>
      <c r="AE50" s="138">
        <f t="shared" si="1"/>
        <v>-7.1258907363420665E-3</v>
      </c>
    </row>
    <row r="51" spans="15:31" x14ac:dyDescent="0.25">
      <c r="O51" s="83">
        <v>1.02</v>
      </c>
      <c r="P51" s="83">
        <f t="shared" si="5"/>
        <v>34.843199999999996</v>
      </c>
      <c r="Q51" s="2"/>
      <c r="T51" s="93" t="s">
        <v>105</v>
      </c>
      <c r="U51" s="444" t="s">
        <v>464</v>
      </c>
      <c r="W51" s="133">
        <v>42516</v>
      </c>
      <c r="X51" s="10">
        <v>34.229999999999997</v>
      </c>
      <c r="Y51" s="10">
        <v>34.43</v>
      </c>
      <c r="Z51" s="10">
        <v>33.57</v>
      </c>
      <c r="AA51" s="10">
        <v>33.68</v>
      </c>
      <c r="AB51" s="95">
        <v>522000</v>
      </c>
      <c r="AC51" s="10">
        <v>33.68</v>
      </c>
      <c r="AD51" s="2">
        <f t="shared" si="0"/>
        <v>0.85999999999999943</v>
      </c>
      <c r="AE51" s="138">
        <f t="shared" si="1"/>
        <v>-1.0575793184488869E-2</v>
      </c>
    </row>
    <row r="52" spans="15:31" x14ac:dyDescent="0.25">
      <c r="O52" s="83">
        <v>1.01</v>
      </c>
      <c r="P52" s="83">
        <f t="shared" si="5"/>
        <v>34.501599999999996</v>
      </c>
      <c r="Q52" s="2"/>
      <c r="T52" s="93" t="s">
        <v>106</v>
      </c>
      <c r="U52" s="444" t="s">
        <v>278</v>
      </c>
      <c r="W52" s="133">
        <v>42515</v>
      </c>
      <c r="X52" s="10">
        <v>33.47</v>
      </c>
      <c r="Y52" s="10">
        <v>34.159999999999997</v>
      </c>
      <c r="Z52" s="10">
        <v>33.25</v>
      </c>
      <c r="AA52" s="10">
        <v>34.04</v>
      </c>
      <c r="AB52" s="95">
        <v>506700</v>
      </c>
      <c r="AC52" s="10">
        <v>34.04</v>
      </c>
      <c r="AD52" s="2">
        <f t="shared" si="0"/>
        <v>0.90999999999999659</v>
      </c>
      <c r="AE52" s="138">
        <f t="shared" si="1"/>
        <v>2.4683925346177027E-2</v>
      </c>
    </row>
    <row r="53" spans="15:31" x14ac:dyDescent="0.25">
      <c r="O53" s="83">
        <v>1</v>
      </c>
      <c r="P53" s="83">
        <f t="shared" si="5"/>
        <v>34.159999999999997</v>
      </c>
      <c r="Q53" s="2"/>
      <c r="T53" s="93" t="s">
        <v>107</v>
      </c>
      <c r="U53" s="445">
        <v>483047</v>
      </c>
      <c r="W53" s="133">
        <v>42514</v>
      </c>
      <c r="X53" s="10">
        <v>32.85</v>
      </c>
      <c r="Y53" s="10">
        <v>33.36</v>
      </c>
      <c r="Z53" s="10">
        <v>32.6</v>
      </c>
      <c r="AA53" s="10">
        <v>33.22</v>
      </c>
      <c r="AB53" s="95">
        <v>510300</v>
      </c>
      <c r="AC53" s="10">
        <v>33.22</v>
      </c>
      <c r="AD53" s="2">
        <f t="shared" si="0"/>
        <v>0.75999999999999801</v>
      </c>
      <c r="AE53" s="138">
        <f t="shared" si="1"/>
        <v>1.6523867809057569E-2</v>
      </c>
    </row>
    <row r="54" spans="15:31" x14ac:dyDescent="0.25">
      <c r="O54" s="83">
        <v>0.99</v>
      </c>
      <c r="P54" s="83">
        <f t="shared" si="5"/>
        <v>33.818399999999997</v>
      </c>
      <c r="Q54" s="2"/>
      <c r="T54" s="93" t="s">
        <v>110</v>
      </c>
      <c r="U54" s="445">
        <v>708792</v>
      </c>
      <c r="W54" s="133">
        <v>42513</v>
      </c>
      <c r="X54" s="10">
        <v>32.42</v>
      </c>
      <c r="Y54" s="10">
        <v>32.729999999999997</v>
      </c>
      <c r="Z54" s="10">
        <v>32.26</v>
      </c>
      <c r="AA54" s="10">
        <v>32.68</v>
      </c>
      <c r="AB54" s="95">
        <v>467600</v>
      </c>
      <c r="AC54" s="10">
        <v>32.68</v>
      </c>
      <c r="AD54" s="2">
        <f t="shared" si="0"/>
        <v>0.46999999999999886</v>
      </c>
      <c r="AE54" s="138">
        <f t="shared" si="1"/>
        <v>3.377341111452159E-3</v>
      </c>
    </row>
    <row r="55" spans="15:31" x14ac:dyDescent="0.25">
      <c r="O55" s="83">
        <v>0.98</v>
      </c>
      <c r="P55" s="83">
        <f t="shared" si="5"/>
        <v>33.476799999999997</v>
      </c>
      <c r="Q55" s="2"/>
      <c r="T55" s="93" t="s">
        <v>108</v>
      </c>
      <c r="U55" s="444" t="s">
        <v>465</v>
      </c>
      <c r="W55" s="133">
        <v>42510</v>
      </c>
      <c r="X55" s="10">
        <v>32.65</v>
      </c>
      <c r="Y55" s="10">
        <v>32.840000000000003</v>
      </c>
      <c r="Z55" s="10">
        <v>32.479999999999997</v>
      </c>
      <c r="AA55" s="10">
        <v>32.57</v>
      </c>
      <c r="AB55" s="95">
        <v>423100</v>
      </c>
      <c r="AC55" s="10">
        <v>32.57</v>
      </c>
      <c r="AD55" s="2">
        <f t="shared" si="0"/>
        <v>0.36000000000000654</v>
      </c>
      <c r="AE55" s="138">
        <f t="shared" si="1"/>
        <v>5.5572707625810569E-3</v>
      </c>
    </row>
    <row r="56" spans="15:31" x14ac:dyDescent="0.25">
      <c r="O56" s="83">
        <v>0.97</v>
      </c>
      <c r="P56" s="83">
        <f t="shared" si="5"/>
        <v>33.135199999999998</v>
      </c>
      <c r="Q56" s="2"/>
      <c r="T56" s="93" t="s">
        <v>111</v>
      </c>
      <c r="U56" s="444">
        <v>20.43</v>
      </c>
      <c r="W56" s="133">
        <v>42509</v>
      </c>
      <c r="X56" s="10">
        <v>32.54</v>
      </c>
      <c r="Y56" s="10">
        <v>32.729999999999997</v>
      </c>
      <c r="Z56" s="10">
        <v>31.96</v>
      </c>
      <c r="AA56" s="10">
        <v>32.39</v>
      </c>
      <c r="AB56" s="95">
        <v>494500</v>
      </c>
      <c r="AC56" s="10">
        <v>32.39</v>
      </c>
      <c r="AD56" s="2">
        <f t="shared" si="0"/>
        <v>0.76999999999999602</v>
      </c>
      <c r="AE56" s="138">
        <f t="shared" si="1"/>
        <v>-1.5501519756838888E-2</v>
      </c>
    </row>
    <row r="57" spans="15:31" x14ac:dyDescent="0.25">
      <c r="O57" s="83">
        <v>0.96</v>
      </c>
      <c r="P57" s="83">
        <f t="shared" si="5"/>
        <v>32.793599999999998</v>
      </c>
      <c r="Q57" s="2"/>
      <c r="T57" s="93" t="s">
        <v>112</v>
      </c>
      <c r="U57" s="444">
        <v>1.67</v>
      </c>
      <c r="W57" s="133">
        <v>42508</v>
      </c>
      <c r="X57" s="10">
        <v>33.130000000000003</v>
      </c>
      <c r="Y57" s="10">
        <v>33.54</v>
      </c>
      <c r="Z57" s="10">
        <v>32.76</v>
      </c>
      <c r="AA57" s="10">
        <v>32.9</v>
      </c>
      <c r="AB57" s="95">
        <v>451700</v>
      </c>
      <c r="AC57" s="10">
        <v>32.9</v>
      </c>
      <c r="AD57" s="2">
        <f t="shared" si="0"/>
        <v>0.78000000000000114</v>
      </c>
      <c r="AE57" s="138" t="e">
        <f t="shared" si="1"/>
        <v>#DIV/0!</v>
      </c>
    </row>
    <row r="58" spans="15:31" x14ac:dyDescent="0.25">
      <c r="O58" s="83">
        <v>0.95</v>
      </c>
      <c r="P58" s="83">
        <f t="shared" si="5"/>
        <v>32.451999999999998</v>
      </c>
      <c r="Q58" s="2"/>
      <c r="T58" s="93" t="s">
        <v>109</v>
      </c>
      <c r="U58" s="444" t="s">
        <v>575</v>
      </c>
      <c r="W58" s="133">
        <v>42508</v>
      </c>
      <c r="X58" s="10" t="s">
        <v>142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15:31" x14ac:dyDescent="0.25">
      <c r="O59" s="83">
        <v>0.94</v>
      </c>
      <c r="P59" s="83">
        <f t="shared" si="5"/>
        <v>32.110399999999998</v>
      </c>
      <c r="W59" s="133">
        <v>42507</v>
      </c>
      <c r="X59" s="10">
        <v>33.340000000000003</v>
      </c>
      <c r="Y59" s="10">
        <v>34.21</v>
      </c>
      <c r="Z59" s="10">
        <v>33.18</v>
      </c>
      <c r="AA59" s="10">
        <v>33.549999999999997</v>
      </c>
      <c r="AB59" s="95">
        <v>782000</v>
      </c>
      <c r="AC59" s="10">
        <v>33.29</v>
      </c>
      <c r="AD59" s="2">
        <f t="shared" si="0"/>
        <v>1.0300000000000011</v>
      </c>
      <c r="AE59" s="138">
        <f t="shared" si="1"/>
        <v>3.9203860072376528E-3</v>
      </c>
    </row>
    <row r="60" spans="15:31" x14ac:dyDescent="0.25">
      <c r="O60" s="83">
        <v>0.93</v>
      </c>
      <c r="P60" s="83">
        <f t="shared" si="5"/>
        <v>31.768799999999999</v>
      </c>
      <c r="W60" s="133">
        <v>42506</v>
      </c>
      <c r="X60" s="10">
        <v>33.19</v>
      </c>
      <c r="Y60" s="10">
        <v>33.68</v>
      </c>
      <c r="Z60" s="10">
        <v>33.03</v>
      </c>
      <c r="AA60" s="10">
        <v>33.42</v>
      </c>
      <c r="AB60" s="95">
        <v>478400</v>
      </c>
      <c r="AC60" s="10">
        <v>33.159999999999997</v>
      </c>
      <c r="AD60" s="2">
        <f t="shared" si="0"/>
        <v>0.64999999999999858</v>
      </c>
      <c r="AE60" s="138">
        <f t="shared" si="1"/>
        <v>1.5620214395099419E-2</v>
      </c>
    </row>
    <row r="61" spans="15:31" x14ac:dyDescent="0.25">
      <c r="O61" s="83">
        <v>0.92</v>
      </c>
      <c r="P61" s="83">
        <f t="shared" si="5"/>
        <v>31.427199999999999</v>
      </c>
      <c r="W61" s="133">
        <v>42503</v>
      </c>
      <c r="X61" s="10">
        <v>33.44</v>
      </c>
      <c r="Y61" s="10">
        <v>33.72</v>
      </c>
      <c r="Z61" s="10">
        <v>32.729999999999997</v>
      </c>
      <c r="AA61" s="10">
        <v>32.9</v>
      </c>
      <c r="AB61" s="95">
        <v>527000</v>
      </c>
      <c r="AC61" s="10">
        <v>32.65</v>
      </c>
      <c r="AD61" s="2">
        <f t="shared" si="0"/>
        <v>0.99000000000000199</v>
      </c>
      <c r="AE61" s="138">
        <f t="shared" si="1"/>
        <v>-1.6862390846130726E-2</v>
      </c>
    </row>
    <row r="62" spans="15:31" x14ac:dyDescent="0.25">
      <c r="O62" s="83">
        <v>0.91</v>
      </c>
      <c r="P62" s="83">
        <f t="shared" si="5"/>
        <v>31.085599999999999</v>
      </c>
      <c r="W62" s="133">
        <v>42502</v>
      </c>
      <c r="X62" s="10">
        <v>34.049999999999997</v>
      </c>
      <c r="Y62" s="10">
        <v>34.22</v>
      </c>
      <c r="Z62" s="10">
        <v>33.15</v>
      </c>
      <c r="AA62" s="10">
        <v>33.47</v>
      </c>
      <c r="AB62" s="95">
        <v>813200</v>
      </c>
      <c r="AC62" s="10">
        <v>33.21</v>
      </c>
      <c r="AD62" s="2">
        <f t="shared" si="0"/>
        <v>1.0700000000000003</v>
      </c>
      <c r="AE62" s="138">
        <f t="shared" si="1"/>
        <v>-8.3607046879665692E-3</v>
      </c>
    </row>
    <row r="63" spans="15:31" x14ac:dyDescent="0.25">
      <c r="O63" s="83">
        <v>0.9</v>
      </c>
      <c r="P63" s="83">
        <f t="shared" si="5"/>
        <v>30.743999999999996</v>
      </c>
      <c r="W63" s="133">
        <v>42501</v>
      </c>
      <c r="X63" s="10">
        <v>33.72</v>
      </c>
      <c r="Y63" s="10">
        <v>34.14</v>
      </c>
      <c r="Z63" s="10">
        <v>33.54</v>
      </c>
      <c r="AA63" s="10">
        <v>33.75</v>
      </c>
      <c r="AB63" s="95">
        <v>439300</v>
      </c>
      <c r="AC63" s="10">
        <v>33.49</v>
      </c>
      <c r="AD63" s="2">
        <f t="shared" si="0"/>
        <v>0.60000000000000142</v>
      </c>
      <c r="AE63" s="138">
        <f t="shared" si="1"/>
        <v>1.1958146487294208E-3</v>
      </c>
    </row>
    <row r="64" spans="15:31" x14ac:dyDescent="0.25">
      <c r="W64" s="133">
        <v>42500</v>
      </c>
      <c r="X64" s="10">
        <v>32.72</v>
      </c>
      <c r="Y64" s="10">
        <v>33.770000000000003</v>
      </c>
      <c r="Z64" s="10">
        <v>32.54</v>
      </c>
      <c r="AA64" s="10">
        <v>33.71</v>
      </c>
      <c r="AB64" s="95">
        <v>676800</v>
      </c>
      <c r="AC64" s="10">
        <v>33.450000000000003</v>
      </c>
      <c r="AD64" s="2">
        <f t="shared" si="0"/>
        <v>1.230000000000004</v>
      </c>
      <c r="AE64" s="138">
        <f t="shared" si="1"/>
        <v>3.464274667491507E-2</v>
      </c>
    </row>
    <row r="65" spans="23:31" x14ac:dyDescent="0.25">
      <c r="W65" s="133">
        <v>42499</v>
      </c>
      <c r="X65" s="10">
        <v>33.35</v>
      </c>
      <c r="Y65" s="10">
        <v>33.56</v>
      </c>
      <c r="Z65" s="10">
        <v>32.51</v>
      </c>
      <c r="AA65" s="10">
        <v>32.58</v>
      </c>
      <c r="AB65" s="95">
        <v>1254100</v>
      </c>
      <c r="AC65" s="10">
        <v>32.33</v>
      </c>
      <c r="AD65" s="2">
        <f t="shared" si="0"/>
        <v>1.0500000000000043</v>
      </c>
      <c r="AE65" s="138">
        <f t="shared" si="1"/>
        <v>-3.0003000300030003E-2</v>
      </c>
    </row>
    <row r="66" spans="23:31" x14ac:dyDescent="0.25">
      <c r="W66" s="133">
        <v>42496</v>
      </c>
      <c r="X66" s="10">
        <v>33.340000000000003</v>
      </c>
      <c r="Y66" s="10">
        <v>33.69</v>
      </c>
      <c r="Z66" s="10">
        <v>33.19</v>
      </c>
      <c r="AA66" s="10">
        <v>33.590000000000003</v>
      </c>
      <c r="AB66" s="95">
        <v>1106400</v>
      </c>
      <c r="AC66" s="10">
        <v>33.33</v>
      </c>
      <c r="AD66" s="2">
        <f t="shared" si="0"/>
        <v>0.5</v>
      </c>
      <c r="AE66" s="138">
        <f t="shared" si="1"/>
        <v>4.8236358154958303E-3</v>
      </c>
    </row>
    <row r="67" spans="23:31" x14ac:dyDescent="0.25">
      <c r="W67" s="133">
        <v>42495</v>
      </c>
      <c r="X67" s="10">
        <v>33.81</v>
      </c>
      <c r="Y67" s="10">
        <v>34</v>
      </c>
      <c r="Z67" s="10">
        <v>33.26</v>
      </c>
      <c r="AA67" s="10">
        <v>33.43</v>
      </c>
      <c r="AB67" s="95">
        <v>1195700</v>
      </c>
      <c r="AC67" s="10">
        <v>33.17</v>
      </c>
      <c r="AD67" s="2">
        <f>Y67-Z67</f>
        <v>0.74000000000000199</v>
      </c>
      <c r="AE67" s="138">
        <f>AC67/AC68-1</f>
        <v>-2.4060150375939671E-3</v>
      </c>
    </row>
    <row r="68" spans="23:31" x14ac:dyDescent="0.25">
      <c r="W68" s="133">
        <v>42494</v>
      </c>
      <c r="X68" s="10">
        <v>34.270000000000003</v>
      </c>
      <c r="Y68" s="10">
        <v>34.49</v>
      </c>
      <c r="Z68" s="10">
        <v>33.31</v>
      </c>
      <c r="AA68" s="10">
        <v>33.51</v>
      </c>
      <c r="AB68" s="95">
        <v>1147100</v>
      </c>
      <c r="AC68" s="10">
        <v>33.25</v>
      </c>
      <c r="AD68" s="2">
        <f>Y68-Z68</f>
        <v>1.1799999999999997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42587</v>
      </c>
      <c r="X2" s="10">
        <v>106.85</v>
      </c>
      <c r="Y2" s="10">
        <v>107.74</v>
      </c>
      <c r="Z2" s="10">
        <v>106.68</v>
      </c>
      <c r="AA2" s="10">
        <v>107.74</v>
      </c>
      <c r="AB2" s="95">
        <v>2673900</v>
      </c>
      <c r="AC2" s="10">
        <v>107.74</v>
      </c>
      <c r="AD2" s="2">
        <f>Y2-Z2</f>
        <v>1.0599999999999881</v>
      </c>
      <c r="AE2" s="138">
        <f>AC2/AC3-1</f>
        <v>1.2974802557352394E-2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107.79</v>
      </c>
      <c r="W3" s="133">
        <v>42586</v>
      </c>
      <c r="X3" s="10">
        <v>106.55</v>
      </c>
      <c r="Y3" s="10">
        <v>107.07</v>
      </c>
      <c r="Z3" s="10">
        <v>106.32</v>
      </c>
      <c r="AA3" s="10">
        <v>106.36</v>
      </c>
      <c r="AB3" s="95">
        <v>1861900</v>
      </c>
      <c r="AC3" s="10">
        <v>106.36</v>
      </c>
      <c r="AD3" s="2">
        <f t="shared" ref="AD3:AD66" si="0">Y3-Z3</f>
        <v>0.75</v>
      </c>
      <c r="AE3" s="138">
        <f t="shared" ref="AE3:AE66" si="1">AC3/AC4-1</f>
        <v>6.5857559507009888E-4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107.79</v>
      </c>
      <c r="W4" s="133">
        <v>42585</v>
      </c>
      <c r="X4" s="10">
        <v>106.27</v>
      </c>
      <c r="Y4" s="10">
        <v>106.52</v>
      </c>
      <c r="Z4" s="10">
        <v>106.02</v>
      </c>
      <c r="AA4" s="10">
        <v>106.29</v>
      </c>
      <c r="AB4" s="95">
        <v>2969700</v>
      </c>
      <c r="AC4" s="10">
        <v>106.29</v>
      </c>
      <c r="AD4" s="2">
        <f t="shared" si="0"/>
        <v>0.5</v>
      </c>
      <c r="AE4" s="138">
        <f t="shared" si="1"/>
        <v>1.8819986826024149E-4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42584</v>
      </c>
      <c r="X5" s="10">
        <v>106.49</v>
      </c>
      <c r="Y5" s="10">
        <v>106.73</v>
      </c>
      <c r="Z5" s="10">
        <v>105.89</v>
      </c>
      <c r="AA5" s="10">
        <v>106.27</v>
      </c>
      <c r="AB5" s="95">
        <v>2368700</v>
      </c>
      <c r="AC5" s="10">
        <v>106.27</v>
      </c>
      <c r="AD5" s="2">
        <f t="shared" si="0"/>
        <v>0.84000000000000341</v>
      </c>
      <c r="AE5" s="138">
        <f t="shared" si="1"/>
        <v>-6.2651954366934604E-3</v>
      </c>
    </row>
    <row r="6" spans="1:31" x14ac:dyDescent="0.25">
      <c r="O6" s="11" t="s">
        <v>64</v>
      </c>
      <c r="Q6" s="2">
        <f>Q3*Q2</f>
        <v>0</v>
      </c>
      <c r="W6" s="133">
        <v>42583</v>
      </c>
      <c r="X6" s="10">
        <v>107.46</v>
      </c>
      <c r="Y6" s="10">
        <v>107.65</v>
      </c>
      <c r="Z6" s="10">
        <v>106.5</v>
      </c>
      <c r="AA6" s="10">
        <v>106.94</v>
      </c>
      <c r="AB6" s="95">
        <v>3059800</v>
      </c>
      <c r="AC6" s="10">
        <v>106.94</v>
      </c>
      <c r="AD6" s="2">
        <f t="shared" si="0"/>
        <v>1.1500000000000057</v>
      </c>
      <c r="AE6" s="138">
        <f t="shared" si="1"/>
        <v>-6.5954482117975832E-3</v>
      </c>
    </row>
    <row r="7" spans="1:31" x14ac:dyDescent="0.25">
      <c r="O7" s="11" t="s">
        <v>188</v>
      </c>
      <c r="Q7" s="2">
        <f>Q10+Q8</f>
        <v>114.84999999999991</v>
      </c>
      <c r="R7">
        <v>0</v>
      </c>
      <c r="W7" s="133">
        <v>42580</v>
      </c>
      <c r="X7" s="10">
        <v>107.5</v>
      </c>
      <c r="Y7" s="10">
        <v>108.08</v>
      </c>
      <c r="Z7" s="10">
        <v>107.19</v>
      </c>
      <c r="AA7" s="10">
        <v>107.65</v>
      </c>
      <c r="AB7" s="95">
        <v>3218500</v>
      </c>
      <c r="AC7" s="10">
        <v>107.65</v>
      </c>
      <c r="AD7" s="2">
        <f t="shared" si="0"/>
        <v>0.89000000000000057</v>
      </c>
      <c r="AE7" s="138">
        <f t="shared" si="1"/>
        <v>6.506785647890645E-4</v>
      </c>
    </row>
    <row r="8" spans="1:31" x14ac:dyDescent="0.25">
      <c r="O8" s="11" t="s">
        <v>192</v>
      </c>
      <c r="P8" s="34"/>
      <c r="Q8" s="2">
        <f>K18+M18-F18+Q2*Q4</f>
        <v>0</v>
      </c>
      <c r="W8" s="133">
        <v>42579</v>
      </c>
      <c r="X8" s="10">
        <v>107.69</v>
      </c>
      <c r="Y8" s="10">
        <v>107.99</v>
      </c>
      <c r="Z8" s="10">
        <v>107.1</v>
      </c>
      <c r="AA8" s="10">
        <v>107.58</v>
      </c>
      <c r="AB8" s="95">
        <v>2806700</v>
      </c>
      <c r="AC8" s="10">
        <v>107.58</v>
      </c>
      <c r="AD8" s="2">
        <f t="shared" si="0"/>
        <v>0.89000000000000057</v>
      </c>
      <c r="AE8" s="138">
        <f t="shared" si="1"/>
        <v>-1.0214504596527396E-3</v>
      </c>
    </row>
    <row r="9" spans="1:31" x14ac:dyDescent="0.25">
      <c r="O9" s="11" t="s">
        <v>231</v>
      </c>
      <c r="Q9" s="138">
        <f>IF(Q2=0, 0, Q8/Q6)</f>
        <v>0</v>
      </c>
      <c r="W9" s="133">
        <v>42578</v>
      </c>
      <c r="X9" s="10">
        <v>108.06</v>
      </c>
      <c r="Y9" s="10">
        <v>108.49</v>
      </c>
      <c r="Z9" s="10">
        <v>107.48</v>
      </c>
      <c r="AA9" s="10">
        <v>107.69</v>
      </c>
      <c r="AB9" s="95">
        <v>3986900</v>
      </c>
      <c r="AC9" s="10">
        <v>107.69</v>
      </c>
      <c r="AD9" s="2">
        <f t="shared" si="0"/>
        <v>1.0099999999999909</v>
      </c>
      <c r="AE9" s="138">
        <f t="shared" si="1"/>
        <v>-1.8537399202892546E-3</v>
      </c>
    </row>
    <row r="10" spans="1:31" x14ac:dyDescent="0.25">
      <c r="O10" s="11" t="s">
        <v>230</v>
      </c>
      <c r="P10" s="34"/>
      <c r="Q10" s="2">
        <f>M27</f>
        <v>114.84999999999991</v>
      </c>
      <c r="W10" s="133">
        <v>42577</v>
      </c>
      <c r="X10" s="10">
        <v>107.04</v>
      </c>
      <c r="Y10" s="10">
        <v>107.96</v>
      </c>
      <c r="Z10" s="10">
        <v>106.5</v>
      </c>
      <c r="AA10" s="10">
        <v>107.89</v>
      </c>
      <c r="AB10" s="95">
        <v>4414400</v>
      </c>
      <c r="AC10" s="10">
        <v>107.89</v>
      </c>
      <c r="AD10" s="2">
        <f t="shared" si="0"/>
        <v>1.4599999999999937</v>
      </c>
      <c r="AE10" s="138">
        <f t="shared" si="1"/>
        <v>3.0960344003822193E-2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2.4799999999999999E-2</v>
      </c>
      <c r="W11" s="133">
        <v>42576</v>
      </c>
      <c r="X11" s="10">
        <v>105.05</v>
      </c>
      <c r="Y11" s="10">
        <v>105.2</v>
      </c>
      <c r="Z11" s="10">
        <v>104.42</v>
      </c>
      <c r="AA11" s="10">
        <v>104.65</v>
      </c>
      <c r="AB11" s="95">
        <v>3458000</v>
      </c>
      <c r="AC11" s="10">
        <v>104.65</v>
      </c>
      <c r="AD11" s="2">
        <f t="shared" si="0"/>
        <v>0.78000000000000114</v>
      </c>
      <c r="AE11" s="138">
        <f t="shared" si="1"/>
        <v>-4.5657757062683713E-3</v>
      </c>
    </row>
    <row r="12" spans="1:31" x14ac:dyDescent="0.25">
      <c r="W12" s="133">
        <v>42573</v>
      </c>
      <c r="X12" s="10">
        <v>104.77</v>
      </c>
      <c r="Y12" s="10">
        <v>105.2</v>
      </c>
      <c r="Z12" s="10">
        <v>104.5</v>
      </c>
      <c r="AA12" s="10">
        <v>105.13</v>
      </c>
      <c r="AB12" s="95">
        <v>3495500</v>
      </c>
      <c r="AC12" s="10">
        <v>105.13</v>
      </c>
      <c r="AD12" s="2">
        <f t="shared" si="0"/>
        <v>0.70000000000000284</v>
      </c>
      <c r="AE12" s="138">
        <f t="shared" si="1"/>
        <v>-6.8020784128484113E-3</v>
      </c>
    </row>
    <row r="13" spans="1:31" x14ac:dyDescent="0.25">
      <c r="W13" s="133">
        <v>42572</v>
      </c>
      <c r="X13" s="10">
        <v>106.37</v>
      </c>
      <c r="Y13" s="10">
        <v>106.74</v>
      </c>
      <c r="Z13" s="10">
        <v>105.61</v>
      </c>
      <c r="AA13" s="10">
        <v>105.85</v>
      </c>
      <c r="AB13" s="95">
        <v>3808900</v>
      </c>
      <c r="AC13" s="10">
        <v>105.85</v>
      </c>
      <c r="AD13" s="2">
        <f t="shared" si="0"/>
        <v>1.1299999999999955</v>
      </c>
      <c r="AE13" s="138">
        <f t="shared" si="1"/>
        <v>-1.7917766880423125E-3</v>
      </c>
    </row>
    <row r="14" spans="1:31" x14ac:dyDescent="0.25">
      <c r="W14" s="133">
        <v>42571</v>
      </c>
      <c r="X14" s="10">
        <v>105.69</v>
      </c>
      <c r="Y14" s="10">
        <v>106.28</v>
      </c>
      <c r="Z14" s="10">
        <v>105.56</v>
      </c>
      <c r="AA14" s="10">
        <v>106.04</v>
      </c>
      <c r="AB14" s="95">
        <v>2987400</v>
      </c>
      <c r="AC14" s="10">
        <v>106.04</v>
      </c>
      <c r="AD14" s="2">
        <f t="shared" si="0"/>
        <v>0.71999999999999886</v>
      </c>
      <c r="AE14" s="138">
        <f t="shared" si="1"/>
        <v>3.9765195985608237E-3</v>
      </c>
    </row>
    <row r="15" spans="1:31" x14ac:dyDescent="0.25">
      <c r="W15" s="133">
        <v>42570</v>
      </c>
      <c r="X15" s="10">
        <v>104.99</v>
      </c>
      <c r="Y15" s="10">
        <v>105.94</v>
      </c>
      <c r="Z15" s="10">
        <v>104.89</v>
      </c>
      <c r="AA15" s="10">
        <v>105.62</v>
      </c>
      <c r="AB15" s="95">
        <v>3493900</v>
      </c>
      <c r="AC15" s="10">
        <v>105.62</v>
      </c>
      <c r="AD15" s="2">
        <f t="shared" si="0"/>
        <v>1.0499999999999972</v>
      </c>
      <c r="AE15" s="138">
        <f t="shared" si="1"/>
        <v>1.2323442980377575E-3</v>
      </c>
    </row>
    <row r="16" spans="1:31" x14ac:dyDescent="0.25">
      <c r="W16" s="133">
        <v>42569</v>
      </c>
      <c r="X16" s="10">
        <v>105.48</v>
      </c>
      <c r="Y16" s="10">
        <v>105.93</v>
      </c>
      <c r="Z16" s="10">
        <v>104.88</v>
      </c>
      <c r="AA16" s="10">
        <v>105.49</v>
      </c>
      <c r="AB16" s="95">
        <v>2185300</v>
      </c>
      <c r="AC16" s="10">
        <v>105.49</v>
      </c>
      <c r="AD16" s="2">
        <f t="shared" si="0"/>
        <v>1.0500000000000114</v>
      </c>
      <c r="AE16" s="138">
        <f t="shared" si="1"/>
        <v>-9.4786729857854191E-5</v>
      </c>
    </row>
    <row r="17" spans="1:31" x14ac:dyDescent="0.25">
      <c r="W17" s="133">
        <v>42566</v>
      </c>
      <c r="X17" s="10">
        <v>105.35</v>
      </c>
      <c r="Y17" s="10">
        <v>105.65</v>
      </c>
      <c r="Z17" s="10">
        <v>104.87</v>
      </c>
      <c r="AA17" s="10">
        <v>105.5</v>
      </c>
      <c r="AB17" s="95">
        <v>2836900</v>
      </c>
      <c r="AC17" s="10">
        <v>105.5</v>
      </c>
      <c r="AD17" s="2">
        <f t="shared" si="0"/>
        <v>0.78000000000000114</v>
      </c>
      <c r="AE17" s="138">
        <f t="shared" si="1"/>
        <v>3.4240060871220113E-3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42565</v>
      </c>
      <c r="X18" s="10">
        <v>105.98</v>
      </c>
      <c r="Y18" s="10">
        <v>105.99</v>
      </c>
      <c r="Z18" s="10">
        <v>104.94</v>
      </c>
      <c r="AA18" s="10">
        <v>105.14</v>
      </c>
      <c r="AB18" s="95">
        <v>3307400</v>
      </c>
      <c r="AC18" s="10">
        <v>105.14</v>
      </c>
      <c r="AD18" s="2">
        <f t="shared" si="0"/>
        <v>1.0499999999999972</v>
      </c>
      <c r="AE18" s="138">
        <f t="shared" si="1"/>
        <v>4.757826624797179E-4</v>
      </c>
    </row>
    <row r="19" spans="1:31" x14ac:dyDescent="0.25">
      <c r="W19" s="133">
        <v>42564</v>
      </c>
      <c r="X19" s="10">
        <v>105.07</v>
      </c>
      <c r="Y19" s="10">
        <v>105.21</v>
      </c>
      <c r="Z19" s="10">
        <v>104.59</v>
      </c>
      <c r="AA19" s="10">
        <v>105.09</v>
      </c>
      <c r="AB19" s="95">
        <v>2950100</v>
      </c>
      <c r="AC19" s="10">
        <v>105.09</v>
      </c>
      <c r="AD19" s="2">
        <f t="shared" si="0"/>
        <v>0.61999999999999034</v>
      </c>
      <c r="AE19" s="138">
        <f t="shared" si="1"/>
        <v>5.6459330143541209E-3</v>
      </c>
    </row>
    <row r="20" spans="1:31" x14ac:dyDescent="0.25">
      <c r="W20" s="133">
        <v>42563</v>
      </c>
      <c r="X20" s="10">
        <v>104.23</v>
      </c>
      <c r="Y20" s="10">
        <v>105.06</v>
      </c>
      <c r="Z20" s="10">
        <v>104.09</v>
      </c>
      <c r="AA20" s="10">
        <v>104.5</v>
      </c>
      <c r="AB20" s="95">
        <v>3741400</v>
      </c>
      <c r="AC20" s="10">
        <v>104.5</v>
      </c>
      <c r="AD20" s="2">
        <f t="shared" si="0"/>
        <v>0.96999999999999886</v>
      </c>
      <c r="AE20" s="138">
        <f t="shared" si="1"/>
        <v>5.1943055021161921E-3</v>
      </c>
    </row>
    <row r="21" spans="1:31" x14ac:dyDescent="0.25">
      <c r="W21" s="133">
        <v>42562</v>
      </c>
      <c r="X21" s="10">
        <v>103.66</v>
      </c>
      <c r="Y21" s="10">
        <v>104.49</v>
      </c>
      <c r="Z21" s="10">
        <v>103.6</v>
      </c>
      <c r="AA21" s="10">
        <v>103.96</v>
      </c>
      <c r="AB21" s="95">
        <v>3317100</v>
      </c>
      <c r="AC21" s="10">
        <v>103.96</v>
      </c>
      <c r="AD21" s="2">
        <f t="shared" si="0"/>
        <v>0.89000000000000057</v>
      </c>
      <c r="AE21" s="138">
        <f t="shared" si="1"/>
        <v>2.8940767895040409E-3</v>
      </c>
    </row>
    <row r="22" spans="1:31" x14ac:dyDescent="0.25">
      <c r="W22" s="133">
        <v>42559</v>
      </c>
      <c r="X22" s="10">
        <v>102.91</v>
      </c>
      <c r="Y22" s="10">
        <v>103.74</v>
      </c>
      <c r="Z22" s="10">
        <v>102.57</v>
      </c>
      <c r="AA22" s="10">
        <v>103.66</v>
      </c>
      <c r="AB22" s="95">
        <v>3502900</v>
      </c>
      <c r="AC22" s="10">
        <v>103.66</v>
      </c>
      <c r="AD22" s="2">
        <f t="shared" si="0"/>
        <v>1.1700000000000017</v>
      </c>
      <c r="AE22" s="138">
        <f t="shared" si="1"/>
        <v>1.6573502010395202E-2</v>
      </c>
    </row>
    <row r="23" spans="1:31" x14ac:dyDescent="0.25">
      <c r="W23" s="133">
        <v>42558</v>
      </c>
      <c r="X23" s="10">
        <v>101.53</v>
      </c>
      <c r="Y23" s="10">
        <v>102.14</v>
      </c>
      <c r="Z23" s="10">
        <v>101.37</v>
      </c>
      <c r="AA23" s="10">
        <v>101.97</v>
      </c>
      <c r="AB23" s="95">
        <v>3051600</v>
      </c>
      <c r="AC23" s="10">
        <v>101.97</v>
      </c>
      <c r="AD23" s="2">
        <f t="shared" si="0"/>
        <v>0.76999999999999602</v>
      </c>
      <c r="AE23" s="138">
        <f t="shared" si="1"/>
        <v>5.8196883014400846E-3</v>
      </c>
    </row>
    <row r="24" spans="1:31" x14ac:dyDescent="0.25">
      <c r="W24" s="133">
        <v>42557</v>
      </c>
      <c r="X24" s="10">
        <v>100.55</v>
      </c>
      <c r="Y24" s="10">
        <v>101.49</v>
      </c>
      <c r="Z24" s="10">
        <v>99.31</v>
      </c>
      <c r="AA24" s="10">
        <v>101.38</v>
      </c>
      <c r="AB24" s="95">
        <v>5227500</v>
      </c>
      <c r="AC24" s="10">
        <v>101.38</v>
      </c>
      <c r="AD24" s="2">
        <f t="shared" si="0"/>
        <v>2.1799999999999926</v>
      </c>
      <c r="AE24" s="138">
        <f t="shared" si="1"/>
        <v>7.553170343867821E-3</v>
      </c>
    </row>
    <row r="25" spans="1:31" x14ac:dyDescent="0.25">
      <c r="W25" s="133">
        <v>42556</v>
      </c>
      <c r="X25" s="10">
        <v>102.1</v>
      </c>
      <c r="Y25" s="10">
        <v>102.34</v>
      </c>
      <c r="Z25" s="10">
        <v>100.21</v>
      </c>
      <c r="AA25" s="10">
        <v>100.62</v>
      </c>
      <c r="AB25" s="95">
        <v>4311100</v>
      </c>
      <c r="AC25" s="10">
        <v>100.62</v>
      </c>
      <c r="AD25" s="2">
        <f t="shared" si="0"/>
        <v>2.1300000000000097</v>
      </c>
      <c r="AE25" s="138">
        <f t="shared" si="1"/>
        <v>-2.0539277718290672E-2</v>
      </c>
    </row>
    <row r="26" spans="1:31" x14ac:dyDescent="0.25">
      <c r="W26" s="133">
        <v>42552</v>
      </c>
      <c r="X26" s="10">
        <v>102.48</v>
      </c>
      <c r="Y26" s="10">
        <v>104.19</v>
      </c>
      <c r="Z26" s="10">
        <v>102.34</v>
      </c>
      <c r="AA26" s="10">
        <v>102.73</v>
      </c>
      <c r="AB26" s="95">
        <v>6578900</v>
      </c>
      <c r="AC26" s="10">
        <v>102.73</v>
      </c>
      <c r="AD26" s="2">
        <f t="shared" si="0"/>
        <v>1.8499999999999943</v>
      </c>
      <c r="AE26" s="138">
        <f t="shared" si="1"/>
        <v>1.7552413456851657E-3</v>
      </c>
    </row>
    <row r="27" spans="1:31" x14ac:dyDescent="0.25">
      <c r="L27" t="s">
        <v>230</v>
      </c>
      <c r="M27" s="2">
        <f>M35+K35-F35</f>
        <v>114.84999999999991</v>
      </c>
      <c r="W27" s="133">
        <v>42551</v>
      </c>
      <c r="X27" s="10">
        <v>100.87</v>
      </c>
      <c r="Y27" s="10">
        <v>102.57</v>
      </c>
      <c r="Z27" s="10">
        <v>100.57</v>
      </c>
      <c r="AA27" s="10">
        <v>102.55</v>
      </c>
      <c r="AB27" s="95">
        <v>5837700</v>
      </c>
      <c r="AC27" s="10">
        <v>102.55</v>
      </c>
      <c r="AD27" s="2">
        <f t="shared" si="0"/>
        <v>2</v>
      </c>
      <c r="AE27" s="138">
        <f t="shared" si="1"/>
        <v>2.0702697322583896E-2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42550</v>
      </c>
      <c r="X28" s="10">
        <v>99.98</v>
      </c>
      <c r="Y28" s="10">
        <v>100.7</v>
      </c>
      <c r="Z28" s="10">
        <v>99.46</v>
      </c>
      <c r="AA28" s="10">
        <v>100.47</v>
      </c>
      <c r="AB28" s="95">
        <v>4737300</v>
      </c>
      <c r="AC28" s="10">
        <v>100.47</v>
      </c>
      <c r="AD28" s="2">
        <f t="shared" si="0"/>
        <v>1.2400000000000091</v>
      </c>
      <c r="AE28" s="138">
        <f t="shared" si="1"/>
        <v>1.4541048167222126E-2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42549</v>
      </c>
      <c r="X29" s="10">
        <v>98.15</v>
      </c>
      <c r="Y29" s="10">
        <v>99.12</v>
      </c>
      <c r="Z29" s="10">
        <v>97.93</v>
      </c>
      <c r="AA29" s="10">
        <v>99.03</v>
      </c>
      <c r="AB29" s="95">
        <v>5583200</v>
      </c>
      <c r="AC29" s="10">
        <v>99.03</v>
      </c>
      <c r="AD29" s="2">
        <f t="shared" si="0"/>
        <v>1.1899999999999977</v>
      </c>
      <c r="AE29" s="138">
        <f t="shared" si="1"/>
        <v>1.8722353667318226E-2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42548</v>
      </c>
      <c r="X30" s="10">
        <v>98</v>
      </c>
      <c r="Y30" s="10">
        <v>98.21</v>
      </c>
      <c r="Z30" s="10">
        <v>96.89</v>
      </c>
      <c r="AA30" s="10">
        <v>97.21</v>
      </c>
      <c r="AB30" s="95">
        <v>6236500</v>
      </c>
      <c r="AC30" s="10">
        <v>97.21</v>
      </c>
      <c r="AD30" s="2">
        <f t="shared" si="0"/>
        <v>1.3199999999999932</v>
      </c>
      <c r="AE30" s="138">
        <f t="shared" si="1"/>
        <v>-1.6988573162099341E-2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42545</v>
      </c>
      <c r="X31" s="10">
        <v>99.42</v>
      </c>
      <c r="Y31" s="10">
        <v>100.41</v>
      </c>
      <c r="Z31" s="10">
        <v>98.76</v>
      </c>
      <c r="AA31" s="10">
        <v>98.89</v>
      </c>
      <c r="AB31" s="95">
        <v>7446400</v>
      </c>
      <c r="AC31" s="10">
        <v>98.89</v>
      </c>
      <c r="AD31" s="2">
        <f t="shared" si="0"/>
        <v>1.6499999999999915</v>
      </c>
      <c r="AE31" s="138">
        <f t="shared" si="1"/>
        <v>-3.3616730186651012E-2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42544</v>
      </c>
      <c r="X32" s="10">
        <v>102.5</v>
      </c>
      <c r="Y32" s="10">
        <v>102.5</v>
      </c>
      <c r="Z32" s="10">
        <v>101.73</v>
      </c>
      <c r="AA32" s="10">
        <v>102.33</v>
      </c>
      <c r="AB32" s="95">
        <v>3074800</v>
      </c>
      <c r="AC32" s="10">
        <v>102.33</v>
      </c>
      <c r="AD32" s="2">
        <f t="shared" si="0"/>
        <v>0.76999999999999602</v>
      </c>
      <c r="AE32" s="138">
        <f t="shared" si="1"/>
        <v>9.6694622594968305E-3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42543</v>
      </c>
      <c r="X33" s="10">
        <v>101.77</v>
      </c>
      <c r="Y33" s="10">
        <v>101.97</v>
      </c>
      <c r="Z33" s="10">
        <v>101.1</v>
      </c>
      <c r="AA33" s="10">
        <v>101.35</v>
      </c>
      <c r="AB33" s="95">
        <v>2634500</v>
      </c>
      <c r="AC33" s="10">
        <v>101.35</v>
      </c>
      <c r="AD33" s="2">
        <f t="shared" si="0"/>
        <v>0.87000000000000455</v>
      </c>
      <c r="AE33" s="138">
        <f t="shared" si="1"/>
        <v>-2.165993895835383E-3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42542</v>
      </c>
      <c r="X34" s="10">
        <v>101.99</v>
      </c>
      <c r="Y34" s="10">
        <v>102.1</v>
      </c>
      <c r="Z34" s="10">
        <v>101.4</v>
      </c>
      <c r="AA34" s="10">
        <v>101.57</v>
      </c>
      <c r="AB34" s="95">
        <v>3318900</v>
      </c>
      <c r="AC34" s="10">
        <v>101.57</v>
      </c>
      <c r="AD34" s="2">
        <f t="shared" si="0"/>
        <v>0.69999999999998863</v>
      </c>
      <c r="AE34" s="138">
        <f t="shared" si="1"/>
        <v>-1.2782694198624212E-3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42541</v>
      </c>
      <c r="X35" s="10">
        <v>102.02</v>
      </c>
      <c r="Y35" s="10">
        <v>102.86</v>
      </c>
      <c r="Z35" s="10">
        <v>101.66</v>
      </c>
      <c r="AA35" s="10">
        <v>101.7</v>
      </c>
      <c r="AB35" s="95">
        <v>4447900</v>
      </c>
      <c r="AC35" s="10">
        <v>101.7</v>
      </c>
      <c r="AD35" s="2">
        <f t="shared" si="0"/>
        <v>1.2000000000000028</v>
      </c>
      <c r="AE35" s="138">
        <f t="shared" si="1"/>
        <v>4.9407114624506754E-3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42538</v>
      </c>
      <c r="X36" s="10">
        <v>100.85</v>
      </c>
      <c r="Y36" s="10">
        <v>101.69</v>
      </c>
      <c r="Z36" s="10">
        <v>100.33</v>
      </c>
      <c r="AA36" s="10">
        <v>101.2</v>
      </c>
      <c r="AB36" s="95">
        <v>5691900</v>
      </c>
      <c r="AC36" s="10">
        <v>101.2</v>
      </c>
      <c r="AD36" s="2">
        <f t="shared" si="0"/>
        <v>1.3599999999999994</v>
      </c>
      <c r="AE36" s="138">
        <f t="shared" si="1"/>
        <v>7.9113924050622231E-4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42537</v>
      </c>
      <c r="X37" s="10">
        <v>100.29</v>
      </c>
      <c r="Y37" s="10">
        <v>101.54</v>
      </c>
      <c r="Z37" s="10">
        <v>99.35</v>
      </c>
      <c r="AA37" s="10">
        <v>101.12</v>
      </c>
      <c r="AB37" s="95">
        <v>4549900</v>
      </c>
      <c r="AC37" s="10">
        <v>101.12</v>
      </c>
      <c r="AD37" s="2">
        <f t="shared" si="0"/>
        <v>2.1900000000000119</v>
      </c>
      <c r="AE37" s="138">
        <f t="shared" si="1"/>
        <v>5.7688482196140978E-3</v>
      </c>
    </row>
    <row r="38" spans="1:31" x14ac:dyDescent="0.25">
      <c r="W38" s="133">
        <v>42536</v>
      </c>
      <c r="X38" s="10">
        <v>101.5</v>
      </c>
      <c r="Y38" s="10">
        <v>101.74</v>
      </c>
      <c r="Z38" s="10">
        <v>100.54</v>
      </c>
      <c r="AA38" s="10">
        <v>100.54</v>
      </c>
      <c r="AB38" s="95">
        <v>4480000</v>
      </c>
      <c r="AC38" s="10">
        <v>100.54</v>
      </c>
      <c r="AD38" s="2">
        <f t="shared" si="0"/>
        <v>1.1999999999999886</v>
      </c>
      <c r="AE38" s="138">
        <f t="shared" si="1"/>
        <v>-6.4235596402806294E-3</v>
      </c>
    </row>
    <row r="39" spans="1:31" ht="20.25" thickBot="1" x14ac:dyDescent="0.35">
      <c r="P39" s="525" t="s">
        <v>78</v>
      </c>
      <c r="Q39" s="525"/>
      <c r="W39" s="133">
        <v>42535</v>
      </c>
      <c r="X39" s="10">
        <v>101.21</v>
      </c>
      <c r="Y39" s="10">
        <v>101.91</v>
      </c>
      <c r="Z39" s="10">
        <v>100.51</v>
      </c>
      <c r="AA39" s="10">
        <v>101.19</v>
      </c>
      <c r="AB39" s="95">
        <v>3705200</v>
      </c>
      <c r="AC39" s="10">
        <v>101.19</v>
      </c>
      <c r="AD39" s="2">
        <f t="shared" si="0"/>
        <v>1.3999999999999915</v>
      </c>
      <c r="AE39" s="138">
        <f t="shared" si="1"/>
        <v>-1.9760893192366513E-4</v>
      </c>
    </row>
    <row r="40" spans="1:31" ht="15.75" thickTop="1" x14ac:dyDescent="0.25">
      <c r="O40" s="2"/>
      <c r="P40" s="83">
        <v>1.1000000000000001</v>
      </c>
      <c r="Q40" s="83">
        <f>P40*$Q$4</f>
        <v>118.56900000000002</v>
      </c>
      <c r="W40" s="133">
        <v>42534</v>
      </c>
      <c r="X40" s="10">
        <v>101.98</v>
      </c>
      <c r="Y40" s="10">
        <v>102.4</v>
      </c>
      <c r="Z40" s="10">
        <v>101.19</v>
      </c>
      <c r="AA40" s="10">
        <v>101.21</v>
      </c>
      <c r="AB40" s="95">
        <v>4494500</v>
      </c>
      <c r="AC40" s="10">
        <v>101.21</v>
      </c>
      <c r="AD40" s="2">
        <f t="shared" si="0"/>
        <v>1.210000000000008</v>
      </c>
      <c r="AE40" s="138">
        <f t="shared" si="1"/>
        <v>-7.7450980392157476E-3</v>
      </c>
    </row>
    <row r="41" spans="1:31" x14ac:dyDescent="0.25">
      <c r="O41" s="2"/>
      <c r="P41" s="83">
        <v>1.0900000000000001</v>
      </c>
      <c r="Q41" s="83">
        <f t="shared" ref="Q41:Q60" si="2">P41*$Q$4</f>
        <v>117.49110000000002</v>
      </c>
      <c r="W41" s="133">
        <v>42531</v>
      </c>
      <c r="X41" s="10">
        <v>101.55</v>
      </c>
      <c r="Y41" s="10">
        <v>102.39</v>
      </c>
      <c r="Z41" s="10">
        <v>101.21</v>
      </c>
      <c r="AA41" s="10">
        <v>102</v>
      </c>
      <c r="AB41" s="95">
        <v>3601700</v>
      </c>
      <c r="AC41" s="10">
        <v>102</v>
      </c>
      <c r="AD41" s="2">
        <f t="shared" si="0"/>
        <v>1.1800000000000068</v>
      </c>
      <c r="AE41" s="138">
        <f t="shared" si="1"/>
        <v>-3.1274433150898506E-3</v>
      </c>
    </row>
    <row r="42" spans="1:31" ht="20.25" thickBot="1" x14ac:dyDescent="0.35">
      <c r="O42" s="2"/>
      <c r="P42" s="83">
        <v>1.08</v>
      </c>
      <c r="Q42" s="83">
        <f t="shared" si="2"/>
        <v>116.41320000000002</v>
      </c>
      <c r="T42" s="91" t="s">
        <v>113</v>
      </c>
      <c r="W42" s="133">
        <v>42530</v>
      </c>
      <c r="X42" s="10">
        <v>101.57</v>
      </c>
      <c r="Y42" s="10">
        <v>102.35</v>
      </c>
      <c r="Z42" s="10">
        <v>101.49</v>
      </c>
      <c r="AA42" s="10">
        <v>102.32</v>
      </c>
      <c r="AB42" s="95">
        <v>3608400</v>
      </c>
      <c r="AC42" s="10">
        <v>102.32</v>
      </c>
      <c r="AD42" s="2">
        <f t="shared" si="0"/>
        <v>0.85999999999999943</v>
      </c>
      <c r="AE42" s="138">
        <f t="shared" si="1"/>
        <v>2.4492995003428941E-3</v>
      </c>
    </row>
    <row r="43" spans="1:31" ht="15.75" thickTop="1" x14ac:dyDescent="0.25">
      <c r="O43" s="2"/>
      <c r="P43" s="83">
        <v>1.07</v>
      </c>
      <c r="Q43" s="83">
        <f t="shared" si="2"/>
        <v>115.33530000000002</v>
      </c>
      <c r="T43" s="128" t="s">
        <v>98</v>
      </c>
      <c r="U43" s="98">
        <v>106.36</v>
      </c>
      <c r="W43" s="133">
        <v>42529</v>
      </c>
      <c r="X43" s="10">
        <v>101.45</v>
      </c>
      <c r="Y43" s="10">
        <v>102.12</v>
      </c>
      <c r="Z43" s="10">
        <v>101.38</v>
      </c>
      <c r="AA43" s="10">
        <v>102.07</v>
      </c>
      <c r="AB43" s="95">
        <v>2566800</v>
      </c>
      <c r="AC43" s="10">
        <v>102.07</v>
      </c>
      <c r="AD43" s="2">
        <f t="shared" si="0"/>
        <v>0.74000000000000909</v>
      </c>
      <c r="AE43" s="138">
        <f t="shared" si="1"/>
        <v>6.1113849186791303E-3</v>
      </c>
    </row>
    <row r="44" spans="1:31" x14ac:dyDescent="0.25">
      <c r="O44" s="2"/>
      <c r="P44" s="83">
        <v>1.06</v>
      </c>
      <c r="Q44" s="83">
        <f t="shared" si="2"/>
        <v>114.25740000000002</v>
      </c>
      <c r="T44" s="93" t="s">
        <v>99</v>
      </c>
      <c r="U44" s="88">
        <v>106.85</v>
      </c>
      <c r="W44" s="133">
        <v>42528</v>
      </c>
      <c r="X44" s="10">
        <v>101.78</v>
      </c>
      <c r="Y44" s="10">
        <v>102.4</v>
      </c>
      <c r="Z44" s="10">
        <v>101.45</v>
      </c>
      <c r="AA44" s="10">
        <v>101.45</v>
      </c>
      <c r="AB44" s="95">
        <v>2539700</v>
      </c>
      <c r="AC44" s="10">
        <v>101.45</v>
      </c>
      <c r="AD44" s="2">
        <f t="shared" si="0"/>
        <v>0.95000000000000284</v>
      </c>
      <c r="AE44" s="138">
        <f t="shared" si="1"/>
        <v>8.8792423046579749E-4</v>
      </c>
    </row>
    <row r="45" spans="1:31" x14ac:dyDescent="0.25">
      <c r="O45" s="2"/>
      <c r="P45" s="83">
        <v>1.05</v>
      </c>
      <c r="Q45" s="83">
        <f t="shared" si="2"/>
        <v>113.1795</v>
      </c>
      <c r="T45" s="93" t="s">
        <v>100</v>
      </c>
      <c r="U45" s="88" t="s">
        <v>466</v>
      </c>
      <c r="W45" s="133">
        <v>42527</v>
      </c>
      <c r="X45" s="10">
        <v>100.74</v>
      </c>
      <c r="Y45" s="10">
        <v>101.57</v>
      </c>
      <c r="Z45" s="10">
        <v>100.51</v>
      </c>
      <c r="AA45" s="10">
        <v>101.36</v>
      </c>
      <c r="AB45" s="95">
        <v>3769200</v>
      </c>
      <c r="AC45" s="10">
        <v>101.36</v>
      </c>
      <c r="AD45" s="2">
        <f t="shared" si="0"/>
        <v>1.0599999999999881</v>
      </c>
      <c r="AE45" s="138">
        <f t="shared" si="1"/>
        <v>9.260181220750674E-3</v>
      </c>
    </row>
    <row r="46" spans="1:31" x14ac:dyDescent="0.25">
      <c r="O46" s="2"/>
      <c r="P46" s="83">
        <v>1.04</v>
      </c>
      <c r="Q46" s="83">
        <f t="shared" si="2"/>
        <v>112.1016</v>
      </c>
      <c r="T46" s="93" t="s">
        <v>101</v>
      </c>
      <c r="U46" s="88" t="s">
        <v>467</v>
      </c>
      <c r="W46" s="133">
        <v>42524</v>
      </c>
      <c r="X46" s="10">
        <v>100.75</v>
      </c>
      <c r="Y46" s="10">
        <v>100.78</v>
      </c>
      <c r="Z46" s="10">
        <v>99.89</v>
      </c>
      <c r="AA46" s="10">
        <v>100.43</v>
      </c>
      <c r="AB46" s="95">
        <v>2251500</v>
      </c>
      <c r="AC46" s="10">
        <v>100.43</v>
      </c>
      <c r="AD46" s="2">
        <f t="shared" si="0"/>
        <v>0.89000000000000057</v>
      </c>
      <c r="AE46" s="138">
        <f t="shared" si="1"/>
        <v>-3.5717829149717328E-3</v>
      </c>
    </row>
    <row r="47" spans="1:31" x14ac:dyDescent="0.25">
      <c r="O47" s="2"/>
      <c r="P47" s="83">
        <v>1.03</v>
      </c>
      <c r="Q47" s="83">
        <f t="shared" si="2"/>
        <v>111.02370000000001</v>
      </c>
      <c r="T47" s="93" t="s">
        <v>102</v>
      </c>
      <c r="U47" s="88">
        <v>113.56</v>
      </c>
      <c r="W47" s="133">
        <v>42523</v>
      </c>
      <c r="X47" s="10">
        <v>100.25</v>
      </c>
      <c r="Y47" s="10">
        <v>100.81</v>
      </c>
      <c r="Z47" s="10">
        <v>100.07</v>
      </c>
      <c r="AA47" s="10">
        <v>100.79</v>
      </c>
      <c r="AB47" s="95">
        <v>2468500</v>
      </c>
      <c r="AC47" s="10">
        <v>100.79</v>
      </c>
      <c r="AD47" s="2">
        <f t="shared" si="0"/>
        <v>0.74000000000000909</v>
      </c>
      <c r="AE47" s="138">
        <f t="shared" si="1"/>
        <v>4.3846537120080242E-3</v>
      </c>
    </row>
    <row r="48" spans="1:31" x14ac:dyDescent="0.25">
      <c r="O48" s="2"/>
      <c r="P48" s="83">
        <v>1.02</v>
      </c>
      <c r="Q48" s="83">
        <f t="shared" si="2"/>
        <v>109.94580000000001</v>
      </c>
      <c r="T48" s="93" t="s">
        <v>103</v>
      </c>
      <c r="U48" s="88">
        <v>0.98120799999999997</v>
      </c>
      <c r="W48" s="133">
        <v>42522</v>
      </c>
      <c r="X48" s="10">
        <v>100.09</v>
      </c>
      <c r="Y48" s="10">
        <v>100.5</v>
      </c>
      <c r="Z48" s="10">
        <v>98.75</v>
      </c>
      <c r="AA48" s="10">
        <v>100.35</v>
      </c>
      <c r="AB48" s="95">
        <v>2806900</v>
      </c>
      <c r="AC48" s="10">
        <v>100.35</v>
      </c>
      <c r="AD48" s="2">
        <f t="shared" si="0"/>
        <v>1.75</v>
      </c>
      <c r="AE48" s="138">
        <f t="shared" si="1"/>
        <v>-2.2867369258302572E-3</v>
      </c>
    </row>
    <row r="49" spans="15:31" x14ac:dyDescent="0.25">
      <c r="O49" s="2"/>
      <c r="P49" s="83">
        <v>1.01</v>
      </c>
      <c r="Q49" s="83">
        <f t="shared" si="2"/>
        <v>108.86790000000001</v>
      </c>
      <c r="T49" s="93" t="s">
        <v>123</v>
      </c>
      <c r="U49" s="88" t="s">
        <v>364</v>
      </c>
      <c r="W49" s="133">
        <v>42521</v>
      </c>
      <c r="X49" s="10">
        <v>100.77</v>
      </c>
      <c r="Y49" s="10">
        <v>101.2</v>
      </c>
      <c r="Z49" s="10">
        <v>100.35</v>
      </c>
      <c r="AA49" s="10">
        <v>100.58</v>
      </c>
      <c r="AB49" s="95">
        <v>5265700</v>
      </c>
      <c r="AC49" s="10">
        <v>100.58</v>
      </c>
      <c r="AD49" s="2">
        <f t="shared" si="0"/>
        <v>0.85000000000000853</v>
      </c>
      <c r="AE49" s="138">
        <f t="shared" si="1"/>
        <v>-1.7864231838031763E-3</v>
      </c>
    </row>
    <row r="50" spans="15:31" x14ac:dyDescent="0.25">
      <c r="O50" s="2"/>
      <c r="P50" s="83">
        <v>1</v>
      </c>
      <c r="Q50" s="83">
        <f t="shared" si="2"/>
        <v>107.79</v>
      </c>
      <c r="T50" s="93"/>
      <c r="U50" s="88"/>
      <c r="W50" s="133">
        <v>42517</v>
      </c>
      <c r="X50" s="10">
        <v>100.49</v>
      </c>
      <c r="Y50" s="10">
        <v>100.77</v>
      </c>
      <c r="Z50" s="10">
        <v>100.09</v>
      </c>
      <c r="AA50" s="10">
        <v>100.76</v>
      </c>
      <c r="AB50" s="95">
        <v>2670300</v>
      </c>
      <c r="AC50" s="10">
        <v>100.76</v>
      </c>
      <c r="AD50" s="2">
        <f t="shared" si="0"/>
        <v>0.67999999999999261</v>
      </c>
      <c r="AE50" s="138">
        <f t="shared" si="1"/>
        <v>3.4857085947614941E-3</v>
      </c>
    </row>
    <row r="51" spans="15:31" x14ac:dyDescent="0.25">
      <c r="O51" s="2"/>
      <c r="P51" s="83">
        <v>0.99</v>
      </c>
      <c r="Q51" s="83">
        <f t="shared" si="2"/>
        <v>106.71210000000001</v>
      </c>
      <c r="T51" s="93" t="s">
        <v>105</v>
      </c>
      <c r="U51" s="88" t="s">
        <v>468</v>
      </c>
      <c r="W51" s="133">
        <v>42516</v>
      </c>
      <c r="X51" s="10">
        <v>100.44</v>
      </c>
      <c r="Y51" s="10">
        <v>101</v>
      </c>
      <c r="Z51" s="10">
        <v>100.29</v>
      </c>
      <c r="AA51" s="10">
        <v>100.41</v>
      </c>
      <c r="AB51" s="95">
        <v>2504800</v>
      </c>
      <c r="AC51" s="10">
        <v>100.41</v>
      </c>
      <c r="AD51" s="2">
        <f t="shared" si="0"/>
        <v>0.70999999999999375</v>
      </c>
      <c r="AE51" s="138">
        <f t="shared" si="1"/>
        <v>8.9712918660289631E-4</v>
      </c>
    </row>
    <row r="52" spans="15:31" x14ac:dyDescent="0.25">
      <c r="O52" s="2"/>
      <c r="P52" s="83">
        <v>0.98</v>
      </c>
      <c r="Q52" s="83">
        <f t="shared" si="2"/>
        <v>105.63420000000001</v>
      </c>
      <c r="T52" s="93" t="s">
        <v>106</v>
      </c>
      <c r="U52" s="88" t="s">
        <v>345</v>
      </c>
      <c r="W52" s="133">
        <v>42515</v>
      </c>
      <c r="X52" s="10">
        <v>100.29</v>
      </c>
      <c r="Y52" s="10">
        <v>100.94</v>
      </c>
      <c r="Z52" s="10">
        <v>100.29</v>
      </c>
      <c r="AA52" s="10">
        <v>100.32</v>
      </c>
      <c r="AB52" s="95">
        <v>2354200</v>
      </c>
      <c r="AC52" s="10">
        <v>100.32</v>
      </c>
      <c r="AD52" s="2">
        <f t="shared" si="0"/>
        <v>0.64999999999999147</v>
      </c>
      <c r="AE52" s="138">
        <f t="shared" si="1"/>
        <v>4.1036933239915196E-3</v>
      </c>
    </row>
    <row r="53" spans="15:31" x14ac:dyDescent="0.25">
      <c r="P53" s="83">
        <v>0.97</v>
      </c>
      <c r="Q53" s="83">
        <f t="shared" si="2"/>
        <v>104.55630000000001</v>
      </c>
      <c r="T53" s="93" t="s">
        <v>107</v>
      </c>
      <c r="U53" s="90">
        <v>2676078</v>
      </c>
      <c r="W53" s="133">
        <v>42514</v>
      </c>
      <c r="X53" s="10">
        <v>99.49</v>
      </c>
      <c r="Y53" s="10">
        <v>100.36</v>
      </c>
      <c r="Z53" s="10">
        <v>99.42</v>
      </c>
      <c r="AA53" s="10">
        <v>99.91</v>
      </c>
      <c r="AB53" s="95">
        <v>2953700</v>
      </c>
      <c r="AC53" s="10">
        <v>99.91</v>
      </c>
      <c r="AD53" s="2">
        <f t="shared" si="0"/>
        <v>0.93999999999999773</v>
      </c>
      <c r="AE53" s="138">
        <f t="shared" si="1"/>
        <v>1.0212335692618701E-2</v>
      </c>
    </row>
    <row r="54" spans="15:31" x14ac:dyDescent="0.25">
      <c r="P54" s="83">
        <v>0.96</v>
      </c>
      <c r="Q54" s="83">
        <f t="shared" si="2"/>
        <v>103.47840000000001</v>
      </c>
      <c r="T54" s="93" t="s">
        <v>110</v>
      </c>
      <c r="U54" s="90">
        <v>3634350</v>
      </c>
      <c r="W54" s="133">
        <v>42513</v>
      </c>
      <c r="X54" s="10">
        <v>98.95</v>
      </c>
      <c r="Y54" s="10">
        <v>99.07</v>
      </c>
      <c r="Z54" s="10">
        <v>98.27</v>
      </c>
      <c r="AA54" s="10">
        <v>98.9</v>
      </c>
      <c r="AB54" s="95">
        <v>2658900</v>
      </c>
      <c r="AC54" s="10">
        <v>98.9</v>
      </c>
      <c r="AD54" s="2">
        <f t="shared" si="0"/>
        <v>0.79999999999999716</v>
      </c>
      <c r="AE54" s="138">
        <f t="shared" si="1"/>
        <v>-2.0181634712410634E-3</v>
      </c>
    </row>
    <row r="55" spans="15:31" x14ac:dyDescent="0.25">
      <c r="P55" s="83">
        <v>0.95</v>
      </c>
      <c r="Q55" s="83">
        <f t="shared" si="2"/>
        <v>102.40050000000001</v>
      </c>
      <c r="T55" s="93" t="s">
        <v>108</v>
      </c>
      <c r="U55" s="88" t="s">
        <v>469</v>
      </c>
      <c r="W55" s="133">
        <v>42510</v>
      </c>
      <c r="X55" s="10">
        <v>99.15</v>
      </c>
      <c r="Y55" s="10">
        <v>99.89</v>
      </c>
      <c r="Z55" s="10">
        <v>98.67</v>
      </c>
      <c r="AA55" s="10">
        <v>99.1</v>
      </c>
      <c r="AB55" s="95">
        <v>4312100</v>
      </c>
      <c r="AC55" s="10">
        <v>99.1</v>
      </c>
      <c r="AD55" s="2">
        <f t="shared" si="0"/>
        <v>1.2199999999999989</v>
      </c>
      <c r="AE55" s="138">
        <f t="shared" si="1"/>
        <v>5.9892396710992113E-3</v>
      </c>
    </row>
    <row r="56" spans="15:31" x14ac:dyDescent="0.25">
      <c r="P56" s="83">
        <v>0.94</v>
      </c>
      <c r="Q56" s="83">
        <f t="shared" si="2"/>
        <v>101.32259999999999</v>
      </c>
      <c r="T56" s="93" t="s">
        <v>111</v>
      </c>
      <c r="U56" s="88">
        <v>12.71</v>
      </c>
      <c r="W56" s="133">
        <v>42509</v>
      </c>
      <c r="X56" s="10">
        <v>98.67</v>
      </c>
      <c r="Y56" s="10">
        <v>98.94</v>
      </c>
      <c r="Z56" s="10">
        <v>97.94</v>
      </c>
      <c r="AA56" s="10">
        <v>98.51</v>
      </c>
      <c r="AB56" s="95">
        <v>3138900</v>
      </c>
      <c r="AC56" s="10">
        <v>98.51</v>
      </c>
      <c r="AD56" s="2">
        <f t="shared" si="0"/>
        <v>1</v>
      </c>
      <c r="AE56" s="138">
        <f t="shared" si="1"/>
        <v>-7.8557760096686913E-3</v>
      </c>
    </row>
    <row r="57" spans="15:31" x14ac:dyDescent="0.25">
      <c r="P57" s="83">
        <v>0.93</v>
      </c>
      <c r="Q57" s="83">
        <f t="shared" si="2"/>
        <v>100.24470000000001</v>
      </c>
      <c r="T57" s="93" t="s">
        <v>112</v>
      </c>
      <c r="U57" s="88">
        <v>8.48</v>
      </c>
      <c r="W57" s="133">
        <v>42508</v>
      </c>
      <c r="X57" s="10">
        <v>99.45</v>
      </c>
      <c r="Y57" s="10">
        <v>100.5</v>
      </c>
      <c r="Z57" s="10">
        <v>98.79</v>
      </c>
      <c r="AA57" s="10">
        <v>99.29</v>
      </c>
      <c r="AB57" s="95">
        <v>3340400</v>
      </c>
      <c r="AC57" s="10">
        <v>99.29</v>
      </c>
      <c r="AD57" s="2">
        <f t="shared" si="0"/>
        <v>1.7099999999999937</v>
      </c>
      <c r="AE57" s="138" t="e">
        <f t="shared" si="1"/>
        <v>#DIV/0!</v>
      </c>
    </row>
    <row r="58" spans="15:31" x14ac:dyDescent="0.25">
      <c r="P58" s="83">
        <v>0.92</v>
      </c>
      <c r="Q58" s="83">
        <f t="shared" si="2"/>
        <v>99.166800000000009</v>
      </c>
      <c r="T58" s="93" t="s">
        <v>109</v>
      </c>
      <c r="U58" s="88" t="s">
        <v>470</v>
      </c>
      <c r="W58" s="133">
        <v>42508</v>
      </c>
      <c r="X58" s="10" t="s">
        <v>235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15:31" x14ac:dyDescent="0.25">
      <c r="P59" s="83">
        <v>0.91</v>
      </c>
      <c r="Q59" s="83">
        <f t="shared" si="2"/>
        <v>98.08890000000001</v>
      </c>
      <c r="W59" s="133">
        <v>42507</v>
      </c>
      <c r="X59" s="10">
        <v>101.66</v>
      </c>
      <c r="Y59" s="10">
        <v>101.94</v>
      </c>
      <c r="Z59" s="10">
        <v>99.74</v>
      </c>
      <c r="AA59" s="10">
        <v>100.06</v>
      </c>
      <c r="AB59" s="95">
        <v>4191000</v>
      </c>
      <c r="AC59" s="10">
        <v>99.4</v>
      </c>
      <c r="AD59" s="2">
        <f t="shared" si="0"/>
        <v>2.2000000000000028</v>
      </c>
      <c r="AE59" s="138">
        <f t="shared" si="1"/>
        <v>-1.730103806228378E-2</v>
      </c>
    </row>
    <row r="60" spans="15:31" x14ac:dyDescent="0.25">
      <c r="P60" s="83">
        <v>0.9</v>
      </c>
      <c r="Q60" s="83">
        <f t="shared" si="2"/>
        <v>97.01100000000001</v>
      </c>
      <c r="W60" s="133">
        <v>42506</v>
      </c>
      <c r="X60" s="10">
        <v>100.05</v>
      </c>
      <c r="Y60" s="10">
        <v>102.08</v>
      </c>
      <c r="Z60" s="10">
        <v>100.05</v>
      </c>
      <c r="AA60" s="10">
        <v>101.82</v>
      </c>
      <c r="AB60" s="95">
        <v>3469400</v>
      </c>
      <c r="AC60" s="10">
        <v>101.15</v>
      </c>
      <c r="AD60" s="2">
        <f t="shared" si="0"/>
        <v>2.0300000000000011</v>
      </c>
      <c r="AE60" s="138">
        <f t="shared" si="1"/>
        <v>1.5460295151089376E-2</v>
      </c>
    </row>
    <row r="61" spans="15:31" x14ac:dyDescent="0.25">
      <c r="W61" s="133">
        <v>42503</v>
      </c>
      <c r="X61" s="10">
        <v>101.24</v>
      </c>
      <c r="Y61" s="10">
        <v>101.72</v>
      </c>
      <c r="Z61" s="10">
        <v>99.96</v>
      </c>
      <c r="AA61" s="10">
        <v>100.27</v>
      </c>
      <c r="AB61" s="95">
        <v>3280500</v>
      </c>
      <c r="AC61" s="10">
        <v>99.61</v>
      </c>
      <c r="AD61" s="2">
        <f t="shared" si="0"/>
        <v>1.7600000000000051</v>
      </c>
      <c r="AE61" s="138">
        <f t="shared" si="1"/>
        <v>-1.1707510665740717E-2</v>
      </c>
    </row>
    <row r="62" spans="15:31" x14ac:dyDescent="0.25">
      <c r="W62" s="133">
        <v>42502</v>
      </c>
      <c r="X62" s="10">
        <v>101.78</v>
      </c>
      <c r="Y62" s="10">
        <v>102.28</v>
      </c>
      <c r="Z62" s="10">
        <v>101.15</v>
      </c>
      <c r="AA62" s="10">
        <v>101.46</v>
      </c>
      <c r="AB62" s="95">
        <v>2866700</v>
      </c>
      <c r="AC62" s="10">
        <v>100.79</v>
      </c>
      <c r="AD62" s="2">
        <f t="shared" si="0"/>
        <v>1.1299999999999955</v>
      </c>
      <c r="AE62" s="138">
        <f t="shared" si="1"/>
        <v>-1.3870999702764175E-3</v>
      </c>
    </row>
    <row r="63" spans="15:31" x14ac:dyDescent="0.25">
      <c r="W63" s="133">
        <v>42501</v>
      </c>
      <c r="X63" s="10">
        <v>102.55</v>
      </c>
      <c r="Y63" s="10">
        <v>102.68</v>
      </c>
      <c r="Z63" s="10">
        <v>101.44</v>
      </c>
      <c r="AA63" s="10">
        <v>101.6</v>
      </c>
      <c r="AB63" s="95">
        <v>2795900</v>
      </c>
      <c r="AC63" s="10">
        <v>100.93</v>
      </c>
      <c r="AD63" s="2">
        <f t="shared" si="0"/>
        <v>1.2400000000000091</v>
      </c>
      <c r="AE63" s="138">
        <f t="shared" si="1"/>
        <v>-5.517785003448461E-3</v>
      </c>
    </row>
    <row r="64" spans="15:31" x14ac:dyDescent="0.25">
      <c r="W64" s="133">
        <v>42500</v>
      </c>
      <c r="X64" s="10">
        <v>100.3</v>
      </c>
      <c r="Y64" s="10">
        <v>102.42</v>
      </c>
      <c r="Z64" s="10">
        <v>100.2</v>
      </c>
      <c r="AA64" s="10">
        <v>102.16</v>
      </c>
      <c r="AB64" s="95">
        <v>3672000</v>
      </c>
      <c r="AC64" s="10">
        <v>101.49</v>
      </c>
      <c r="AD64" s="2">
        <f t="shared" si="0"/>
        <v>2.2199999999999989</v>
      </c>
      <c r="AE64" s="138">
        <f t="shared" si="1"/>
        <v>2.0718093130845716E-2</v>
      </c>
    </row>
    <row r="65" spans="23:31" x14ac:dyDescent="0.25">
      <c r="W65" s="133">
        <v>42499</v>
      </c>
      <c r="X65" s="10">
        <v>100.33</v>
      </c>
      <c r="Y65" s="10">
        <v>101.37</v>
      </c>
      <c r="Z65" s="10">
        <v>99.98</v>
      </c>
      <c r="AA65" s="10">
        <v>100.09</v>
      </c>
      <c r="AB65" s="95">
        <v>3834200</v>
      </c>
      <c r="AC65" s="10">
        <v>99.43</v>
      </c>
      <c r="AD65" s="2">
        <f t="shared" si="0"/>
        <v>1.3900000000000006</v>
      </c>
      <c r="AE65" s="138">
        <f t="shared" si="1"/>
        <v>-1.0154305624688886E-2</v>
      </c>
    </row>
    <row r="66" spans="23:31" x14ac:dyDescent="0.25">
      <c r="W66" s="133">
        <v>42496</v>
      </c>
      <c r="X66" s="10">
        <v>100.26</v>
      </c>
      <c r="Y66" s="10">
        <v>101.29</v>
      </c>
      <c r="Z66" s="10">
        <v>99.81</v>
      </c>
      <c r="AA66" s="10">
        <v>101.12</v>
      </c>
      <c r="AB66" s="95">
        <v>3745500</v>
      </c>
      <c r="AC66" s="10">
        <v>100.45</v>
      </c>
      <c r="AD66" s="2">
        <f t="shared" si="0"/>
        <v>1.480000000000004</v>
      </c>
      <c r="AE66" s="138">
        <f t="shared" si="1"/>
        <v>8.2304526748973039E-3</v>
      </c>
    </row>
    <row r="67" spans="23:31" x14ac:dyDescent="0.25">
      <c r="W67" s="133">
        <v>42495</v>
      </c>
      <c r="X67" s="10">
        <v>101.12</v>
      </c>
      <c r="Y67" s="10">
        <v>101.23</v>
      </c>
      <c r="Z67" s="10">
        <v>99.91</v>
      </c>
      <c r="AA67" s="10">
        <v>100.29</v>
      </c>
      <c r="AB67" s="95">
        <v>3530300</v>
      </c>
      <c r="AC67" s="10">
        <v>99.63</v>
      </c>
      <c r="AD67" s="2">
        <f>Y67-Z67</f>
        <v>1.3200000000000074</v>
      </c>
      <c r="AE67" s="138">
        <f>AC67/AC68-1</f>
        <v>-3.7996200379962763E-3</v>
      </c>
    </row>
    <row r="68" spans="23:31" x14ac:dyDescent="0.25">
      <c r="W68" s="133">
        <v>42494</v>
      </c>
      <c r="X68" s="10">
        <v>101.39</v>
      </c>
      <c r="Y68" s="10">
        <v>101.78</v>
      </c>
      <c r="Z68" s="10">
        <v>100.23</v>
      </c>
      <c r="AA68" s="10">
        <v>100.67</v>
      </c>
      <c r="AB68" s="95">
        <v>5628300</v>
      </c>
      <c r="AC68" s="10">
        <v>100.01</v>
      </c>
      <c r="AD68" s="2">
        <f>Y68-Z68</f>
        <v>1.5499999999999972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42587</v>
      </c>
      <c r="X2" s="10">
        <v>143.33000000000001</v>
      </c>
      <c r="Y2" s="10">
        <v>143.54</v>
      </c>
      <c r="Z2" s="10">
        <v>142.4</v>
      </c>
      <c r="AA2" s="10">
        <v>142.99</v>
      </c>
      <c r="AB2" s="95">
        <v>1997400</v>
      </c>
      <c r="AC2" s="10">
        <v>142.99</v>
      </c>
      <c r="AD2" s="2">
        <f>Y2-Z2</f>
        <v>1.1399999999999864</v>
      </c>
      <c r="AE2" s="138">
        <f>AC2/AC3-1</f>
        <v>1.9620208815078755E-3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142.13</v>
      </c>
      <c r="W3" s="133">
        <v>42586</v>
      </c>
      <c r="X3" s="10">
        <v>143.1</v>
      </c>
      <c r="Y3" s="10">
        <v>143.47999999999999</v>
      </c>
      <c r="Z3" s="10">
        <v>142.26</v>
      </c>
      <c r="AA3" s="10">
        <v>142.71</v>
      </c>
      <c r="AB3" s="95">
        <v>1890900</v>
      </c>
      <c r="AC3" s="10">
        <v>142.71</v>
      </c>
      <c r="AD3" s="2">
        <f t="shared" ref="AD3:AD66" si="0">Y3-Z3</f>
        <v>1.2199999999999989</v>
      </c>
      <c r="AE3" s="138">
        <f t="shared" ref="AE3:AE66" si="1">AC3/AC4-1</f>
        <v>-1.1898096304590045E-3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142.13</v>
      </c>
      <c r="W4" s="133">
        <v>42585</v>
      </c>
      <c r="X4" s="10">
        <v>143.33000000000001</v>
      </c>
      <c r="Y4" s="10">
        <v>143.62</v>
      </c>
      <c r="Z4" s="10">
        <v>142.43</v>
      </c>
      <c r="AA4" s="10">
        <v>142.88</v>
      </c>
      <c r="AB4" s="95">
        <v>1963600</v>
      </c>
      <c r="AC4" s="10">
        <v>142.88</v>
      </c>
      <c r="AD4" s="2">
        <f t="shared" si="0"/>
        <v>1.1899999999999977</v>
      </c>
      <c r="AE4" s="138">
        <f t="shared" si="1"/>
        <v>-2.0255640148074683E-3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42584</v>
      </c>
      <c r="X5" s="10">
        <v>143.81</v>
      </c>
      <c r="Y5" s="10">
        <v>143.97</v>
      </c>
      <c r="Z5" s="10">
        <v>142.34</v>
      </c>
      <c r="AA5" s="10">
        <v>143.16999999999999</v>
      </c>
      <c r="AB5" s="95">
        <v>2679100</v>
      </c>
      <c r="AC5" s="10">
        <v>143.16999999999999</v>
      </c>
      <c r="AD5" s="2">
        <f t="shared" si="0"/>
        <v>1.6299999999999955</v>
      </c>
      <c r="AE5" s="138">
        <f t="shared" si="1"/>
        <v>-2.3691728799386524E-3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42583</v>
      </c>
      <c r="X6" s="10">
        <v>143.41999999999999</v>
      </c>
      <c r="Y6" s="10">
        <v>144.16</v>
      </c>
      <c r="Z6" s="10">
        <v>143.04</v>
      </c>
      <c r="AA6" s="10">
        <v>143.51</v>
      </c>
      <c r="AB6" s="95">
        <v>2494900</v>
      </c>
      <c r="AC6" s="10">
        <v>143.51</v>
      </c>
      <c r="AD6" s="2">
        <f t="shared" si="0"/>
        <v>1.1200000000000045</v>
      </c>
      <c r="AE6" s="138">
        <f t="shared" si="1"/>
        <v>2.1648044692736956E-3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188</v>
      </c>
      <c r="Q7" s="2">
        <f>Q10+Q8</f>
        <v>176.70000000000073</v>
      </c>
      <c r="R7">
        <v>0</v>
      </c>
      <c r="W7" s="133">
        <v>42580</v>
      </c>
      <c r="X7" s="10">
        <v>141.85</v>
      </c>
      <c r="Y7" s="10">
        <v>143.9</v>
      </c>
      <c r="Z7" s="10">
        <v>141.6</v>
      </c>
      <c r="AA7" s="10">
        <v>143.19999999999999</v>
      </c>
      <c r="AB7" s="95">
        <v>3269700</v>
      </c>
      <c r="AC7" s="10">
        <v>143.19999999999999</v>
      </c>
      <c r="AD7" s="2">
        <f t="shared" si="0"/>
        <v>2.3000000000000114</v>
      </c>
      <c r="AE7" s="138">
        <f t="shared" si="1"/>
        <v>3.0820958251611685E-3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141.36000000000001</v>
      </c>
      <c r="Y8" s="10">
        <v>143.03</v>
      </c>
      <c r="Z8" s="10">
        <v>141.19</v>
      </c>
      <c r="AA8" s="10">
        <v>142.76</v>
      </c>
      <c r="AB8" s="95">
        <v>2517000</v>
      </c>
      <c r="AC8" s="10">
        <v>142.76</v>
      </c>
      <c r="AD8" s="2">
        <f t="shared" si="0"/>
        <v>1.8400000000000034</v>
      </c>
      <c r="AE8" s="138">
        <f t="shared" si="1"/>
        <v>7.622811970637855E-3</v>
      </c>
    </row>
    <row r="9" spans="1:43" x14ac:dyDescent="0.25">
      <c r="O9" s="11" t="s">
        <v>231</v>
      </c>
      <c r="Q9" s="138">
        <f>IF(Q2=0, 0, Q8/Q6)</f>
        <v>0</v>
      </c>
      <c r="W9" s="133">
        <v>42578</v>
      </c>
      <c r="X9" s="10">
        <v>141.16999999999999</v>
      </c>
      <c r="Y9" s="10">
        <v>142.34</v>
      </c>
      <c r="Z9" s="10">
        <v>139.91</v>
      </c>
      <c r="AA9" s="10">
        <v>141.68</v>
      </c>
      <c r="AB9" s="95">
        <v>2684100</v>
      </c>
      <c r="AC9" s="10">
        <v>141.68</v>
      </c>
      <c r="AD9" s="2">
        <f t="shared" si="0"/>
        <v>2.4300000000000068</v>
      </c>
      <c r="AE9" s="138">
        <f t="shared" si="1"/>
        <v>-1.4114326040914893E-4</v>
      </c>
    </row>
    <row r="10" spans="1:43" x14ac:dyDescent="0.25">
      <c r="O10" s="11" t="s">
        <v>230</v>
      </c>
      <c r="P10" s="34"/>
      <c r="Q10" s="2">
        <f>M33</f>
        <v>176.70000000000073</v>
      </c>
      <c r="W10" s="133">
        <v>42577</v>
      </c>
      <c r="X10" s="10">
        <v>141.94</v>
      </c>
      <c r="Y10" s="10">
        <v>142.19</v>
      </c>
      <c r="Z10" s="10">
        <v>141.02000000000001</v>
      </c>
      <c r="AA10" s="10">
        <v>141.69999999999999</v>
      </c>
      <c r="AB10" s="95">
        <v>2668100</v>
      </c>
      <c r="AC10" s="10">
        <v>141.69999999999999</v>
      </c>
      <c r="AD10" s="2">
        <f t="shared" si="0"/>
        <v>1.1699999999999875</v>
      </c>
      <c r="AE10" s="138">
        <f t="shared" si="1"/>
        <v>-2.1167007690681139E-4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1.7500000000000002E-2</v>
      </c>
      <c r="W11" s="133">
        <v>42576</v>
      </c>
      <c r="X11" s="10">
        <v>143.55000000000001</v>
      </c>
      <c r="Y11" s="10">
        <v>143.88999999999999</v>
      </c>
      <c r="Z11" s="10">
        <v>141.41</v>
      </c>
      <c r="AA11" s="10">
        <v>141.72999999999999</v>
      </c>
      <c r="AB11" s="95">
        <v>2725600</v>
      </c>
      <c r="AC11" s="10">
        <v>141.72999999999999</v>
      </c>
      <c r="AD11" s="2">
        <f t="shared" si="0"/>
        <v>2.4799999999999898</v>
      </c>
      <c r="AE11" s="138">
        <f t="shared" si="1"/>
        <v>-1.3640476024775583E-2</v>
      </c>
    </row>
    <row r="12" spans="1:43" x14ac:dyDescent="0.25">
      <c r="W12" s="133">
        <v>42573</v>
      </c>
      <c r="X12" s="10">
        <v>143.69</v>
      </c>
      <c r="Y12" s="10">
        <v>144.05000000000001</v>
      </c>
      <c r="Z12" s="10">
        <v>142.91999999999999</v>
      </c>
      <c r="AA12" s="10">
        <v>143.69</v>
      </c>
      <c r="AB12" s="95">
        <v>2697500</v>
      </c>
      <c r="AC12" s="10">
        <v>143.69</v>
      </c>
      <c r="AD12" s="2">
        <f t="shared" si="0"/>
        <v>1.1300000000000239</v>
      </c>
      <c r="AE12" s="138">
        <f t="shared" si="1"/>
        <v>5.7394834464896682E-3</v>
      </c>
    </row>
    <row r="13" spans="1:43" x14ac:dyDescent="0.25">
      <c r="W13" s="133">
        <v>42572</v>
      </c>
      <c r="X13" s="10">
        <v>142.71</v>
      </c>
      <c r="Y13" s="10">
        <v>143.72999999999999</v>
      </c>
      <c r="Z13" s="10">
        <v>142.13</v>
      </c>
      <c r="AA13" s="10">
        <v>142.87</v>
      </c>
      <c r="AB13" s="95">
        <v>3475100</v>
      </c>
      <c r="AC13" s="10">
        <v>142.87</v>
      </c>
      <c r="AD13" s="2">
        <f t="shared" si="0"/>
        <v>1.5999999999999943</v>
      </c>
      <c r="AE13" s="138">
        <f t="shared" si="1"/>
        <v>-1.0488043630262345E-3</v>
      </c>
    </row>
    <row r="14" spans="1:43" x14ac:dyDescent="0.25">
      <c r="W14" s="133">
        <v>42571</v>
      </c>
      <c r="X14" s="10">
        <v>143.47</v>
      </c>
      <c r="Y14" s="10">
        <v>144.47999999999999</v>
      </c>
      <c r="Z14" s="10">
        <v>142.81</v>
      </c>
      <c r="AA14" s="10">
        <v>143.02000000000001</v>
      </c>
      <c r="AB14" s="95">
        <v>5489800</v>
      </c>
      <c r="AC14" s="10">
        <v>143.02000000000001</v>
      </c>
      <c r="AD14" s="2">
        <f t="shared" si="0"/>
        <v>1.6699999999999875</v>
      </c>
      <c r="AE14" s="138">
        <f t="shared" si="1"/>
        <v>3.0156392453888348E-3</v>
      </c>
    </row>
    <row r="15" spans="1:43" x14ac:dyDescent="0.25">
      <c r="W15" s="133">
        <v>42570</v>
      </c>
      <c r="X15" s="10">
        <v>140.75</v>
      </c>
      <c r="Y15" s="10">
        <v>142.63</v>
      </c>
      <c r="Z15" s="10">
        <v>139.32</v>
      </c>
      <c r="AA15" s="10">
        <v>142.59</v>
      </c>
      <c r="AB15" s="95">
        <v>5326200</v>
      </c>
      <c r="AC15" s="10">
        <v>142.59</v>
      </c>
      <c r="AD15" s="2">
        <f t="shared" si="0"/>
        <v>3.3100000000000023</v>
      </c>
      <c r="AE15" s="138">
        <f t="shared" si="1"/>
        <v>1.3072824156305618E-2</v>
      </c>
    </row>
    <row r="16" spans="1:43" x14ac:dyDescent="0.25">
      <c r="W16" s="133">
        <v>42569</v>
      </c>
      <c r="X16" s="10">
        <v>141.76</v>
      </c>
      <c r="Y16" s="10">
        <v>141.9</v>
      </c>
      <c r="Z16" s="10">
        <v>139.62</v>
      </c>
      <c r="AA16" s="10">
        <v>140.75</v>
      </c>
      <c r="AB16" s="95">
        <v>4166300</v>
      </c>
      <c r="AC16" s="10">
        <v>140.75</v>
      </c>
      <c r="AD16" s="2">
        <f t="shared" si="0"/>
        <v>2.2800000000000011</v>
      </c>
      <c r="AE16" s="138">
        <f t="shared" si="1"/>
        <v>-4.1038703743013771E-3</v>
      </c>
    </row>
    <row r="17" spans="1:31" x14ac:dyDescent="0.25">
      <c r="W17" s="133">
        <v>42566</v>
      </c>
      <c r="X17" s="10">
        <v>141.65</v>
      </c>
      <c r="Y17" s="10">
        <v>142.78</v>
      </c>
      <c r="Z17" s="10">
        <v>141.06</v>
      </c>
      <c r="AA17" s="10">
        <v>141.33000000000001</v>
      </c>
      <c r="AB17" s="95">
        <v>3748700</v>
      </c>
      <c r="AC17" s="10">
        <v>141.33000000000001</v>
      </c>
      <c r="AD17" s="2">
        <f t="shared" si="0"/>
        <v>1.7199999999999989</v>
      </c>
      <c r="AE17" s="138">
        <f t="shared" si="1"/>
        <v>3.4791252485089075E-3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42565</v>
      </c>
      <c r="X18" s="10">
        <v>142.38999999999999</v>
      </c>
      <c r="Y18" s="10">
        <v>142.85</v>
      </c>
      <c r="Z18" s="10">
        <v>140.47</v>
      </c>
      <c r="AA18" s="10">
        <v>140.84</v>
      </c>
      <c r="AB18" s="95">
        <v>3000700</v>
      </c>
      <c r="AC18" s="10">
        <v>140.84</v>
      </c>
      <c r="AD18" s="2">
        <f t="shared" si="0"/>
        <v>2.3799999999999955</v>
      </c>
      <c r="AE18" s="138">
        <f t="shared" si="1"/>
        <v>-4.523607577042621E-3</v>
      </c>
    </row>
    <row r="19" spans="1:31" x14ac:dyDescent="0.25">
      <c r="W19" s="133">
        <v>42564</v>
      </c>
      <c r="X19" s="10">
        <v>140.96</v>
      </c>
      <c r="Y19" s="10">
        <v>141.59</v>
      </c>
      <c r="Z19" s="10">
        <v>139.91999999999999</v>
      </c>
      <c r="AA19" s="10">
        <v>141.47999999999999</v>
      </c>
      <c r="AB19" s="95">
        <v>3164700</v>
      </c>
      <c r="AC19" s="10">
        <v>141.47999999999999</v>
      </c>
      <c r="AD19" s="2">
        <f t="shared" si="0"/>
        <v>1.6700000000000159</v>
      </c>
      <c r="AE19" s="138">
        <f t="shared" si="1"/>
        <v>1.1583011583011338E-2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42563</v>
      </c>
      <c r="X20" s="10">
        <v>140.88999999999999</v>
      </c>
      <c r="Y20" s="10">
        <v>140.94999999999999</v>
      </c>
      <c r="Z20" s="10">
        <v>139.37</v>
      </c>
      <c r="AA20" s="10">
        <v>139.86000000000001</v>
      </c>
      <c r="AB20" s="95">
        <v>4310100</v>
      </c>
      <c r="AC20" s="10">
        <v>139.86000000000001</v>
      </c>
      <c r="AD20" s="2">
        <f t="shared" si="0"/>
        <v>1.5799999999999841</v>
      </c>
      <c r="AE20" s="138">
        <f t="shared" si="1"/>
        <v>-3.2782212086657214E-3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42562</v>
      </c>
      <c r="X21" s="10">
        <v>141.27000000000001</v>
      </c>
      <c r="Y21" s="10">
        <v>141.6</v>
      </c>
      <c r="Z21" s="10">
        <v>140.01</v>
      </c>
      <c r="AA21" s="10">
        <v>140.32</v>
      </c>
      <c r="AB21" s="95">
        <v>4084000</v>
      </c>
      <c r="AC21" s="10">
        <v>140.32</v>
      </c>
      <c r="AD21" s="2">
        <f t="shared" si="0"/>
        <v>1.5900000000000034</v>
      </c>
      <c r="AE21" s="138">
        <f t="shared" si="1"/>
        <v>-6.7247115452679918E-3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42559</v>
      </c>
      <c r="X22" s="10">
        <v>141.69999999999999</v>
      </c>
      <c r="Y22" s="10">
        <v>141.78</v>
      </c>
      <c r="Z22" s="10">
        <v>139.55000000000001</v>
      </c>
      <c r="AA22" s="10">
        <v>141.27000000000001</v>
      </c>
      <c r="AB22" s="95">
        <v>3605500</v>
      </c>
      <c r="AC22" s="10">
        <v>141.27000000000001</v>
      </c>
      <c r="AD22" s="2">
        <f t="shared" si="0"/>
        <v>2.2299999999999898</v>
      </c>
      <c r="AE22" s="138">
        <f t="shared" si="1"/>
        <v>3.3380681818182545E-3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42558</v>
      </c>
      <c r="X23" s="10">
        <v>142.37</v>
      </c>
      <c r="Y23" s="10">
        <v>142.66</v>
      </c>
      <c r="Z23" s="10">
        <v>139.94999999999999</v>
      </c>
      <c r="AA23" s="10">
        <v>140.80000000000001</v>
      </c>
      <c r="AB23" s="95">
        <v>3515500</v>
      </c>
      <c r="AC23" s="10">
        <v>140.80000000000001</v>
      </c>
      <c r="AD23" s="2">
        <f t="shared" si="0"/>
        <v>2.710000000000008</v>
      </c>
      <c r="AE23" s="138">
        <f t="shared" si="1"/>
        <v>-1.1097064194409256E-2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42557</v>
      </c>
      <c r="X24" s="10">
        <v>140.97999999999999</v>
      </c>
      <c r="Y24" s="10">
        <v>142.96</v>
      </c>
      <c r="Z24" s="10">
        <v>140.97</v>
      </c>
      <c r="AA24" s="10">
        <v>142.38</v>
      </c>
      <c r="AB24" s="95">
        <v>4083300</v>
      </c>
      <c r="AC24" s="10">
        <v>142.38</v>
      </c>
      <c r="AD24" s="2">
        <f t="shared" si="0"/>
        <v>1.9900000000000091</v>
      </c>
      <c r="AE24" s="138">
        <f t="shared" si="1"/>
        <v>5.7925967787511023E-3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42556</v>
      </c>
      <c r="X25" s="10">
        <v>140.15</v>
      </c>
      <c r="Y25" s="10">
        <v>141.91</v>
      </c>
      <c r="Z25" s="10">
        <v>140.03</v>
      </c>
      <c r="AA25" s="10">
        <v>141.56</v>
      </c>
      <c r="AB25" s="95">
        <v>3749300</v>
      </c>
      <c r="AC25" s="10">
        <v>141.56</v>
      </c>
      <c r="AD25" s="2">
        <f t="shared" si="0"/>
        <v>1.8799999999999955</v>
      </c>
      <c r="AE25" s="138">
        <f t="shared" si="1"/>
        <v>4.9694732358369631E-3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42552</v>
      </c>
      <c r="X26" s="10">
        <v>141.16</v>
      </c>
      <c r="Y26" s="10">
        <v>141.79</v>
      </c>
      <c r="Z26" s="10">
        <v>140.62</v>
      </c>
      <c r="AA26" s="10">
        <v>140.86000000000001</v>
      </c>
      <c r="AB26" s="95">
        <v>2882500</v>
      </c>
      <c r="AC26" s="10">
        <v>140.86000000000001</v>
      </c>
      <c r="AD26" s="2">
        <f t="shared" si="0"/>
        <v>1.1699999999999875</v>
      </c>
      <c r="AE26" s="138">
        <f t="shared" si="1"/>
        <v>-2.4079320113312708E-3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42551</v>
      </c>
      <c r="X27" s="10">
        <v>140.68</v>
      </c>
      <c r="Y27" s="10">
        <v>141.31</v>
      </c>
      <c r="Z27" s="10">
        <v>140.24</v>
      </c>
      <c r="AA27" s="10">
        <v>141.19999999999999</v>
      </c>
      <c r="AB27" s="95">
        <v>4730800</v>
      </c>
      <c r="AC27" s="10">
        <v>141.19999999999999</v>
      </c>
      <c r="AD27" s="2">
        <f t="shared" si="0"/>
        <v>1.0699999999999932</v>
      </c>
      <c r="AE27" s="138">
        <f t="shared" si="1"/>
        <v>4.8391688015938517E-3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42550</v>
      </c>
      <c r="X28" s="10">
        <v>139.80000000000001</v>
      </c>
      <c r="Y28" s="10">
        <v>140.68</v>
      </c>
      <c r="Z28" s="10">
        <v>139.6</v>
      </c>
      <c r="AA28" s="10">
        <v>140.52000000000001</v>
      </c>
      <c r="AB28" s="95">
        <v>3704500</v>
      </c>
      <c r="AC28" s="10">
        <v>140.52000000000001</v>
      </c>
      <c r="AD28" s="2">
        <f t="shared" si="0"/>
        <v>1.0800000000000125</v>
      </c>
      <c r="AE28" s="138">
        <f t="shared" si="1"/>
        <v>1.3048806863239948E-2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42549</v>
      </c>
      <c r="X29" s="10">
        <v>138.21</v>
      </c>
      <c r="Y29" s="10">
        <v>139.09</v>
      </c>
      <c r="Z29" s="10">
        <v>137.65</v>
      </c>
      <c r="AA29" s="10">
        <v>138.71</v>
      </c>
      <c r="AB29" s="95">
        <v>4160200</v>
      </c>
      <c r="AC29" s="10">
        <v>138.71</v>
      </c>
      <c r="AD29" s="2">
        <f t="shared" si="0"/>
        <v>1.4399999999999977</v>
      </c>
      <c r="AE29" s="138">
        <f t="shared" si="1"/>
        <v>1.1669462475384584E-2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42548</v>
      </c>
      <c r="X30" s="10">
        <v>136.15</v>
      </c>
      <c r="Y30" s="10">
        <v>137.38999999999999</v>
      </c>
      <c r="Z30" s="10">
        <v>135.47999999999999</v>
      </c>
      <c r="AA30" s="10">
        <v>137.11000000000001</v>
      </c>
      <c r="AB30" s="95">
        <v>3996200</v>
      </c>
      <c r="AC30" s="10">
        <v>137.11000000000001</v>
      </c>
      <c r="AD30" s="2">
        <f t="shared" si="0"/>
        <v>1.9099999999999966</v>
      </c>
      <c r="AE30" s="138">
        <f t="shared" si="1"/>
        <v>-1.3110933061400987E-3</v>
      </c>
    </row>
    <row r="31" spans="1:31" x14ac:dyDescent="0.25">
      <c r="G31" s="3"/>
      <c r="H31" s="235"/>
      <c r="W31" s="133">
        <v>42545</v>
      </c>
      <c r="X31" s="10">
        <v>135.66</v>
      </c>
      <c r="Y31" s="10">
        <v>138.62</v>
      </c>
      <c r="Z31" s="10">
        <v>135.15</v>
      </c>
      <c r="AA31" s="10">
        <v>137.29</v>
      </c>
      <c r="AB31" s="95">
        <v>4475100</v>
      </c>
      <c r="AC31" s="10">
        <v>137.29</v>
      </c>
      <c r="AD31" s="2">
        <f t="shared" si="0"/>
        <v>3.4699999999999989</v>
      </c>
      <c r="AE31" s="138">
        <f t="shared" si="1"/>
        <v>-1.365040591996558E-2</v>
      </c>
    </row>
    <row r="32" spans="1:31" x14ac:dyDescent="0.25">
      <c r="W32" s="133">
        <v>42544</v>
      </c>
      <c r="X32" s="10">
        <v>139.35</v>
      </c>
      <c r="Y32" s="10">
        <v>139.97999999999999</v>
      </c>
      <c r="Z32" s="10">
        <v>138.01</v>
      </c>
      <c r="AA32" s="10">
        <v>139.19</v>
      </c>
      <c r="AB32" s="95">
        <v>2646800</v>
      </c>
      <c r="AC32" s="10">
        <v>139.19</v>
      </c>
      <c r="AD32" s="2">
        <f t="shared" si="0"/>
        <v>1.9699999999999989</v>
      </c>
      <c r="AE32" s="138">
        <f t="shared" si="1"/>
        <v>9.3546047860768589E-3</v>
      </c>
    </row>
    <row r="33" spans="1:31" x14ac:dyDescent="0.25">
      <c r="L33" t="s">
        <v>230</v>
      </c>
      <c r="M33" s="2">
        <f>M44+K44-F44</f>
        <v>176.70000000000073</v>
      </c>
      <c r="W33" s="133">
        <v>42543</v>
      </c>
      <c r="X33" s="10">
        <v>138.44999999999999</v>
      </c>
      <c r="Y33" s="10">
        <v>139.54</v>
      </c>
      <c r="Z33" s="10">
        <v>137.63</v>
      </c>
      <c r="AA33" s="10">
        <v>137.9</v>
      </c>
      <c r="AB33" s="95">
        <v>2375200</v>
      </c>
      <c r="AC33" s="10">
        <v>137.9</v>
      </c>
      <c r="AD33" s="2">
        <f t="shared" si="0"/>
        <v>1.9099999999999966</v>
      </c>
      <c r="AE33" s="138">
        <f t="shared" si="1"/>
        <v>-2.0985599536869071E-3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42542</v>
      </c>
      <c r="X34" s="10">
        <v>139.19999999999999</v>
      </c>
      <c r="Y34" s="10">
        <v>139.22999999999999</v>
      </c>
      <c r="Z34" s="10">
        <v>138.07</v>
      </c>
      <c r="AA34" s="10">
        <v>138.19</v>
      </c>
      <c r="AB34" s="95">
        <v>2021400</v>
      </c>
      <c r="AC34" s="10">
        <v>138.19</v>
      </c>
      <c r="AD34" s="2">
        <f t="shared" si="0"/>
        <v>1.1599999999999966</v>
      </c>
      <c r="AE34" s="138">
        <f t="shared" si="1"/>
        <v>-2.3823274617384982E-3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42541</v>
      </c>
      <c r="X35" s="10">
        <v>139.22</v>
      </c>
      <c r="Y35" s="10">
        <v>139.84</v>
      </c>
      <c r="Z35" s="10">
        <v>138.13999999999999</v>
      </c>
      <c r="AA35" s="10">
        <v>138.52000000000001</v>
      </c>
      <c r="AB35" s="95">
        <v>3731700</v>
      </c>
      <c r="AC35" s="10">
        <v>138.52000000000001</v>
      </c>
      <c r="AD35" s="2">
        <f t="shared" si="0"/>
        <v>1.7000000000000171</v>
      </c>
      <c r="AE35" s="138">
        <f t="shared" si="1"/>
        <v>6.0280339893965529E-3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42538</v>
      </c>
      <c r="X36" s="10">
        <v>138.76</v>
      </c>
      <c r="Y36" s="10">
        <v>138.85</v>
      </c>
      <c r="Z36" s="10">
        <v>136.55000000000001</v>
      </c>
      <c r="AA36" s="10">
        <v>137.69</v>
      </c>
      <c r="AB36" s="95">
        <v>4430900</v>
      </c>
      <c r="AC36" s="10">
        <v>137.69</v>
      </c>
      <c r="AD36" s="2">
        <f t="shared" si="0"/>
        <v>2.2999999999999829</v>
      </c>
      <c r="AE36" s="138">
        <f t="shared" si="1"/>
        <v>-6.9955286311841336E-3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42537</v>
      </c>
      <c r="X37" s="10">
        <v>137.21</v>
      </c>
      <c r="Y37" s="10">
        <v>138.88999999999999</v>
      </c>
      <c r="Z37" s="10">
        <v>136.38</v>
      </c>
      <c r="AA37" s="10">
        <v>138.66</v>
      </c>
      <c r="AB37" s="95">
        <v>3176100</v>
      </c>
      <c r="AC37" s="10">
        <v>138.66</v>
      </c>
      <c r="AD37" s="2">
        <f t="shared" si="0"/>
        <v>2.5099999999999909</v>
      </c>
      <c r="AE37" s="138">
        <f t="shared" si="1"/>
        <v>1.0199621156928407E-2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42536</v>
      </c>
      <c r="X38" s="10">
        <v>137.74</v>
      </c>
      <c r="Y38" s="10">
        <v>138.16999999999999</v>
      </c>
      <c r="Z38" s="10">
        <v>137.05000000000001</v>
      </c>
      <c r="AA38" s="10">
        <v>137.26</v>
      </c>
      <c r="AB38" s="95">
        <v>2369400</v>
      </c>
      <c r="AC38" s="10">
        <v>137.26</v>
      </c>
      <c r="AD38" s="2">
        <f t="shared" si="0"/>
        <v>1.1199999999999761</v>
      </c>
      <c r="AE38" s="138" t="e">
        <f t="shared" si="1"/>
        <v>#DIV/0!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42536</v>
      </c>
      <c r="X39" s="10" t="s">
        <v>260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42535</v>
      </c>
      <c r="X40" s="10">
        <v>137.88</v>
      </c>
      <c r="Y40" s="10">
        <v>138.26</v>
      </c>
      <c r="Z40" s="10">
        <v>137.34</v>
      </c>
      <c r="AA40" s="10">
        <v>137.87</v>
      </c>
      <c r="AB40" s="95">
        <v>2970700</v>
      </c>
      <c r="AC40" s="10">
        <v>137.24</v>
      </c>
      <c r="AD40" s="2">
        <f t="shared" si="0"/>
        <v>0.91999999999998749</v>
      </c>
      <c r="AE40" s="138">
        <f t="shared" si="1"/>
        <v>-1.6004655899898301E-3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525" t="s">
        <v>78</v>
      </c>
      <c r="P41" s="525"/>
      <c r="Q41" s="34"/>
      <c r="W41" s="133">
        <v>42534</v>
      </c>
      <c r="X41" s="10">
        <v>139</v>
      </c>
      <c r="Y41" s="10">
        <v>140.13</v>
      </c>
      <c r="Z41" s="10">
        <v>138.08000000000001</v>
      </c>
      <c r="AA41" s="10">
        <v>138.09</v>
      </c>
      <c r="AB41" s="95">
        <v>2813600</v>
      </c>
      <c r="AC41" s="10">
        <v>137.46</v>
      </c>
      <c r="AD41" s="2">
        <f t="shared" si="0"/>
        <v>2.0499999999999829</v>
      </c>
      <c r="AE41" s="138">
        <f t="shared" si="1"/>
        <v>-8.296659692662911E-3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156.34300000000002</v>
      </c>
      <c r="Q42" s="34"/>
      <c r="T42" s="91" t="s">
        <v>113</v>
      </c>
      <c r="W42" s="133">
        <v>42531</v>
      </c>
      <c r="X42" s="10">
        <v>140.25</v>
      </c>
      <c r="Y42" s="10">
        <v>140.38999999999999</v>
      </c>
      <c r="Z42" s="10">
        <v>138.63999999999999</v>
      </c>
      <c r="AA42" s="10">
        <v>139.24</v>
      </c>
      <c r="AB42" s="95">
        <v>2805800</v>
      </c>
      <c r="AC42" s="10">
        <v>138.61000000000001</v>
      </c>
      <c r="AD42" s="2">
        <f t="shared" si="0"/>
        <v>1.75</v>
      </c>
      <c r="AE42" s="138">
        <f t="shared" si="1"/>
        <v>-1.0211368180519709E-2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154.92170000000002</v>
      </c>
      <c r="Q43" s="34"/>
      <c r="T43" s="128" t="s">
        <v>98</v>
      </c>
      <c r="U43" s="98">
        <v>142.71</v>
      </c>
      <c r="W43" s="133">
        <v>42530</v>
      </c>
      <c r="X43" s="10">
        <v>140.49</v>
      </c>
      <c r="Y43" s="10">
        <v>140.87</v>
      </c>
      <c r="Z43" s="10">
        <v>139.54</v>
      </c>
      <c r="AA43" s="10">
        <v>140.68</v>
      </c>
      <c r="AB43" s="95">
        <v>3682400</v>
      </c>
      <c r="AC43" s="10">
        <v>140.04</v>
      </c>
      <c r="AD43" s="2">
        <f t="shared" si="0"/>
        <v>1.3300000000000125</v>
      </c>
      <c r="AE43" s="138">
        <f t="shared" si="1"/>
        <v>2.0034344590726949E-3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153.50040000000001</v>
      </c>
      <c r="Q44" s="34"/>
      <c r="T44" s="93" t="s">
        <v>99</v>
      </c>
      <c r="U44" s="88">
        <v>143.33000000000001</v>
      </c>
      <c r="W44" s="133">
        <v>42529</v>
      </c>
      <c r="X44" s="10">
        <v>137.27000000000001</v>
      </c>
      <c r="Y44" s="10">
        <v>140.88999999999999</v>
      </c>
      <c r="Z44" s="10">
        <v>137</v>
      </c>
      <c r="AA44" s="10">
        <v>140.4</v>
      </c>
      <c r="AB44" s="95">
        <v>6180800</v>
      </c>
      <c r="AC44" s="10">
        <v>139.76</v>
      </c>
      <c r="AD44" s="2">
        <f t="shared" si="0"/>
        <v>3.8899999999999864</v>
      </c>
      <c r="AE44" s="138">
        <f t="shared" si="1"/>
        <v>2.5234741784037507E-2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152.07910000000001</v>
      </c>
      <c r="Q45" s="83"/>
      <c r="T45" s="93" t="s">
        <v>100</v>
      </c>
      <c r="U45" s="88" t="s">
        <v>471</v>
      </c>
      <c r="W45" s="133">
        <v>42528</v>
      </c>
      <c r="X45" s="10">
        <v>138.16</v>
      </c>
      <c r="Y45" s="10">
        <v>138.5</v>
      </c>
      <c r="Z45" s="10">
        <v>136.88</v>
      </c>
      <c r="AA45" s="10">
        <v>136.94</v>
      </c>
      <c r="AB45" s="95">
        <v>2943200</v>
      </c>
      <c r="AC45" s="10">
        <v>136.32</v>
      </c>
      <c r="AD45" s="2">
        <f t="shared" si="0"/>
        <v>1.6200000000000045</v>
      </c>
      <c r="AE45" s="138">
        <f t="shared" si="1"/>
        <v>-8.7260034904015349E-3</v>
      </c>
    </row>
    <row r="46" spans="1:31" x14ac:dyDescent="0.25">
      <c r="O46" s="83">
        <v>1.06</v>
      </c>
      <c r="P46" s="83">
        <f t="shared" si="5"/>
        <v>150.65780000000001</v>
      </c>
      <c r="Q46" s="83"/>
      <c r="T46" s="93" t="s">
        <v>101</v>
      </c>
      <c r="U46" s="88" t="s">
        <v>472</v>
      </c>
      <c r="W46" s="133">
        <v>42527</v>
      </c>
      <c r="X46" s="10">
        <v>136.91999999999999</v>
      </c>
      <c r="Y46" s="10">
        <v>138.38999999999999</v>
      </c>
      <c r="Z46" s="10">
        <v>136.51</v>
      </c>
      <c r="AA46" s="10">
        <v>138.15</v>
      </c>
      <c r="AB46" s="95">
        <v>2959900</v>
      </c>
      <c r="AC46" s="10">
        <v>137.52000000000001</v>
      </c>
      <c r="AD46" s="2">
        <f t="shared" si="0"/>
        <v>1.8799999999999955</v>
      </c>
      <c r="AE46" s="138">
        <f t="shared" si="1"/>
        <v>9.5433856996036681E-3</v>
      </c>
    </row>
    <row r="47" spans="1:31" x14ac:dyDescent="0.25">
      <c r="O47" s="83">
        <v>1.05</v>
      </c>
      <c r="P47" s="83">
        <f t="shared" si="5"/>
        <v>149.23650000000001</v>
      </c>
      <c r="Q47" s="83"/>
      <c r="T47" s="93" t="s">
        <v>102</v>
      </c>
      <c r="U47" s="88">
        <v>160.65</v>
      </c>
      <c r="W47" s="133">
        <v>42524</v>
      </c>
      <c r="X47" s="10">
        <v>135.61000000000001</v>
      </c>
      <c r="Y47" s="10">
        <v>137.12</v>
      </c>
      <c r="Z47" s="10">
        <v>135.15</v>
      </c>
      <c r="AA47" s="10">
        <v>136.84</v>
      </c>
      <c r="AB47" s="95">
        <v>3625600</v>
      </c>
      <c r="AC47" s="10">
        <v>136.22</v>
      </c>
      <c r="AD47" s="2">
        <f t="shared" si="0"/>
        <v>1.9699999999999989</v>
      </c>
      <c r="AE47" s="138">
        <f t="shared" si="1"/>
        <v>5.9075468911535811E-3</v>
      </c>
    </row>
    <row r="48" spans="1:31" x14ac:dyDescent="0.25">
      <c r="O48" s="83">
        <v>1.04</v>
      </c>
      <c r="P48" s="83">
        <f t="shared" si="5"/>
        <v>147.8152</v>
      </c>
      <c r="Q48" s="83"/>
      <c r="T48" s="93" t="s">
        <v>103</v>
      </c>
      <c r="U48" s="88">
        <v>0.5484</v>
      </c>
      <c r="W48" s="133">
        <v>42523</v>
      </c>
      <c r="X48" s="10">
        <v>134.26</v>
      </c>
      <c r="Y48" s="10">
        <v>136.15</v>
      </c>
      <c r="Z48" s="10">
        <v>134.01</v>
      </c>
      <c r="AA48" s="10">
        <v>136.04</v>
      </c>
      <c r="AB48" s="95">
        <v>4015000</v>
      </c>
      <c r="AC48" s="10">
        <v>135.41999999999999</v>
      </c>
      <c r="AD48" s="2">
        <f t="shared" si="0"/>
        <v>2.1400000000000148</v>
      </c>
      <c r="AE48" s="138">
        <f t="shared" si="1"/>
        <v>1.1200716845878089E-2</v>
      </c>
    </row>
    <row r="49" spans="15:31" x14ac:dyDescent="0.25">
      <c r="O49" s="83">
        <v>1.03</v>
      </c>
      <c r="P49" s="83">
        <f t="shared" si="5"/>
        <v>146.3939</v>
      </c>
      <c r="Q49" s="83"/>
      <c r="T49" s="93" t="s">
        <v>104</v>
      </c>
      <c r="U49" s="88" t="s">
        <v>130</v>
      </c>
      <c r="W49" s="133">
        <v>42522</v>
      </c>
      <c r="X49" s="10">
        <v>133.58000000000001</v>
      </c>
      <c r="Y49" s="10">
        <v>134.85</v>
      </c>
      <c r="Z49" s="10">
        <v>133.02000000000001</v>
      </c>
      <c r="AA49" s="10">
        <v>134.53</v>
      </c>
      <c r="AB49" s="95">
        <v>2618000</v>
      </c>
      <c r="AC49" s="10">
        <v>133.91999999999999</v>
      </c>
      <c r="AD49" s="2">
        <f t="shared" si="0"/>
        <v>1.8299999999999841</v>
      </c>
      <c r="AE49" s="138">
        <f t="shared" si="1"/>
        <v>6.4632496618066693E-3</v>
      </c>
    </row>
    <row r="50" spans="15:31" x14ac:dyDescent="0.25">
      <c r="O50" s="83">
        <v>1.02</v>
      </c>
      <c r="P50" s="83">
        <f t="shared" si="5"/>
        <v>144.9726</v>
      </c>
      <c r="Q50" s="83"/>
      <c r="T50" s="93"/>
      <c r="U50" s="88"/>
      <c r="W50" s="133">
        <v>42521</v>
      </c>
      <c r="X50" s="10">
        <v>134.6</v>
      </c>
      <c r="Y50" s="10">
        <v>134.75</v>
      </c>
      <c r="Z50" s="10">
        <v>133.47999999999999</v>
      </c>
      <c r="AA50" s="10">
        <v>133.66999999999999</v>
      </c>
      <c r="AB50" s="95">
        <v>3634100</v>
      </c>
      <c r="AC50" s="10">
        <v>133.06</v>
      </c>
      <c r="AD50" s="2">
        <f t="shared" si="0"/>
        <v>1.2700000000000102</v>
      </c>
      <c r="AE50" s="138">
        <f t="shared" si="1"/>
        <v>-2.4739485718567877E-3</v>
      </c>
    </row>
    <row r="51" spans="15:31" x14ac:dyDescent="0.25">
      <c r="O51" s="83">
        <v>1.01</v>
      </c>
      <c r="P51" s="83">
        <f t="shared" si="5"/>
        <v>143.5513</v>
      </c>
      <c r="Q51" s="83"/>
      <c r="T51" s="93" t="s">
        <v>105</v>
      </c>
      <c r="U51" s="88" t="s">
        <v>473</v>
      </c>
      <c r="W51" s="133">
        <v>42517</v>
      </c>
      <c r="X51" s="10">
        <v>132.97999999999999</v>
      </c>
      <c r="Y51" s="10">
        <v>134.53</v>
      </c>
      <c r="Z51" s="10">
        <v>132.96</v>
      </c>
      <c r="AA51" s="10">
        <v>134</v>
      </c>
      <c r="AB51" s="95">
        <v>1833400</v>
      </c>
      <c r="AC51" s="10">
        <v>133.38999999999999</v>
      </c>
      <c r="AD51" s="2">
        <f t="shared" si="0"/>
        <v>1.5699999999999932</v>
      </c>
      <c r="AE51" s="138">
        <f t="shared" si="1"/>
        <v>7.6295512917359254E-3</v>
      </c>
    </row>
    <row r="52" spans="15:31" x14ac:dyDescent="0.25">
      <c r="O52" s="83">
        <v>1</v>
      </c>
      <c r="P52" s="83">
        <f t="shared" si="5"/>
        <v>142.13</v>
      </c>
      <c r="Q52" s="83"/>
      <c r="T52" s="93" t="s">
        <v>106</v>
      </c>
      <c r="U52" s="88" t="s">
        <v>329</v>
      </c>
      <c r="W52" s="133">
        <v>42516</v>
      </c>
      <c r="X52" s="10">
        <v>133.5</v>
      </c>
      <c r="Y52" s="10">
        <v>133.96</v>
      </c>
      <c r="Z52" s="10">
        <v>132.66</v>
      </c>
      <c r="AA52" s="10">
        <v>132.97999999999999</v>
      </c>
      <c r="AB52" s="95">
        <v>1499300</v>
      </c>
      <c r="AC52" s="10">
        <v>132.38</v>
      </c>
      <c r="AD52" s="2">
        <f t="shared" si="0"/>
        <v>1.3000000000000114</v>
      </c>
      <c r="AE52" s="138">
        <f t="shared" si="1"/>
        <v>-3.3127541032976771E-3</v>
      </c>
    </row>
    <row r="53" spans="15:31" x14ac:dyDescent="0.25">
      <c r="O53" s="83">
        <v>0.99</v>
      </c>
      <c r="P53" s="83">
        <f t="shared" si="5"/>
        <v>140.70869999999999</v>
      </c>
      <c r="Q53" s="83"/>
      <c r="T53" s="93" t="s">
        <v>107</v>
      </c>
      <c r="U53" s="90">
        <v>2000143</v>
      </c>
      <c r="W53" s="133">
        <v>42515</v>
      </c>
      <c r="X53" s="10">
        <v>133.21</v>
      </c>
      <c r="Y53" s="10">
        <v>134.30000000000001</v>
      </c>
      <c r="Z53" s="10">
        <v>132.78</v>
      </c>
      <c r="AA53" s="10">
        <v>133.41999999999999</v>
      </c>
      <c r="AB53" s="95">
        <v>2211300</v>
      </c>
      <c r="AC53" s="10">
        <v>132.82</v>
      </c>
      <c r="AD53" s="2">
        <f t="shared" si="0"/>
        <v>1.5200000000000102</v>
      </c>
      <c r="AE53" s="138">
        <f t="shared" si="1"/>
        <v>6.2883551784225222E-3</v>
      </c>
    </row>
    <row r="54" spans="15:31" x14ac:dyDescent="0.25">
      <c r="O54" s="83">
        <v>0.98</v>
      </c>
      <c r="P54" s="83">
        <f t="shared" si="5"/>
        <v>139.28739999999999</v>
      </c>
      <c r="Q54" s="83"/>
      <c r="T54" s="93" t="s">
        <v>110</v>
      </c>
      <c r="U54" s="90">
        <v>3166890</v>
      </c>
      <c r="W54" s="133">
        <v>42514</v>
      </c>
      <c r="X54" s="10">
        <v>130.76</v>
      </c>
      <c r="Y54" s="10">
        <v>132.99</v>
      </c>
      <c r="Z54" s="10">
        <v>130.31</v>
      </c>
      <c r="AA54" s="10">
        <v>132.59</v>
      </c>
      <c r="AB54" s="95">
        <v>2702400</v>
      </c>
      <c r="AC54" s="10">
        <v>131.99</v>
      </c>
      <c r="AD54" s="2">
        <f t="shared" si="0"/>
        <v>2.6800000000000068</v>
      </c>
      <c r="AE54" s="138">
        <f t="shared" si="1"/>
        <v>1.6637140876530898E-2</v>
      </c>
    </row>
    <row r="55" spans="15:31" x14ac:dyDescent="0.25">
      <c r="O55" s="83">
        <v>0.97</v>
      </c>
      <c r="P55" s="83">
        <f t="shared" si="5"/>
        <v>137.86609999999999</v>
      </c>
      <c r="Q55" s="83"/>
      <c r="T55" s="93" t="s">
        <v>108</v>
      </c>
      <c r="U55" s="88" t="s">
        <v>576</v>
      </c>
      <c r="W55" s="133">
        <v>42513</v>
      </c>
      <c r="X55" s="10">
        <v>130.13</v>
      </c>
      <c r="Y55" s="10">
        <v>131.19999999999999</v>
      </c>
      <c r="Z55" s="10">
        <v>130.01</v>
      </c>
      <c r="AA55" s="10">
        <v>130.41999999999999</v>
      </c>
      <c r="AB55" s="95">
        <v>3036500</v>
      </c>
      <c r="AC55" s="10">
        <v>129.83000000000001</v>
      </c>
      <c r="AD55" s="2">
        <f t="shared" si="0"/>
        <v>1.1899999999999977</v>
      </c>
      <c r="AE55" s="138">
        <f t="shared" si="1"/>
        <v>-3.9892596854620432E-3</v>
      </c>
    </row>
    <row r="56" spans="15:31" x14ac:dyDescent="0.25">
      <c r="O56" s="83">
        <v>0.96</v>
      </c>
      <c r="P56" s="83">
        <f t="shared" si="5"/>
        <v>136.44479999999999</v>
      </c>
      <c r="Q56" s="83"/>
      <c r="T56" s="93" t="s">
        <v>111</v>
      </c>
      <c r="U56" s="88">
        <v>22.38</v>
      </c>
      <c r="W56" s="133">
        <v>42510</v>
      </c>
      <c r="X56" s="10">
        <v>130.63</v>
      </c>
      <c r="Y56" s="10">
        <v>131.79</v>
      </c>
      <c r="Z56" s="10">
        <v>130.19999999999999</v>
      </c>
      <c r="AA56" s="10">
        <v>130.94</v>
      </c>
      <c r="AB56" s="95">
        <v>2538100</v>
      </c>
      <c r="AC56" s="10">
        <v>130.35</v>
      </c>
      <c r="AD56" s="2">
        <f t="shared" si="0"/>
        <v>1.5900000000000034</v>
      </c>
      <c r="AE56" s="138">
        <f t="shared" si="1"/>
        <v>7.2637354145739241E-3</v>
      </c>
    </row>
    <row r="57" spans="15:31" x14ac:dyDescent="0.25">
      <c r="O57" s="83">
        <v>0.95</v>
      </c>
      <c r="P57" s="83">
        <f t="shared" si="5"/>
        <v>135.02349999999998</v>
      </c>
      <c r="Q57" s="83"/>
      <c r="T57" s="93" t="s">
        <v>112</v>
      </c>
      <c r="U57" s="88">
        <v>6.39</v>
      </c>
      <c r="W57" s="133">
        <v>42509</v>
      </c>
      <c r="X57" s="10">
        <v>129.69</v>
      </c>
      <c r="Y57" s="10">
        <v>131.12</v>
      </c>
      <c r="Z57" s="10">
        <v>128.76</v>
      </c>
      <c r="AA57" s="10">
        <v>130</v>
      </c>
      <c r="AB57" s="95">
        <v>2756000</v>
      </c>
      <c r="AC57" s="10">
        <v>129.41</v>
      </c>
      <c r="AD57" s="2">
        <f t="shared" si="0"/>
        <v>2.3600000000000136</v>
      </c>
      <c r="AE57" s="138">
        <f t="shared" si="1"/>
        <v>-3.9254926108374111E-3</v>
      </c>
    </row>
    <row r="58" spans="15:31" x14ac:dyDescent="0.25">
      <c r="O58" s="83">
        <v>0.94</v>
      </c>
      <c r="P58" s="83">
        <f t="shared" si="5"/>
        <v>133.60219999999998</v>
      </c>
      <c r="Q58" s="83"/>
      <c r="T58" s="93" t="s">
        <v>109</v>
      </c>
      <c r="U58" s="88" t="s">
        <v>365</v>
      </c>
      <c r="W58" s="133">
        <v>42508</v>
      </c>
      <c r="X58" s="10">
        <v>129.11000000000001</v>
      </c>
      <c r="Y58" s="10">
        <v>131.27000000000001</v>
      </c>
      <c r="Z58" s="10">
        <v>128.93</v>
      </c>
      <c r="AA58" s="10">
        <v>130.51</v>
      </c>
      <c r="AB58" s="95">
        <v>2253800</v>
      </c>
      <c r="AC58" s="10">
        <v>129.91999999999999</v>
      </c>
      <c r="AD58" s="2">
        <f t="shared" si="0"/>
        <v>2.3400000000000034</v>
      </c>
      <c r="AE58" s="138">
        <f t="shared" si="1"/>
        <v>7.3660541211133523E-3</v>
      </c>
    </row>
    <row r="59" spans="15:31" x14ac:dyDescent="0.25">
      <c r="O59" s="83">
        <v>0.93</v>
      </c>
      <c r="P59" s="83">
        <f t="shared" si="5"/>
        <v>132.18090000000001</v>
      </c>
      <c r="Q59" s="83"/>
      <c r="W59" s="133">
        <v>42507</v>
      </c>
      <c r="X59" s="10">
        <v>130.57</v>
      </c>
      <c r="Y59" s="10">
        <v>131.22</v>
      </c>
      <c r="Z59" s="10">
        <v>128.99</v>
      </c>
      <c r="AA59" s="10">
        <v>129.56</v>
      </c>
      <c r="AB59" s="95">
        <v>2294500</v>
      </c>
      <c r="AC59" s="10">
        <v>128.97</v>
      </c>
      <c r="AD59" s="2">
        <f t="shared" si="0"/>
        <v>2.2299999999999898</v>
      </c>
      <c r="AE59" s="138">
        <f t="shared" si="1"/>
        <v>-8.304498269896321E-3</v>
      </c>
    </row>
    <row r="60" spans="15:31" x14ac:dyDescent="0.25">
      <c r="O60" s="83">
        <v>0.92</v>
      </c>
      <c r="P60" s="83">
        <f t="shared" si="5"/>
        <v>130.75960000000001</v>
      </c>
      <c r="Q60" s="83"/>
      <c r="W60" s="133">
        <v>42506</v>
      </c>
      <c r="X60" s="10">
        <v>128.75</v>
      </c>
      <c r="Y60" s="10">
        <v>130.86000000000001</v>
      </c>
      <c r="Z60" s="10">
        <v>128.53</v>
      </c>
      <c r="AA60" s="10">
        <v>130.63999999999999</v>
      </c>
      <c r="AB60" s="95">
        <v>2466000</v>
      </c>
      <c r="AC60" s="10">
        <v>130.05000000000001</v>
      </c>
      <c r="AD60" s="2">
        <f t="shared" si="0"/>
        <v>2.3300000000000125</v>
      </c>
      <c r="AE60" s="138">
        <f t="shared" si="1"/>
        <v>1.2692726989565584E-2</v>
      </c>
    </row>
    <row r="61" spans="15:31" x14ac:dyDescent="0.25">
      <c r="O61" s="83">
        <v>0.91</v>
      </c>
      <c r="P61" s="83">
        <f t="shared" si="5"/>
        <v>129.3383</v>
      </c>
      <c r="Q61" s="83"/>
      <c r="W61" s="133">
        <v>42503</v>
      </c>
      <c r="X61" s="10">
        <v>129.1</v>
      </c>
      <c r="Y61" s="10">
        <v>130.03</v>
      </c>
      <c r="Z61" s="10">
        <v>128.55000000000001</v>
      </c>
      <c r="AA61" s="10">
        <v>129</v>
      </c>
      <c r="AB61" s="95">
        <v>3137300</v>
      </c>
      <c r="AC61" s="10">
        <v>128.41999999999999</v>
      </c>
      <c r="AD61" s="2">
        <f t="shared" si="0"/>
        <v>1.4799999999999898</v>
      </c>
      <c r="AE61" s="138">
        <f t="shared" si="1"/>
        <v>-5.6523422377082744E-3</v>
      </c>
    </row>
    <row r="62" spans="15:31" x14ac:dyDescent="0.25">
      <c r="O62" s="83">
        <v>0.9</v>
      </c>
      <c r="P62" s="83">
        <f t="shared" si="5"/>
        <v>127.917</v>
      </c>
      <c r="Q62" s="83"/>
      <c r="W62" s="133">
        <v>42502</v>
      </c>
      <c r="X62" s="10">
        <v>131</v>
      </c>
      <c r="Y62" s="10">
        <v>131.29</v>
      </c>
      <c r="Z62" s="10">
        <v>128.75</v>
      </c>
      <c r="AA62" s="10">
        <v>129.74</v>
      </c>
      <c r="AB62" s="95">
        <v>3210400</v>
      </c>
      <c r="AC62" s="10">
        <v>129.15</v>
      </c>
      <c r="AD62" s="2">
        <f t="shared" si="0"/>
        <v>2.539999999999992</v>
      </c>
      <c r="AE62" s="138">
        <f t="shared" si="1"/>
        <v>-7.3020753266717087E-3</v>
      </c>
    </row>
    <row r="63" spans="15:31" x14ac:dyDescent="0.25">
      <c r="O63" s="34"/>
      <c r="W63" s="133">
        <v>42501</v>
      </c>
      <c r="X63" s="10">
        <v>133.74</v>
      </c>
      <c r="Y63" s="10">
        <v>134</v>
      </c>
      <c r="Z63" s="10">
        <v>130.58000000000001</v>
      </c>
      <c r="AA63" s="10">
        <v>130.69</v>
      </c>
      <c r="AB63" s="95">
        <v>3450800</v>
      </c>
      <c r="AC63" s="10">
        <v>130.1</v>
      </c>
      <c r="AD63" s="2">
        <f t="shared" si="0"/>
        <v>3.4199999999999875</v>
      </c>
      <c r="AE63" s="138">
        <f t="shared" si="1"/>
        <v>-2.1510228640192586E-2</v>
      </c>
    </row>
    <row r="64" spans="15:31" x14ac:dyDescent="0.25">
      <c r="O64" s="34"/>
      <c r="W64" s="133">
        <v>42500</v>
      </c>
      <c r="X64" s="10">
        <v>132.91999999999999</v>
      </c>
      <c r="Y64" s="10">
        <v>133.6</v>
      </c>
      <c r="Z64" s="10">
        <v>132.58000000000001</v>
      </c>
      <c r="AA64" s="10">
        <v>133.57</v>
      </c>
      <c r="AB64" s="95">
        <v>2223500</v>
      </c>
      <c r="AC64" s="10">
        <v>132.96</v>
      </c>
      <c r="AD64" s="2">
        <f t="shared" si="0"/>
        <v>1.0199999999999818</v>
      </c>
      <c r="AE64" s="138">
        <f t="shared" si="1"/>
        <v>6.7388506095253931E-3</v>
      </c>
    </row>
    <row r="65" spans="23:31" x14ac:dyDescent="0.25">
      <c r="W65" s="133">
        <v>42499</v>
      </c>
      <c r="X65" s="10">
        <v>131.75</v>
      </c>
      <c r="Y65" s="10">
        <v>133.59</v>
      </c>
      <c r="Z65" s="10">
        <v>131.57</v>
      </c>
      <c r="AA65" s="10">
        <v>132.66999999999999</v>
      </c>
      <c r="AB65" s="95">
        <v>2191800</v>
      </c>
      <c r="AC65" s="10">
        <v>132.07</v>
      </c>
      <c r="AD65" s="2">
        <f t="shared" si="0"/>
        <v>2.0200000000000102</v>
      </c>
      <c r="AE65" s="138">
        <f t="shared" si="1"/>
        <v>4.7930614729154719E-3</v>
      </c>
    </row>
    <row r="66" spans="23:31" x14ac:dyDescent="0.25">
      <c r="W66" s="133">
        <v>42496</v>
      </c>
      <c r="X66" s="10">
        <v>132.09</v>
      </c>
      <c r="Y66" s="10">
        <v>132.28</v>
      </c>
      <c r="Z66" s="10">
        <v>130.6</v>
      </c>
      <c r="AA66" s="10">
        <v>132.04</v>
      </c>
      <c r="AB66" s="95">
        <v>2618600</v>
      </c>
      <c r="AC66" s="10">
        <v>131.44</v>
      </c>
      <c r="AD66" s="2">
        <f t="shared" si="0"/>
        <v>1.6800000000000068</v>
      </c>
      <c r="AE66" s="138">
        <f t="shared" si="1"/>
        <v>-2.0499582415914874E-3</v>
      </c>
    </row>
    <row r="67" spans="23:31" x14ac:dyDescent="0.25">
      <c r="W67" s="133">
        <v>42495</v>
      </c>
      <c r="X67" s="10">
        <v>132.05000000000001</v>
      </c>
      <c r="Y67" s="10">
        <v>133.28</v>
      </c>
      <c r="Z67" s="10">
        <v>131.85</v>
      </c>
      <c r="AA67" s="10">
        <v>132.31</v>
      </c>
      <c r="AB67" s="95">
        <v>2054700</v>
      </c>
      <c r="AC67" s="10">
        <v>131.71</v>
      </c>
      <c r="AD67" s="2">
        <f>Y67-Z67</f>
        <v>1.4300000000000068</v>
      </c>
      <c r="AE67" s="138" t="e">
        <f>AC67/#REF!-1</f>
        <v>#REF!</v>
      </c>
    </row>
    <row r="68" spans="23:31" x14ac:dyDescent="0.25">
      <c r="W68" s="133">
        <v>42494</v>
      </c>
      <c r="X68" s="10">
        <v>131.02000000000001</v>
      </c>
      <c r="Y68" s="10">
        <v>132.41</v>
      </c>
      <c r="Z68" s="10">
        <v>130.59</v>
      </c>
      <c r="AA68" s="10">
        <v>132.03</v>
      </c>
      <c r="AB68" s="95">
        <v>2909300</v>
      </c>
      <c r="AC68" s="10">
        <v>131.43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91</vt:i4>
      </vt:variant>
    </vt:vector>
  </HeadingPairs>
  <TitlesOfParts>
    <vt:vector size="138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2016-08-09T00:10:04Z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