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7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34.xml" ContentType="application/vnd.openxmlformats-officedocument.spreadsheetml.queryTable+xml"/>
  <Override PartName="/xl/drawings/drawing3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4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4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r:id="rId8"/>
    <sheet name="AAPL" sheetId="55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MO" sheetId="102" state="hidden" r:id="rId36"/>
    <sheet name="T" sheetId="93" state="hidden" r:id="rId37"/>
    <sheet name="COST" sheetId="78" r:id="rId38"/>
    <sheet name="CPN" sheetId="7" state="hidden" r:id="rId39"/>
    <sheet name="EW" sheetId="72" state="hidden" r:id="rId40"/>
    <sheet name="TJX" sheetId="79" state="hidden" r:id="rId41"/>
    <sheet name="QQQ" sheetId="101" state="hidden" r:id="rId42"/>
    <sheet name="WBA" sheetId="84" state="hidden" r:id="rId43"/>
    <sheet name="AZO" sheetId="83" state="hidden" r:id="rId44"/>
    <sheet name="FL" sheetId="98" state="hidden" r:id="rId45"/>
    <sheet name="MLM" sheetId="97" state="hidden" r:id="rId46"/>
    <sheet name="KHC" sheetId="96" state="hidden" r:id="rId47"/>
    <sheet name="KBWY" sheetId="94" state="hidden" r:id="rId48"/>
    <sheet name="AYI" sheetId="92" state="hidden" r:id="rId49"/>
    <sheet name="DIA" sheetId="91" state="hidden" r:id="rId50"/>
    <sheet name="ICE" sheetId="95" state="hidden" r:id="rId51"/>
    <sheet name="NKE" sheetId="50" state="hidden" r:id="rId52"/>
    <sheet name="MOS" sheetId="58" state="hidden" r:id="rId53"/>
    <sheet name="VGK" sheetId="59" state="hidden" r:id="rId54"/>
    <sheet name="CMG" sheetId="87" state="hidden" r:id="rId55"/>
    <sheet name="HAS" sheetId="90" r:id="rId56"/>
    <sheet name="HSIC" sheetId="82" state="hidden" r:id="rId57"/>
    <sheet name="PDCO" sheetId="88" r:id="rId58"/>
    <sheet name="MU" sheetId="17" state="hidden" r:id="rId59"/>
    <sheet name="IP" sheetId="44" state="hidden" r:id="rId60"/>
    <sheet name="INTC" sheetId="13" state="hidden" r:id="rId61"/>
    <sheet name="HES" sheetId="10" state="hidden" r:id="rId62"/>
    <sheet name="UNP" sheetId="20" state="hidden" r:id="rId63"/>
    <sheet name="NCLH" sheetId="67" state="hidden" r:id="rId64"/>
    <sheet name="SPY" sheetId="47" state="hidden" r:id="rId65"/>
    <sheet name="SWKS" sheetId="41" state="hidden" r:id="rId66"/>
    <sheet name="CNI" sheetId="42" state="hidden" r:id="rId67"/>
    <sheet name="WFC" sheetId="45" state="hidden" r:id="rId68"/>
    <sheet name="AA" sheetId="3" state="hidden" r:id="rId69"/>
    <sheet name="CF" sheetId="61" state="hidden" r:id="rId70"/>
    <sheet name="TGT" sheetId="75" state="hidden" r:id="rId71"/>
    <sheet name="NWL" sheetId="46" state="hidden" r:id="rId72"/>
    <sheet name="KORS" sheetId="16" state="hidden" r:id="rId73"/>
    <sheet name="ALL" sheetId="22" state="hidden" r:id="rId74"/>
    <sheet name="NSC" sheetId="24" state="hidden" r:id="rId75"/>
    <sheet name="AVGO" sheetId="15" state="hidden" r:id="rId76"/>
    <sheet name="UAL" sheetId="52" state="hidden" r:id="rId77"/>
    <sheet name="CAH" sheetId="53" state="hidden" r:id="rId78"/>
    <sheet name="DAL" sheetId="49" state="hidden" r:id="rId79"/>
    <sheet name="TEVA" sheetId="74" state="hidden" r:id="rId80"/>
    <sheet name="DIS" sheetId="34" state="hidden" r:id="rId81"/>
    <sheet name="FTR" sheetId="40" state="hidden" r:id="rId82"/>
    <sheet name="GILD" sheetId="31" r:id="rId83"/>
    <sheet name="WWD" sheetId="28" state="hidden" r:id="rId84"/>
    <sheet name="GIS" sheetId="43" state="hidden" r:id="rId85"/>
    <sheet name="GM" sheetId="29" state="hidden" r:id="rId86"/>
    <sheet name="TMO" sheetId="48" state="hidden" r:id="rId87"/>
    <sheet name="TKR" sheetId="32" state="hidden" r:id="rId88"/>
    <sheet name="UTX" sheetId="30" state="hidden" r:id="rId89"/>
    <sheet name="UNH" sheetId="26" state="hidden" r:id="rId90"/>
  </sheets>
  <functionGroups builtInGroupCount="18"/>
  <definedNames>
    <definedName name="_xlnm._FilterDatabase" localSheetId="0" hidden="1">ACTIVE!$E$1:$M$26</definedName>
    <definedName name="hp?s_AA_Historical_Prices_1" localSheetId="68">AA!$W$1:$AC$68</definedName>
    <definedName name="hp?s_AAPL" localSheetId="8">AAPL!$W$1:$AC$69</definedName>
    <definedName name="hp?s_AKAM_Historical_Prices" localSheetId="16">BMY!$W$1:$AC$70</definedName>
    <definedName name="hp?s_ALL_Historical_Prices" localSheetId="73">ALL!$X$1:$AD$69</definedName>
    <definedName name="hp?s_AVGO" localSheetId="75">AVGO!$W$1:$AC$69</definedName>
    <definedName name="hp?s_AXP_Historical_Prices" localSheetId="9">AXP!$W$1:$AC$70</definedName>
    <definedName name="hp?s_BIIB" localSheetId="3">BIIB!#REF!</definedName>
    <definedName name="hp?s_CAH" localSheetId="77">CAH!#REF!</definedName>
    <definedName name="hp?s_cce" localSheetId="15">CCE!$W$1:$AC$68</definedName>
    <definedName name="hp?s_CNI" localSheetId="66">CNI!$W$1:$AC$69</definedName>
    <definedName name="hp?s_CPN_Historical_Prices" localSheetId="38">CPN!$W$1:$AC$68</definedName>
    <definedName name="hp?s_DIS" localSheetId="15">CCE!#REF!</definedName>
    <definedName name="hp?s_DIS" localSheetId="80">DIS!$W$1:$AC$68</definedName>
    <definedName name="hp?s_DIS" localSheetId="81">FTR!#REF!</definedName>
    <definedName name="hp?s_ew_Historical_Prices" localSheetId="39">EW!$W$1:$AC$68</definedName>
    <definedName name="hp?s_foxa" localSheetId="12">FOXA!$W$1:$AC$69</definedName>
    <definedName name="hp?s_GILD" localSheetId="82">GILD!#REF!</definedName>
    <definedName name="hp?s_GIS" localSheetId="84">GIS!#REF!</definedName>
    <definedName name="hp?s_GM" localSheetId="85">GM!$W$1:$AC$69</definedName>
    <definedName name="hp?s_HES" localSheetId="61">HES!$W$1:$AC$69</definedName>
    <definedName name="hp?s_INTC_Historical_Prices" localSheetId="60">INTC!$W$1:$AC$69</definedName>
    <definedName name="hp?s_IP" localSheetId="59">IP!$W$1:$AC$69</definedName>
    <definedName name="hp?s_KORS" localSheetId="72">KORS!$W$1:$AC$68</definedName>
    <definedName name="hp?s_MYL" localSheetId="4">MYL!$W$1:$AC$68</definedName>
    <definedName name="hp?s_nclh" localSheetId="63">NCLH!$W$1:$AC$68</definedName>
    <definedName name="hp?s_nke" localSheetId="51">NKE!$W$1:$AC$69</definedName>
    <definedName name="hp?s_NWL" localSheetId="71">NWL!#REF!</definedName>
    <definedName name="hp?s_pinc" localSheetId="11">PINC!$W$1:$AC$68</definedName>
    <definedName name="hp?s_SWKS" localSheetId="65">SWKS!$W$1:$AC$69</definedName>
    <definedName name="hp?s_TKR" localSheetId="87">TKR!$W$1:$AC$69</definedName>
    <definedName name="hp?s_tmo" localSheetId="86">TMO!$W$1:$AC$69</definedName>
    <definedName name="hp?s_ual" localSheetId="76">UAL!$W$1:$AC$68</definedName>
    <definedName name="hp?s_UNH" localSheetId="89">UNH!$W$1:$AC$69</definedName>
    <definedName name="hp?s_UTX" localSheetId="88">UTX!$W$1:$AC$69</definedName>
    <definedName name="hp?s_vgk" localSheetId="53">VGK!$W$1:$AC$69</definedName>
    <definedName name="hp?s_WFC" localSheetId="67">WFC!#REF!</definedName>
    <definedName name="hp?s_WWD" localSheetId="83">WWD!$W$1:$AC$69</definedName>
    <definedName name="PL" localSheetId="68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8">#REF!</definedName>
    <definedName name="PL" localSheetId="43">#REF!</definedName>
    <definedName name="PL" localSheetId="16">#REF!</definedName>
    <definedName name="PL" localSheetId="77">#REF!</definedName>
    <definedName name="PL" localSheetId="69">#REF!</definedName>
    <definedName name="PL" localSheetId="33">#REF!</definedName>
    <definedName name="PL" localSheetId="54">#REF!</definedName>
    <definedName name="PL" localSheetId="37">#REF!</definedName>
    <definedName name="PL" localSheetId="21">#REF!</definedName>
    <definedName name="PL" localSheetId="10">#REF!</definedName>
    <definedName name="PL" localSheetId="49">#REF!</definedName>
    <definedName name="PL" localSheetId="39">#REF!</definedName>
    <definedName name="PL" localSheetId="28">#REF!</definedName>
    <definedName name="PL" localSheetId="44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5">#REF!</definedName>
    <definedName name="PL" localSheetId="56">#REF!</definedName>
    <definedName name="PL" localSheetId="50">#REF!</definedName>
    <definedName name="PL" localSheetId="20">#REF!</definedName>
    <definedName name="PL" localSheetId="29">#REF!</definedName>
    <definedName name="PL" localSheetId="47">#REF!</definedName>
    <definedName name="PL" localSheetId="46">#REF!</definedName>
    <definedName name="PL" localSheetId="27">#REF!</definedName>
    <definedName name="PL" localSheetId="14">#REF!</definedName>
    <definedName name="PL" localSheetId="45">#REF!</definedName>
    <definedName name="PL" localSheetId="35">#REF!</definedName>
    <definedName name="PL" localSheetId="52">#REF!</definedName>
    <definedName name="PL" localSheetId="4">#REF!</definedName>
    <definedName name="PL" localSheetId="63">NCLH!$Q$7</definedName>
    <definedName name="PL" localSheetId="51">#REF!</definedName>
    <definedName name="PL" localSheetId="7">#REF!</definedName>
    <definedName name="PL" localSheetId="57">#REF!</definedName>
    <definedName name="PL" localSheetId="11">PINC!$Q$7</definedName>
    <definedName name="PL" localSheetId="41">#REF!</definedName>
    <definedName name="PL" localSheetId="64">SPY!$Q$7</definedName>
    <definedName name="PL" localSheetId="65">SWKS!$Q$7</definedName>
    <definedName name="PL" localSheetId="36">#REF!</definedName>
    <definedName name="PL" localSheetId="70">#REF!</definedName>
    <definedName name="PL" localSheetId="40">#REF!</definedName>
    <definedName name="PL" localSheetId="76">#REF!</definedName>
    <definedName name="PL" localSheetId="30">#REF!</definedName>
    <definedName name="PL" localSheetId="53">#REF!</definedName>
    <definedName name="PL" localSheetId="42">#REF!</definedName>
    <definedName name="PL" localSheetId="67">WFC!$Q$7</definedName>
    <definedName name="PL" localSheetId="34">#REF!</definedName>
    <definedName name="PL" localSheetId="26">#REF!</definedName>
    <definedName name="PL" localSheetId="25">#REF!</definedName>
    <definedName name="q?s_aa_ql_1" localSheetId="68">AA!$T$40:$U$55</definedName>
    <definedName name="q?s_AAPL" localSheetId="8">AAPL!$T$40:$U$55</definedName>
    <definedName name="q?s_AKAM" localSheetId="18">AKAM!$T$43:$U$58</definedName>
    <definedName name="q?s_ALL" localSheetId="73">ALL!$T$40:$U$55</definedName>
    <definedName name="q?s_AVGO" localSheetId="7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69">CF!$T$56:$U$71</definedName>
    <definedName name="q?s_CNI" localSheetId="66">CNI!$T$43:$U$58</definedName>
    <definedName name="q?s_CPN" localSheetId="38">CPN!$T$43:$U$58</definedName>
    <definedName name="q?s_cvs" localSheetId="21">CVS!$T$43:$U$58</definedName>
    <definedName name="q?s_dg" localSheetId="10">DG!$T$43:$U$58</definedName>
    <definedName name="q?s_DIS" localSheetId="80">DIS!$T$43:$U$58</definedName>
    <definedName name="q?s_ew" localSheetId="39">EW!$T$43:$U$58</definedName>
    <definedName name="q?s_F" localSheetId="28">F!$T$43:$U$58</definedName>
    <definedName name="q?s_foxa" localSheetId="12">FOXA!$T$43:$U$58</definedName>
    <definedName name="q?s_FTR" localSheetId="81">FTR!$T$43:$U$58</definedName>
    <definedName name="q?s_GILD" localSheetId="82">GILD!$T$43:$U$58</definedName>
    <definedName name="q?s_GM" localSheetId="85">GM!$T$43:$U$58</definedName>
    <definedName name="q?s_HES" localSheetId="61">HES!$T$43:$U$58</definedName>
    <definedName name="q?s_INTC" localSheetId="60">INTC!$T$43:$U$58</definedName>
    <definedName name="q?s_IP" localSheetId="59">IP!$T$43:$U$58</definedName>
    <definedName name="q?s_JNJ" localSheetId="29">JNJ!$T$43:$U$58</definedName>
    <definedName name="q?s_KORS" localSheetId="72">KORS!$T$43:$U$58</definedName>
    <definedName name="q?s_MU" localSheetId="58">MU!#REF!</definedName>
    <definedName name="q?s_MYL" localSheetId="4">MYL!$T$43:$U$58</definedName>
    <definedName name="q?s_nclh" localSheetId="63">NCLH!$T$40:$U$55</definedName>
    <definedName name="q?s_NKE" localSheetId="51">NKE!$T$43:$U$58</definedName>
    <definedName name="q?s_NSC" localSheetId="62">UNP!$T$43:$U$58</definedName>
    <definedName name="q?s_pinc" localSheetId="11">PINC!$T$40:$U$55</definedName>
    <definedName name="q?s_SIG" localSheetId="5">SIG!#REF!</definedName>
    <definedName name="q?s_SWKS" localSheetId="65">SWKS!$T$40:$U$55</definedName>
    <definedName name="q?s_tgt" localSheetId="70">TGT!$T$43:$U$58</definedName>
    <definedName name="q?s_TKR" localSheetId="87">TKR!$T$43:$U$58</definedName>
    <definedName name="q?s_tmo" localSheetId="86">TMO!$T$43:$U$58</definedName>
    <definedName name="q?s_UAL" localSheetId="76">UAL!$T$43:$U$58</definedName>
    <definedName name="q?s_UNH" localSheetId="89">UNH!$T$43:$U$58</definedName>
    <definedName name="q?s_UTX" localSheetId="88">UTX!$T$43:$U$58</definedName>
    <definedName name="q?s_vgk" localSheetId="53">VGK!$T$43:$U$56</definedName>
    <definedName name="q?s_WWD" localSheetId="8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02" i="38" l="1"/>
  <c r="D702" i="38"/>
  <c r="E702" i="38"/>
  <c r="G702" i="38"/>
  <c r="H702" i="38"/>
  <c r="K702" i="38"/>
  <c r="L702" i="38"/>
  <c r="P702" i="38" s="1"/>
  <c r="Q702" i="38" s="1"/>
  <c r="M702" i="38"/>
  <c r="N702" i="38" s="1"/>
  <c r="S702" i="38"/>
  <c r="V702" i="38"/>
  <c r="W702" i="38"/>
  <c r="K8" i="101"/>
  <c r="K18" i="101" s="1"/>
  <c r="H18" i="101"/>
  <c r="F256" i="25"/>
  <c r="G256" i="25"/>
  <c r="H256" i="25"/>
  <c r="K73" i="25"/>
  <c r="F41" i="102"/>
  <c r="H41" i="102"/>
  <c r="G41" i="102"/>
  <c r="K5" i="102"/>
  <c r="F255" i="25"/>
  <c r="H255" i="25"/>
  <c r="G255" i="25"/>
  <c r="F91" i="25"/>
  <c r="H36" i="74"/>
  <c r="G36" i="74"/>
  <c r="F36" i="74"/>
  <c r="F7" i="74"/>
  <c r="X702" i="38" l="1"/>
  <c r="Z702" i="38"/>
  <c r="O702" i="38"/>
  <c r="Y702" i="38" s="1"/>
  <c r="U702" i="38"/>
  <c r="F42" i="93"/>
  <c r="H42" i="93"/>
  <c r="G42" i="93"/>
  <c r="F69" i="43"/>
  <c r="H69" i="43"/>
  <c r="G69" i="43"/>
  <c r="F79" i="81"/>
  <c r="H79" i="81"/>
  <c r="G79" i="81"/>
  <c r="F23" i="81"/>
  <c r="F27" i="69"/>
  <c r="G27" i="69"/>
  <c r="H27" i="69"/>
  <c r="F3" i="69"/>
  <c r="F38" i="96"/>
  <c r="G38" i="96"/>
  <c r="H38" i="96"/>
  <c r="F6" i="96"/>
  <c r="F47" i="92"/>
  <c r="H47" i="92"/>
  <c r="G47" i="92"/>
  <c r="F10" i="92"/>
  <c r="M84" i="107"/>
  <c r="K84" i="107"/>
  <c r="M66" i="107" s="1"/>
  <c r="Q10" i="107" s="1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Q2" i="107" s="1"/>
  <c r="Q5" i="107" s="1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C19" i="107"/>
  <c r="C85" i="107"/>
  <c r="F19" i="107"/>
  <c r="K85" i="107"/>
  <c r="H19" i="107"/>
  <c r="M19" i="107"/>
  <c r="K19" i="107"/>
  <c r="H85" i="107"/>
  <c r="F85" i="107"/>
  <c r="Q8" i="107" l="1"/>
  <c r="Q7" i="107" s="1"/>
  <c r="Q3" i="107"/>
  <c r="Q6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68" i="43"/>
  <c r="H68" i="43"/>
  <c r="G68" i="43"/>
  <c r="F41" i="103"/>
  <c r="G41" i="103"/>
  <c r="H41" i="103"/>
  <c r="F109" i="58"/>
  <c r="G109" i="58"/>
  <c r="H109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4" i="25"/>
  <c r="H254" i="25"/>
  <c r="G254" i="25"/>
  <c r="F90" i="25"/>
  <c r="F42" i="101"/>
  <c r="H42" i="101"/>
  <c r="G42" i="101"/>
  <c r="Q9" i="107" l="1"/>
  <c r="P700" i="38"/>
  <c r="O700" i="38"/>
  <c r="Z700" i="38"/>
  <c r="U700" i="38"/>
  <c r="F253" i="25"/>
  <c r="H253" i="25"/>
  <c r="G253" i="25"/>
  <c r="K72" i="25"/>
  <c r="F28" i="53"/>
  <c r="G28" i="53"/>
  <c r="H28" i="53"/>
  <c r="F3" i="53"/>
  <c r="K2" i="53"/>
  <c r="F45" i="92"/>
  <c r="H45" i="92"/>
  <c r="G45" i="92"/>
  <c r="K6" i="92"/>
  <c r="H18" i="92"/>
  <c r="H24" i="88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P699" i="38" l="1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7" i="96"/>
  <c r="G37" i="96"/>
  <c r="H37" i="96"/>
  <c r="K3" i="96"/>
  <c r="F77" i="81"/>
  <c r="G77" i="81"/>
  <c r="H77" i="81"/>
  <c r="K16" i="81"/>
  <c r="G74" i="46"/>
  <c r="F74" i="46"/>
  <c r="H74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3" i="46"/>
  <c r="H73" i="46"/>
  <c r="G73" i="46"/>
  <c r="F21" i="46"/>
  <c r="F39" i="93"/>
  <c r="H39" i="93"/>
  <c r="G39" i="93"/>
  <c r="F10" i="93"/>
  <c r="G108" i="58"/>
  <c r="F108" i="58"/>
  <c r="H10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6" i="96"/>
  <c r="G36" i="96"/>
  <c r="F36" i="96"/>
  <c r="F5" i="96"/>
  <c r="F250" i="25"/>
  <c r="H250" i="25"/>
  <c r="G250" i="25"/>
  <c r="K71" i="25"/>
  <c r="F107" i="58"/>
  <c r="H107" i="58"/>
  <c r="G10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G41" i="90"/>
  <c r="H41" i="90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C85" i="106"/>
  <c r="M19" i="106"/>
  <c r="C19" i="106"/>
  <c r="F85" i="106"/>
  <c r="K19" i="106"/>
  <c r="F19" i="106"/>
  <c r="K85" i="106"/>
  <c r="H85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2" i="46"/>
  <c r="F72" i="46"/>
  <c r="H72" i="46"/>
  <c r="F20" i="46"/>
  <c r="F39" i="86"/>
  <c r="H39" i="86"/>
  <c r="G39" i="86"/>
  <c r="F8" i="86"/>
  <c r="C18" i="86"/>
  <c r="Q7" i="106" l="1"/>
  <c r="Q5" i="106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71" i="46"/>
  <c r="F71" i="46"/>
  <c r="H71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0" i="46"/>
  <c r="H70" i="46"/>
  <c r="G70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C30" i="46"/>
  <c r="M19" i="47"/>
  <c r="H19" i="47"/>
  <c r="H30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F19" i="105"/>
  <c r="H19" i="105"/>
  <c r="F85" i="105"/>
  <c r="H85" i="105"/>
  <c r="C19" i="105"/>
  <c r="M85" i="105"/>
  <c r="K19" i="105"/>
  <c r="C85" i="105"/>
  <c r="K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9" i="46"/>
  <c r="H69" i="46"/>
  <c r="M29" i="46"/>
  <c r="G69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8" i="46"/>
  <c r="F68" i="46"/>
  <c r="H68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7" i="46"/>
  <c r="G67" i="46"/>
  <c r="H67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6" i="46"/>
  <c r="H66" i="46"/>
  <c r="G66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5" i="46"/>
  <c r="G65" i="46"/>
  <c r="H65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4" i="46"/>
  <c r="F64" i="46"/>
  <c r="H64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3" i="46"/>
  <c r="H63" i="46"/>
  <c r="G63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K19" i="104"/>
  <c r="H85" i="104"/>
  <c r="F19" i="104"/>
  <c r="C85" i="104"/>
  <c r="C19" i="104"/>
  <c r="F85" i="104"/>
  <c r="M85" i="104"/>
  <c r="H19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2" i="46"/>
  <c r="H62" i="46"/>
  <c r="G62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1" i="46"/>
  <c r="H61" i="46"/>
  <c r="G61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0" i="46"/>
  <c r="G60" i="46"/>
  <c r="H60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9" i="46"/>
  <c r="G59" i="46"/>
  <c r="H59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8" i="46"/>
  <c r="H58" i="46"/>
  <c r="G58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7" i="46"/>
  <c r="H57" i="46"/>
  <c r="G57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K85" i="103"/>
  <c r="M19" i="103"/>
  <c r="C19" i="103"/>
  <c r="F85" i="103"/>
  <c r="K19" i="103"/>
  <c r="H19" i="103"/>
  <c r="C85" i="103"/>
  <c r="H85" i="103"/>
  <c r="M85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M19" i="102"/>
  <c r="F85" i="102"/>
  <c r="K85" i="102"/>
  <c r="C85" i="102"/>
  <c r="F19" i="102"/>
  <c r="C19" i="102"/>
  <c r="H19" i="102"/>
  <c r="H85" i="102"/>
  <c r="K19" i="102"/>
  <c r="M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6" i="46"/>
  <c r="H56" i="46"/>
  <c r="G56" i="46"/>
  <c r="F15" i="46"/>
  <c r="F85" i="58"/>
  <c r="H85" i="58"/>
  <c r="G85" i="58"/>
  <c r="F19" i="58"/>
  <c r="F43" i="88"/>
  <c r="H43" i="88"/>
  <c r="G43" i="88"/>
  <c r="F10" i="88"/>
  <c r="AA10" i="88" s="1"/>
  <c r="AB10" i="88" s="1"/>
  <c r="F85" i="99"/>
  <c r="F19" i="100"/>
  <c r="M19" i="100"/>
  <c r="H19" i="101"/>
  <c r="F85" i="100"/>
  <c r="H19" i="99"/>
  <c r="K19" i="100"/>
  <c r="M85" i="99"/>
  <c r="H85" i="99"/>
  <c r="K19" i="101"/>
  <c r="F19" i="101"/>
  <c r="M85" i="101"/>
  <c r="C19" i="100"/>
  <c r="M85" i="100"/>
  <c r="F85" i="101"/>
  <c r="K85" i="99"/>
  <c r="C85" i="101"/>
  <c r="K19" i="99"/>
  <c r="K85" i="101"/>
  <c r="F19" i="99"/>
  <c r="M19" i="101"/>
  <c r="C19" i="101"/>
  <c r="K85" i="100"/>
  <c r="C85" i="100"/>
  <c r="H85" i="101"/>
  <c r="C85" i="99"/>
  <c r="H85" i="100"/>
  <c r="M19" i="99"/>
  <c r="C19" i="99"/>
  <c r="H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55" i="46"/>
  <c r="G55" i="46"/>
  <c r="H55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M19" i="98"/>
  <c r="M85" i="98"/>
  <c r="K19" i="98"/>
  <c r="F19" i="97"/>
  <c r="H19" i="98"/>
  <c r="F85" i="98"/>
  <c r="H85" i="97"/>
  <c r="C19" i="98"/>
  <c r="F85" i="97"/>
  <c r="C85" i="97"/>
  <c r="K85" i="98"/>
  <c r="F19" i="98"/>
  <c r="K85" i="97"/>
  <c r="M19" i="97"/>
  <c r="M85" i="97"/>
  <c r="K19" i="97"/>
  <c r="H85" i="98"/>
  <c r="C85" i="98"/>
  <c r="C19" i="97"/>
  <c r="K25" i="88"/>
  <c r="H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4" i="46" l="1"/>
  <c r="G54" i="46"/>
  <c r="H54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H19" i="96"/>
  <c r="F85" i="96"/>
  <c r="F19" i="96"/>
  <c r="K19" i="96"/>
  <c r="C19" i="96"/>
  <c r="M85" i="96"/>
  <c r="H85" i="96"/>
  <c r="K85" i="96"/>
  <c r="M19" i="96"/>
  <c r="C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3" i="46"/>
  <c r="G53" i="46"/>
  <c r="H53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K19" i="95"/>
  <c r="C19" i="95"/>
  <c r="F19" i="95"/>
  <c r="K85" i="95"/>
  <c r="H19" i="95"/>
  <c r="M85" i="95"/>
  <c r="M19" i="95"/>
  <c r="H85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19" i="94"/>
  <c r="F19" i="94"/>
  <c r="M19" i="94"/>
  <c r="H85" i="94"/>
  <c r="F85" i="94"/>
  <c r="K85" i="94"/>
  <c r="C19" i="94"/>
  <c r="K19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F19" i="93"/>
  <c r="M19" i="93"/>
  <c r="H85" i="93"/>
  <c r="K85" i="93"/>
  <c r="C85" i="93"/>
  <c r="M85" i="93"/>
  <c r="F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1"/>
  <c r="C85" i="91"/>
  <c r="H19" i="91"/>
  <c r="H19" i="92"/>
  <c r="M85" i="91"/>
  <c r="F19" i="47"/>
  <c r="M19" i="91"/>
  <c r="F19" i="92"/>
  <c r="H85" i="91"/>
  <c r="M85" i="92"/>
  <c r="H85" i="92"/>
  <c r="F85" i="92"/>
  <c r="M19" i="92"/>
  <c r="K19" i="92"/>
  <c r="K85" i="92"/>
  <c r="C19" i="92"/>
  <c r="F85" i="91"/>
  <c r="C19" i="91"/>
  <c r="K19" i="91"/>
  <c r="K85" i="91"/>
  <c r="C85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52" i="46"/>
  <c r="H52" i="46"/>
  <c r="G52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1" i="46"/>
  <c r="H51" i="46"/>
  <c r="G51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0" i="46"/>
  <c r="H50" i="46"/>
  <c r="G50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9" i="46"/>
  <c r="G49" i="46"/>
  <c r="H49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M85" i="90"/>
  <c r="K19" i="90"/>
  <c r="K85" i="90"/>
  <c r="C19" i="90"/>
  <c r="C85" i="90"/>
  <c r="H19" i="90"/>
  <c r="F19" i="90"/>
  <c r="F85" i="90"/>
  <c r="M19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8" i="46"/>
  <c r="G48" i="46"/>
  <c r="H48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85" i="89"/>
  <c r="H19" i="89"/>
  <c r="H85" i="89"/>
  <c r="H58" i="51"/>
  <c r="K19" i="89"/>
  <c r="K85" i="89"/>
  <c r="M19" i="89"/>
  <c r="F19" i="89"/>
  <c r="C85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97" i="88"/>
  <c r="F85" i="87"/>
  <c r="K19" i="87"/>
  <c r="M25" i="88"/>
  <c r="M97" i="88"/>
  <c r="F25" i="88"/>
  <c r="H85" i="87"/>
  <c r="C19" i="87"/>
  <c r="M85" i="87"/>
  <c r="F97" i="88"/>
  <c r="C97" i="88"/>
  <c r="C85" i="87"/>
  <c r="H97" i="88"/>
  <c r="F19" i="87"/>
  <c r="H19" i="87"/>
  <c r="M19" i="87"/>
  <c r="K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7" i="46"/>
  <c r="H47" i="46"/>
  <c r="G47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85" i="86"/>
  <c r="F85" i="86"/>
  <c r="M85" i="86"/>
  <c r="H19" i="86"/>
  <c r="C19" i="86"/>
  <c r="K85" i="86"/>
  <c r="H85" i="86"/>
  <c r="M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6" i="46"/>
  <c r="H46" i="46"/>
  <c r="G46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5" i="46"/>
  <c r="H45" i="46"/>
  <c r="G45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4" i="46"/>
  <c r="F44" i="46"/>
  <c r="G44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3" i="46"/>
  <c r="F43" i="46"/>
  <c r="G43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2" i="46"/>
  <c r="H42" i="46"/>
  <c r="G42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1" i="46"/>
  <c r="H41" i="46"/>
  <c r="G41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0" i="46"/>
  <c r="H40" i="46"/>
  <c r="G40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9" i="46"/>
  <c r="H39" i="46"/>
  <c r="G39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M30" i="46"/>
  <c r="K30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8" i="46"/>
  <c r="H38" i="46"/>
  <c r="G38" i="46"/>
  <c r="F9" i="46"/>
  <c r="F8" i="46"/>
  <c r="F53" i="43"/>
  <c r="H53" i="43"/>
  <c r="G53" i="43"/>
  <c r="F12" i="43"/>
  <c r="F30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7" i="46"/>
  <c r="H37" i="46"/>
  <c r="G37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6" i="46"/>
  <c r="G36" i="46"/>
  <c r="H36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5" i="46"/>
  <c r="G35" i="46"/>
  <c r="H35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C19" i="85"/>
  <c r="M19" i="85"/>
  <c r="H19" i="85"/>
  <c r="F19" i="85"/>
  <c r="H85" i="85"/>
  <c r="K85" i="85"/>
  <c r="F85" i="85"/>
  <c r="C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07" i="84"/>
  <c r="K85" i="83"/>
  <c r="F19" i="83"/>
  <c r="H85" i="83"/>
  <c r="H19" i="83"/>
  <c r="K19" i="83"/>
  <c r="M19" i="83"/>
  <c r="M107" i="84"/>
  <c r="M85" i="83"/>
  <c r="C85" i="83"/>
  <c r="C19" i="83"/>
  <c r="C25" i="84"/>
  <c r="K107" i="84"/>
  <c r="F25" i="84"/>
  <c r="M25" i="84"/>
  <c r="F107" i="84"/>
  <c r="H25" i="84"/>
  <c r="C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C18" i="74"/>
  <c r="C60" i="82"/>
  <c r="K60" i="82"/>
  <c r="M18" i="74"/>
  <c r="H19" i="82"/>
  <c r="F60" i="82"/>
  <c r="H18" i="74"/>
  <c r="M60" i="82"/>
  <c r="F19" i="82"/>
  <c r="M19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4" i="46"/>
  <c r="G34" i="46"/>
  <c r="H34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9" i="46"/>
  <c r="G109" i="46"/>
  <c r="F109" i="46"/>
  <c r="H108" i="46"/>
  <c r="G108" i="46"/>
  <c r="F108" i="46"/>
  <c r="H107" i="46"/>
  <c r="G107" i="46"/>
  <c r="F107" i="46"/>
  <c r="H106" i="46"/>
  <c r="G106" i="46"/>
  <c r="F106" i="46"/>
  <c r="H105" i="46"/>
  <c r="G105" i="46"/>
  <c r="F105" i="46"/>
  <c r="H104" i="46"/>
  <c r="G104" i="46"/>
  <c r="F104" i="46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F96" i="31"/>
  <c r="H96" i="31"/>
  <c r="F78" i="75"/>
  <c r="K78" i="75"/>
  <c r="C78" i="75"/>
  <c r="C96" i="31"/>
  <c r="M96" i="31"/>
  <c r="H78" i="75"/>
  <c r="K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H85" i="64"/>
  <c r="H19" i="64"/>
  <c r="K85" i="64"/>
  <c r="K19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K107" i="81"/>
  <c r="M30" i="81"/>
  <c r="H30" i="81"/>
  <c r="H107" i="81"/>
  <c r="C107" i="81"/>
  <c r="F30" i="81"/>
  <c r="F107" i="81"/>
  <c r="M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M19" i="80"/>
  <c r="K19" i="80"/>
  <c r="F85" i="80"/>
  <c r="H85" i="80"/>
  <c r="M85" i="80"/>
  <c r="H19" i="80"/>
  <c r="F19" i="80"/>
  <c r="C85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K19" i="79"/>
  <c r="K65" i="79"/>
  <c r="M19" i="79"/>
  <c r="C65" i="79"/>
  <c r="H65" i="79"/>
  <c r="H19" i="79"/>
  <c r="F65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C85" i="78"/>
  <c r="H19" i="78"/>
  <c r="M85" i="78"/>
  <c r="F19" i="78"/>
  <c r="F85" i="78"/>
  <c r="K85" i="78"/>
  <c r="K19" i="78"/>
  <c r="M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19" i="77"/>
  <c r="C89" i="77"/>
  <c r="M89" i="77"/>
  <c r="M19" i="77"/>
  <c r="F89" i="77"/>
  <c r="H89" i="77"/>
  <c r="K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C77" i="69"/>
  <c r="M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K19" i="76"/>
  <c r="M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H93" i="68"/>
  <c r="K93" i="68"/>
  <c r="C93" i="68"/>
  <c r="F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9" i="45"/>
  <c r="F79" i="45"/>
  <c r="K78" i="45"/>
  <c r="F78" i="45"/>
  <c r="K77" i="45"/>
  <c r="F77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90" i="25"/>
  <c r="F790" i="25"/>
  <c r="M790" i="25"/>
  <c r="C790" i="25"/>
  <c r="H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95" i="46"/>
  <c r="H95" i="46"/>
  <c r="C95" i="46"/>
  <c r="P25" i="46"/>
  <c r="P24" i="46"/>
  <c r="P23" i="46"/>
  <c r="P22" i="46"/>
  <c r="P21" i="46"/>
  <c r="P20" i="46"/>
  <c r="P19" i="46"/>
  <c r="K85" i="46"/>
  <c r="K84" i="46"/>
  <c r="F84" i="46"/>
  <c r="K83" i="46"/>
  <c r="F83" i="46"/>
  <c r="H33" i="46"/>
  <c r="G33" i="46"/>
  <c r="F33" i="46"/>
  <c r="K29" i="46"/>
  <c r="H29" i="46"/>
  <c r="F29" i="46"/>
  <c r="C29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9" i="58"/>
  <c r="H136" i="58"/>
  <c r="G136" i="58"/>
  <c r="F136" i="58"/>
  <c r="P38" i="58"/>
  <c r="H135" i="58"/>
  <c r="G135" i="58"/>
  <c r="F135" i="58"/>
  <c r="P37" i="58"/>
  <c r="H134" i="58"/>
  <c r="G134" i="58"/>
  <c r="F134" i="58"/>
  <c r="P36" i="58"/>
  <c r="H133" i="58"/>
  <c r="G133" i="58"/>
  <c r="F133" i="58"/>
  <c r="P35" i="58"/>
  <c r="P34" i="58"/>
  <c r="P33" i="58"/>
  <c r="P32" i="58"/>
  <c r="H129" i="58"/>
  <c r="G129" i="58"/>
  <c r="F129" i="58"/>
  <c r="P31" i="58"/>
  <c r="H128" i="58"/>
  <c r="G128" i="58"/>
  <c r="F128" i="58"/>
  <c r="P30" i="58"/>
  <c r="H127" i="58"/>
  <c r="G127" i="58"/>
  <c r="F127" i="58"/>
  <c r="P29" i="58"/>
  <c r="H126" i="58"/>
  <c r="G126" i="58"/>
  <c r="F126" i="58"/>
  <c r="P28" i="58"/>
  <c r="H125" i="58"/>
  <c r="G125" i="58"/>
  <c r="F125" i="58"/>
  <c r="P27" i="58"/>
  <c r="H124" i="58"/>
  <c r="G124" i="58"/>
  <c r="F124" i="58"/>
  <c r="P26" i="58"/>
  <c r="H123" i="58"/>
  <c r="G123" i="58"/>
  <c r="F123" i="58"/>
  <c r="P25" i="58"/>
  <c r="H122" i="58"/>
  <c r="G122" i="58"/>
  <c r="F122" i="58"/>
  <c r="P24" i="58"/>
  <c r="H121" i="58"/>
  <c r="G121" i="58"/>
  <c r="F121" i="58"/>
  <c r="P23" i="58"/>
  <c r="H120" i="58"/>
  <c r="G120" i="58"/>
  <c r="F120" i="58"/>
  <c r="P22" i="58"/>
  <c r="H119" i="58"/>
  <c r="G119" i="58"/>
  <c r="F119" i="58"/>
  <c r="P21" i="58"/>
  <c r="H118" i="58"/>
  <c r="G118" i="58"/>
  <c r="F118" i="58"/>
  <c r="P20" i="58"/>
  <c r="H117" i="58"/>
  <c r="G117" i="58"/>
  <c r="F117" i="58"/>
  <c r="P19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6"/>
  <c r="M30" i="40"/>
  <c r="M58" i="51"/>
  <c r="C19" i="34"/>
  <c r="F55" i="50"/>
  <c r="C19" i="55"/>
  <c r="K100" i="34"/>
  <c r="H75" i="41"/>
  <c r="F19" i="64"/>
  <c r="K67" i="60"/>
  <c r="M104" i="45"/>
  <c r="H25" i="31"/>
  <c r="C19" i="75"/>
  <c r="M86" i="53"/>
  <c r="C94" i="52"/>
  <c r="C72" i="59"/>
  <c r="K19" i="53"/>
  <c r="K19" i="3"/>
  <c r="H19" i="71"/>
  <c r="K19" i="52"/>
  <c r="K19" i="73"/>
  <c r="K51" i="54"/>
  <c r="H65" i="63"/>
  <c r="C19" i="41"/>
  <c r="F100" i="34"/>
  <c r="F97" i="25"/>
  <c r="H19" i="3"/>
  <c r="M23" i="17"/>
  <c r="M19" i="69"/>
  <c r="M67" i="60"/>
  <c r="K19" i="59"/>
  <c r="K19" i="55"/>
  <c r="F63" i="66"/>
  <c r="F77" i="70"/>
  <c r="H19" i="75"/>
  <c r="C65" i="71"/>
  <c r="F30" i="49"/>
  <c r="M63" i="66"/>
  <c r="F72" i="59"/>
  <c r="M19" i="61"/>
  <c r="C97" i="25"/>
  <c r="K30" i="40"/>
  <c r="H77" i="70"/>
  <c r="H213" i="57"/>
  <c r="M19" i="53"/>
  <c r="F22" i="43"/>
  <c r="F119" i="7"/>
  <c r="F81" i="61"/>
  <c r="K81" i="61"/>
  <c r="H19" i="53"/>
  <c r="C19" i="68"/>
  <c r="H178" i="58"/>
  <c r="C51" i="54"/>
  <c r="C30" i="40"/>
  <c r="H19" i="54"/>
  <c r="F19" i="70"/>
  <c r="M19" i="34"/>
  <c r="C30" i="49"/>
  <c r="F19" i="3"/>
  <c r="H19" i="68"/>
  <c r="K119" i="7"/>
  <c r="F19" i="62"/>
  <c r="K94" i="52"/>
  <c r="C19" i="69"/>
  <c r="F19" i="66"/>
  <c r="K72" i="59"/>
  <c r="C178" i="58"/>
  <c r="H23" i="17"/>
  <c r="C119" i="7"/>
  <c r="K58" i="51"/>
  <c r="M19" i="50"/>
  <c r="F19" i="41"/>
  <c r="M19" i="72"/>
  <c r="C90" i="72"/>
  <c r="K19" i="34"/>
  <c r="K19" i="54"/>
  <c r="M19" i="70"/>
  <c r="K213" i="57"/>
  <c r="K19" i="75"/>
  <c r="H19" i="60"/>
  <c r="H19" i="52"/>
  <c r="F65" i="71"/>
  <c r="K23" i="57"/>
  <c r="F30" i="40"/>
  <c r="C19" i="53"/>
  <c r="C19" i="70"/>
  <c r="F19" i="69"/>
  <c r="H19" i="72"/>
  <c r="K19" i="63"/>
  <c r="M65" i="63"/>
  <c r="M75" i="41"/>
  <c r="H19" i="69"/>
  <c r="K104" i="45"/>
  <c r="M72" i="59"/>
  <c r="F19" i="34"/>
  <c r="H30" i="40"/>
  <c r="M33" i="58"/>
  <c r="C75" i="41"/>
  <c r="F178" i="58"/>
  <c r="M19" i="52"/>
  <c r="K451" i="17"/>
  <c r="K77" i="70"/>
  <c r="F85" i="64"/>
  <c r="M55" i="50"/>
  <c r="M65" i="71"/>
  <c r="C77" i="70"/>
  <c r="M30" i="49"/>
  <c r="F19" i="55"/>
  <c r="F19" i="73"/>
  <c r="F86" i="53"/>
  <c r="F19" i="68"/>
  <c r="F33" i="58"/>
  <c r="K23" i="17"/>
  <c r="C23" i="17"/>
  <c r="C104" i="45"/>
  <c r="H63" i="66"/>
  <c r="K19" i="71"/>
  <c r="K156" i="49"/>
  <c r="M19" i="60"/>
  <c r="H156" i="49"/>
  <c r="H67" i="60"/>
  <c r="C451" i="17"/>
  <c r="K65" i="71"/>
  <c r="F23" i="57"/>
  <c r="F67" i="60"/>
  <c r="H19" i="55"/>
  <c r="M19" i="71"/>
  <c r="K63" i="66"/>
  <c r="F19" i="59"/>
  <c r="F451" i="17"/>
  <c r="K19" i="69"/>
  <c r="C19" i="64"/>
  <c r="C156" i="49"/>
  <c r="H119" i="7"/>
  <c r="C63" i="66"/>
  <c r="K18" i="74"/>
  <c r="K75" i="41"/>
  <c r="K19" i="50"/>
  <c r="F213" i="57"/>
  <c r="K19" i="72"/>
  <c r="H19" i="50"/>
  <c r="F23" i="17"/>
  <c r="F25" i="31"/>
  <c r="C23" i="57"/>
  <c r="C19" i="59"/>
  <c r="H97" i="25"/>
  <c r="H451" i="17"/>
  <c r="M119" i="7"/>
  <c r="C19" i="73"/>
  <c r="C19" i="63"/>
  <c r="H19" i="63"/>
  <c r="M25" i="31"/>
  <c r="K25" i="31"/>
  <c r="F19" i="53"/>
  <c r="C213" i="57"/>
  <c r="C19" i="71"/>
  <c r="C65" i="63"/>
  <c r="C33" i="58"/>
  <c r="C19" i="45"/>
  <c r="M19" i="66"/>
  <c r="M90" i="72"/>
  <c r="M19" i="55"/>
  <c r="M19" i="45"/>
  <c r="H19" i="61"/>
  <c r="F19" i="61"/>
  <c r="H104" i="45"/>
  <c r="C85" i="64"/>
  <c r="M19" i="68"/>
  <c r="F156" i="49"/>
  <c r="H19" i="59"/>
  <c r="H33" i="58"/>
  <c r="H51" i="54"/>
  <c r="H100" i="34"/>
  <c r="M19" i="62"/>
  <c r="F19" i="63"/>
  <c r="C19" i="61"/>
  <c r="M19" i="73"/>
  <c r="F75" i="41"/>
  <c r="C19" i="66"/>
  <c r="F19" i="71"/>
  <c r="K55" i="50"/>
  <c r="H94" i="52"/>
  <c r="K19" i="60"/>
  <c r="F90" i="72"/>
  <c r="C100" i="34"/>
  <c r="K65" i="63"/>
  <c r="K19" i="70"/>
  <c r="K19" i="62"/>
  <c r="C19" i="62"/>
  <c r="H19" i="34"/>
  <c r="C55" i="50"/>
  <c r="C19" i="3"/>
  <c r="H72" i="59"/>
  <c r="C19" i="60"/>
  <c r="M19" i="63"/>
  <c r="C81" i="61"/>
  <c r="M19" i="41"/>
  <c r="F104" i="45"/>
  <c r="C19" i="54"/>
  <c r="C67" i="60"/>
  <c r="F19" i="50"/>
  <c r="K19" i="68"/>
  <c r="M23" i="57"/>
  <c r="H86" i="53"/>
  <c r="M19" i="75"/>
  <c r="M81" i="61"/>
  <c r="M156" i="49"/>
  <c r="C25" i="31"/>
  <c r="K33" i="58"/>
  <c r="F19" i="72"/>
  <c r="C19" i="50"/>
  <c r="H19" i="41"/>
  <c r="H19" i="73"/>
  <c r="H81" i="61"/>
  <c r="F19" i="75"/>
  <c r="M213" i="57"/>
  <c r="M77" i="70"/>
  <c r="M51" i="54"/>
  <c r="C19" i="52"/>
  <c r="M100" i="34"/>
  <c r="F51" i="54"/>
  <c r="M178" i="58"/>
  <c r="K19" i="41"/>
  <c r="K19" i="61"/>
  <c r="M19" i="3"/>
  <c r="H65" i="71"/>
  <c r="C19" i="72"/>
  <c r="F19" i="54"/>
  <c r="F19" i="60"/>
  <c r="K86" i="53"/>
  <c r="M451" i="17"/>
  <c r="M19" i="54"/>
  <c r="K178" i="58"/>
  <c r="F58" i="51"/>
  <c r="M19" i="59"/>
  <c r="H90" i="72"/>
  <c r="M94" i="52"/>
  <c r="F19" i="45"/>
  <c r="F65" i="63"/>
  <c r="F94" i="52"/>
  <c r="C86" i="53"/>
  <c r="F18" i="74"/>
  <c r="K90" i="72"/>
  <c r="H19" i="70"/>
  <c r="F19" i="52"/>
  <c r="H55" i="50"/>
  <c r="K19" i="66"/>
  <c r="H19" i="62"/>
  <c r="V701" i="38" l="1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01" i="38" s="1"/>
  <c r="Y70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9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95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0" i="38" l="1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8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98" i="38" l="1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<sst xmlns="http://schemas.openxmlformats.org/spreadsheetml/2006/main" count="7892" uniqueCount="1238">
  <si>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</si>
  <si>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</si>
  <si>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</si>
  <si>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</si>
  <si>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</si>
  <si>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</si>
  <si>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</si>
  <si>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</si>
  <si>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</si>
  <si>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</si>
  <si>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</si>
  <si>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</si>
  <si>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</si>
  <si>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</si>
  <si>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</si>
  <si>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</si>
  <si>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</si>
  <si>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</si>
  <si>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</si>
  <si>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</si>
  <si>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</si>
  <si>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</si>
  <si>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</si>
  <si>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</si>
  <si>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</si>
  <si>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</si>
  <si>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</si>
  <si>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</si>
  <si>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</si>
  <si>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</si>
  <si>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</si>
  <si>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</si>
  <si>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</si>
  <si>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</si>
  <si>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</si>
  <si>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</si>
  <si>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</si>
  <si>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</si>
  <si>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</si>
  <si>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</si>
  <si>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</si>
  <si>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</si>
  <si>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</si>
  <si>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</si>
  <si>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</si>
  <si>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</si>
  <si>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</si>
  <si>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</si>
  <si>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</si>
  <si>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</si>
  <si>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</si>
  <si>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</si>
  <si>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</si>
  <si>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</si>
  <si>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</si>
  <si>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</si>
  <si>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</si>
  <si>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</si>
  <si>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</si>
  <si>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</si>
  <si>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</si>
  <si>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</si>
  <si>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</si>
  <si>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</si>
  <si>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</si>
  <si>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</si>
  <si>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</si>
  <si>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</si>
  <si>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</si>
  <si>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</si>
  <si>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</si>
  <si>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</si>
  <si>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</si>
  <si>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</si>
  <si>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</si>
  <si>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</si>
  <si>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</si>
  <si>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</si>
  <si>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</si>
  <si>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</si>
  <si>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</si>
  <si>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</si>
  <si>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</si>
  <si>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</si>
  <si>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</si>
  <si>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</si>
  <si>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</si>
  <si>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</si>
  <si>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</si>
  <si>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</si>
  <si>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</si>
  <si>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</si>
  <si>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</si>
  <si>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</si>
  <si>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</si>
  <si>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</si>
  <si>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</si>
  <si>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</si>
  <si>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</si>
  <si>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</si>
  <si>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</si>
  <si>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</si>
  <si>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</si>
  <si>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</si>
  <si>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</si>
  <si>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</si>
  <si>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</si>
  <si>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</si>
  <si>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</si>
  <si>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</si>
  <si>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</si>
  <si>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</si>
  <si>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</si>
  <si>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</si>
  <si>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</si>
  <si>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</si>
  <si>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</si>
  <si>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</si>
  <si>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</si>
  <si>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</si>
  <si>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</si>
  <si>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</si>
  <si>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</si>
  <si>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</si>
  <si>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</si>
  <si>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</si>
  <si>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</si>
  <si>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</si>
  <si>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</si>
  <si>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</si>
  <si>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</si>
  <si>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</si>
  <si>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</si>
  <si>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</si>
  <si>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</si>
  <si>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</si>
  <si>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</si>
  <si>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</si>
  <si>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</si>
  <si>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</si>
  <si>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</si>
  <si>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</si>
  <si>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</si>
  <si>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</si>
  <si>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</si>
  <si>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</si>
  <si>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</si>
  <si>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</si>
  <si>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</si>
  <si>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</si>
  <si>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</si>
  <si>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</si>
  <si>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</si>
  <si>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</si>
  <si>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</si>
  <si>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</si>
  <si>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</si>
  <si>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</si>
  <si>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</si>
  <si>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</si>
  <si>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</si>
  <si>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</si>
  <si>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</si>
  <si>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</si>
  <si>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</si>
  <si>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</si>
  <si>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</si>
  <si>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</si>
  <si>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</si>
  <si>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</si>
  <si>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</si>
  <si>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</si>
  <si>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</si>
  <si>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</si>
  <si>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</si>
  <si>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</si>
  <si>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</si>
  <si>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</si>
  <si>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</si>
  <si>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</si>
  <si>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</si>
  <si>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</si>
  <si>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</si>
  <si>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</si>
  <si>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</si>
  <si>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</si>
  <si>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</si>
  <si>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</si>
  <si>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</si>
  <si>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</si>
  <si>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</si>
  <si>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</si>
  <si>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</si>
  <si>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</si>
  <si>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</si>
  <si>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</si>
  <si>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</si>
  <si>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</si>
  <si>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</si>
  <si>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</si>
  <si>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</si>
  <si>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</si>
  <si>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</si>
  <si>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</si>
  <si>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</si>
  <si>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</si>
  <si>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</si>
  <si>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</si>
  <si>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</si>
  <si>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</si>
  <si>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</si>
  <si>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</si>
  <si>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</si>
  <si>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</si>
  <si>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</si>
  <si>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</si>
  <si>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</si>
  <si>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</si>
  <si>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</si>
  <si>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</si>
  <si>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</si>
  <si>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</si>
  <si>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</si>
  <si>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</si>
  <si>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</si>
  <si>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</si>
  <si>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</si>
  <si>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</si>
  <si>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</si>
  <si>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</si>
  <si>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</si>
  <si>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</si>
  <si>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</si>
  <si>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</si>
  <si>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</si>
  <si>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</si>
  <si>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</si>
  <si>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</si>
  <si>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</si>
  <si>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</si>
  <si>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</si>
  <si>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</si>
  <si>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</si>
  <si>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</si>
  <si>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</si>
  <si>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</si>
  <si>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</si>
  <si>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</si>
  <si>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</si>
  <si>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</si>
  <si>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</si>
  <si>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</si>
  <si>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</si>
  <si>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</si>
  <si>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</si>
  <si>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</si>
  <si>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</si>
  <si>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</si>
  <si>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</si>
  <si>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</si>
  <si>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</si>
  <si>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</si>
  <si>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</si>
  <si>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</si>
  <si>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</si>
  <si>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</si>
  <si>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</si>
  <si>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</si>
  <si>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</si>
  <si>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</si>
  <si>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</si>
  <si>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</si>
  <si>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</si>
  <si>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</si>
  <si>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</si>
  <si>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</si>
  <si>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</si>
  <si>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</si>
  <si>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</si>
  <si>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</si>
  <si>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</si>
  <si>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</si>
  <si>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</si>
  <si>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</si>
  <si>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</si>
  <si>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</si>
  <si>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</si>
  <si>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</si>
  <si>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</si>
  <si>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</si>
  <si>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</si>
  <si>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</si>
  <si>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</si>
  <si>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</si>
  <si>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</si>
  <si>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</si>
  <si>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</si>
  <si>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</si>
  <si>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</si>
  <si>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</si>
  <si>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</si>
  <si>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</si>
  <si>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</si>
  <si>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</si>
  <si>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</si>
  <si>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</si>
  <si>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</si>
  <si>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</si>
  <si>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</si>
  <si>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</si>
  <si>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</si>
  <si>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</si>
  <si>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</si>
  <si>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</si>
  <si>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</si>
  <si>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</si>
  <si>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</si>
  <si>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</si>
  <si>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</si>
  <si>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</si>
  <si>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</si>
  <si>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</si>
  <si>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</si>
  <si>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</si>
  <si>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</si>
  <si>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</si>
  <si>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</si>
  <si>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</si>
  <si>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</si>
  <si>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</si>
  <si>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</si>
  <si>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</si>
  <si>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</si>
  <si>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</si>
  <si>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</si>
  <si>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</si>
  <si>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</si>
  <si>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</si>
  <si>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</si>
  <si>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</si>
  <si>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</si>
  <si>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</si>
  <si>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</si>
  <si>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</si>
  <si>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</si>
  <si>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</si>
  <si>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</si>
  <si>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</si>
  <si>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</si>
  <si>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</si>
  <si>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</si>
  <si>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</si>
  <si>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</si>
  <si>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</si>
  <si>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</si>
  <si>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</si>
  <si>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</si>
  <si>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</si>
  <si>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</si>
  <si>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</si>
  <si>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</si>
  <si>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</si>
  <si>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</si>
  <si>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</si>
  <si>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</si>
  <si>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</si>
  <si>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</si>
  <si>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</si>
  <si>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</si>
  <si>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</si>
  <si>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</si>
  <si>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</si>
  <si>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</si>
  <si>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</si>
  <si>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</si>
  <si>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</si>
  <si>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</si>
  <si>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</si>
  <si>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</si>
  <si>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</si>
  <si>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</si>
  <si>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</si>
  <si>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</si>
  <si>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</si>
  <si>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</si>
  <si>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</si>
  <si>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</si>
  <si>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</si>
  <si>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</si>
  <si>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</si>
  <si>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</si>
  <si>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</si>
  <si>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</si>
  <si>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</si>
  <si>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</si>
  <si>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</si>
  <si>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</si>
  <si>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</si>
  <si>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</si>
  <si>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</si>
  <si>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</si>
  <si>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</si>
  <si>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</si>
  <si>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</si>
  <si>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</si>
  <si>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</si>
  <si>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</si>
  <si>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</si>
  <si>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</si>
  <si>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</si>
  <si>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</si>
  <si>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</si>
  <si>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</si>
  <si>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</si>
  <si>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</si>
  <si>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</si>
  <si>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</si>
  <si>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</si>
  <si>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</si>
  <si>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</si>
  <si>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</si>
  <si>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</si>
  <si>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</si>
  <si>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</si>
  <si>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</si>
  <si>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</si>
  <si>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</si>
  <si>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</si>
  <si>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</si>
  <si>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</si>
  <si>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</si>
  <si>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</si>
  <si>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</si>
  <si>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</si>
  <si>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</si>
  <si>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</si>
  <si>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</si>
  <si>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</si>
  <si>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</si>
  <si>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</si>
  <si>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</si>
  <si>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</si>
  <si>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</si>
  <si>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</si>
  <si>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</si>
  <si>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</si>
  <si>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</si>
  <si>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</si>
  <si>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</si>
  <si>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</si>
  <si>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</si>
  <si>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</si>
  <si>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</si>
  <si>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</si>
  <si>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</si>
  <si>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</si>
  <si>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</si>
  <si>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</si>
  <si>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</si>
  <si>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</si>
  <si>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</si>
  <si>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</si>
  <si>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</si>
  <si>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</si>
  <si>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</si>
  <si>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</si>
  <si>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</si>
  <si>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</si>
  <si>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</si>
  <si>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</si>
  <si>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</si>
  <si>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</si>
  <si>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</si>
  <si>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</si>
  <si>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</si>
  <si>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</si>
  <si>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</si>
  <si>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</si>
  <si>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</si>
  <si>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</si>
  <si>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</si>
  <si>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</si>
  <si>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</si>
  <si>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</si>
  <si>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</si>
  <si>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</si>
  <si>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</si>
  <si>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</si>
  <si>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</si>
  <si>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</si>
  <si>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</si>
  <si>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</si>
  <si>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</si>
  <si>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</si>
  <si>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</si>
  <si>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</si>
  <si>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</si>
  <si>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</si>
  <si>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</si>
  <si>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</si>
  <si>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</si>
  <si>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</si>
  <si>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</si>
  <si>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</si>
  <si>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</si>
  <si>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</si>
  <si>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</si>
  <si>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</si>
  <si>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</si>
  <si>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</si>
  <si>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</si>
  <si>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</si>
  <si>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</si>
  <si>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</si>
  <si>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</si>
  <si>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</si>
  <si>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</si>
  <si>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</si>
  <si>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</si>
  <si>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</si>
  <si>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</si>
  <si>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</si>
  <si>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</si>
  <si>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</si>
  <si>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</si>
  <si>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</si>
  <si>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</si>
  <si>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</si>
  <si>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</si>
  <si>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</si>
  <si>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</si>
  <si>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</si>
  <si>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</si>
  <si>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</si>
  <si>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</si>
  <si>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</si>
  <si>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</si>
  <si>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</si>
  <si>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</si>
  <si>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</si>
  <si>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</si>
  <si>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</si>
  <si>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</si>
  <si>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</si>
  <si>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</si>
  <si>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</si>
  <si>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</si>
  <si>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</si>
  <si>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</si>
  <si>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</si>
  <si>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</si>
  <si>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</si>
  <si>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</si>
  <si>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</si>
  <si>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</si>
  <si>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</si>
  <si>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</si>
  <si>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</si>
  <si>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</si>
  <si>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</si>
  <si>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</si>
  <si>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</si>
  <si>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</si>
  <si>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</si>
  <si>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</si>
  <si>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</si>
  <si>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</si>
  <si>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</si>
  <si>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</si>
  <si>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</si>
  <si>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</si>
  <si>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</si>
  <si>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</si>
  <si>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</si>
  <si>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</si>
  <si>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</si>
  <si>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</si>
  <si>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</si>
  <si>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</si>
  <si>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</si>
  <si>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</si>
  <si>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</si>
  <si>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</si>
  <si>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</si>
  <si>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</si>
  <si>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</si>
  <si>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</si>
  <si>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</si>
  <si>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</si>
  <si>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</si>
  <si>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</si>
  <si>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</si>
  <si>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</si>
  <si>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</si>
  <si>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</si>
  <si>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</si>
  <si>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</si>
  <si>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</si>
  <si>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</si>
  <si>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</si>
  <si>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</si>
  <si>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</si>
  <si>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</si>
  <si>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</si>
  <si>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</si>
  <si>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</si>
  <si>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</si>
  <si>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</si>
  <si>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</si>
  <si>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</si>
  <si>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</si>
  <si>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</si>
  <si>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</si>
  <si>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</si>
  <si>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</si>
  <si>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</si>
  <si>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</si>
  <si>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</si>
  <si>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</si>
  <si>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</si>
  <si>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</si>
  <si>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</si>
  <si>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</si>
  <si>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</si>
  <si>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</si>
  <si>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</si>
  <si>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</si>
  <si>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</si>
  <si>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</si>
  <si>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</si>
  <si>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</si>
  <si>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</si>
  <si>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</si>
  <si>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</si>
  <si>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</si>
  <si>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</si>
  <si>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</si>
  <si>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</si>
  <si>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</si>
  <si>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</si>
  <si>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</si>
  <si>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</si>
  <si>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</si>
  <si>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</si>
  <si>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</si>
  <si>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</si>
  <si>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</si>
  <si>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</si>
  <si>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</si>
  <si>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</si>
  <si>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</si>
  <si>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</si>
  <si>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</si>
  <si>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</si>
  <si>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</si>
  <si>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</si>
  <si>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</si>
  <si>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</si>
  <si>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</si>
  <si>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</si>
  <si>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</si>
  <si>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</si>
  <si>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</si>
  <si>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</si>
  <si>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</si>
  <si>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</si>
  <si>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</si>
  <si>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</si>
  <si>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</si>
  <si>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</si>
  <si>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</si>
  <si>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</si>
  <si>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</si>
  <si>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</si>
  <si>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</si>
  <si>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</si>
  <si>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</si>
  <si>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</si>
  <si>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</si>
  <si>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</si>
  <si>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</si>
  <si>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</si>
  <si>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</si>
  <si>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</si>
  <si>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</si>
  <si>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</si>
  <si>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</si>
  <si>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</si>
  <si>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</si>
  <si>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</si>
  <si>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</si>
  <si>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</si>
  <si>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</si>
  <si>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</si>
  <si>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</si>
  <si>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</si>
  <si>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</si>
  <si>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</si>
  <si>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</si>
  <si>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</si>
  <si>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</si>
  <si>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</si>
  <si>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</si>
  <si>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</si>
  <si>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</si>
  <si>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</si>
  <si>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</si>
  <si>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</si>
  <si>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</si>
  <si>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</si>
  <si>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</si>
  <si>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</si>
  <si>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</si>
  <si>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</si>
  <si>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</si>
  <si>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</si>
  <si>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</si>
  <si>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</si>
  <si>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</si>
  <si>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</si>
  <si>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</si>
  <si>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</si>
  <si>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</si>
  <si>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</si>
  <si>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</si>
  <si>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</si>
  <si>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</si>
  <si>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</si>
  <si>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</si>
  <si>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</si>
  <si>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</si>
  <si>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</si>
  <si>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</si>
  <si>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</si>
  <si>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</si>
  <si>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</si>
  <si>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</si>
  <si>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</si>
  <si>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</si>
  <si>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</si>
  <si>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</si>
  <si>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</si>
  <si>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</si>
  <si>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</si>
  <si>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</si>
  <si>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</si>
  <si>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</si>
  <si>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</si>
  <si>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</si>
  <si>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</si>
  <si>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</si>
  <si>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</si>
  <si>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</si>
  <si>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</si>
  <si>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</si>
  <si>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</si>
  <si>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</si>
  <si>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</si>
  <si>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</si>
  <si>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</si>
  <si>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</si>
  <si>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</si>
  <si>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</si>
  <si>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</si>
  <si>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</si>
  <si>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</si>
  <si>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</si>
  <si>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</si>
  <si>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</si>
  <si>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</si>
  <si>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</si>
  <si>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</si>
  <si>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</si>
  <si>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</si>
  <si>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</si>
  <si>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</si>
  <si>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</si>
  <si>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</si>
  <si>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</si>
  <si>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</si>
  <si>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</si>
  <si>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</si>
  <si>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</si>
  <si>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</si>
  <si>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</si>
  <si>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</si>
  <si>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</si>
  <si>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</si>
  <si>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</si>
  <si>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</si>
  <si>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</si>
  <si>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</si>
  <si>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</si>
  <si>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</si>
  <si>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</si>
  <si>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</si>
  <si>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</si>
  <si>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</si>
  <si>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</si>
  <si>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</si>
  <si>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</si>
  <si>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</si>
  <si>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</si>
  <si>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</si>
  <si>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</si>
  <si>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</si>
  <si>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</si>
  <si>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</si>
  <si>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</si>
  <si>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</si>
  <si>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</si>
  <si>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</si>
  <si>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</si>
  <si>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</si>
  <si>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</si>
  <si>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</si>
  <si>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</si>
  <si>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</si>
  <si>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</si>
  <si>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</si>
  <si>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</si>
  <si>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</si>
  <si>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</si>
  <si>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</si>
  <si>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</si>
  <si>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</si>
  <si>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</si>
  <si>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</si>
  <si>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</si>
  <si>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</si>
  <si>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</si>
  <si>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</si>
  <si>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</si>
  <si>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</si>
  <si>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</si>
  <si>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</si>
  <si>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</si>
  <si>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</si>
  <si>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</si>
  <si>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</si>
  <si>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</si>
  <si>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</si>
  <si>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</si>
  <si>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</si>
  <si>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</si>
  <si>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</si>
  <si>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</si>
  <si>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</si>
  <si>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</si>
  <si>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</si>
  <si>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</si>
  <si>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</si>
  <si>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</si>
  <si>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</si>
  <si>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</si>
  <si>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</si>
  <si>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</si>
  <si>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</si>
  <si>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</si>
  <si>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</si>
  <si>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</si>
  <si>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</si>
  <si>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</si>
  <si>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</si>
  <si>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</si>
  <si>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</si>
  <si>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</si>
  <si>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</si>
  <si>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</si>
  <si>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</si>
  <si>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</si>
  <si>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</si>
  <si>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</si>
  <si>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</si>
  <si>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</si>
  <si>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</si>
  <si>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</si>
  <si>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</si>
  <si>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</si>
  <si>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</si>
  <si>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</si>
  <si>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</si>
  <si>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</si>
  <si>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</si>
  <si>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</si>
  <si>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</si>
  <si>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</si>
  <si>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</si>
  <si>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</si>
  <si>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</si>
  <si>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</si>
  <si>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</si>
  <si>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</si>
  <si>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</si>
  <si>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</si>
  <si>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</si>
  <si>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</si>
  <si>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</si>
  <si>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</si>
  <si>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</si>
  <si>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</si>
  <si>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</si>
  <si>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</si>
  <si>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</si>
  <si>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</si>
  <si>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</si>
  <si>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</si>
  <si>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</si>
  <si>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</si>
  <si>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</si>
  <si>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</si>
  <si>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</si>
  <si>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</si>
  <si>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</si>
  <si>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</si>
  <si>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</si>
  <si>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</si>
  <si>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</si>
  <si>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</si>
  <si>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</si>
  <si>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</si>
  <si>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</si>
  <si>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</si>
  <si>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</si>
  <si>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</si>
  <si>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</si>
  <si>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</si>
  <si>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</si>
  <si>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</si>
  <si>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</si>
  <si>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</si>
  <si>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</si>
  <si>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</si>
  <si>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</si>
  <si>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</si>
  <si>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</si>
  <si>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</si>
  <si>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</si>
  <si>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</si>
  <si>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</si>
  <si>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</si>
  <si>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</si>
  <si>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</si>
  <si>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</si>
  <si>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</si>
  <si>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</si>
  <si>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</si>
  <si>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</si>
  <si>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</si>
  <si>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</si>
  <si>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</si>
  <si>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</si>
  <si>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</si>
  <si>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</si>
  <si>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</si>
  <si>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</si>
  <si>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</si>
  <si>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</si>
  <si>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</si>
  <si>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</si>
  <si>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</si>
  <si>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</si>
  <si>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</si>
  <si>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</si>
  <si>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</si>
  <si>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</si>
  <si>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</si>
  <si>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</si>
  <si>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</si>
  <si>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</si>
  <si>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</si>
  <si>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</si>
  <si>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</si>
  <si>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</si>
  <si>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</si>
  <si>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</si>
  <si>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</si>
  <si>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</si>
  <si>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</si>
  <si>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</si>
  <si>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</si>
  <si>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</si>
  <si>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</si>
  <si>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</si>
  <si>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</si>
  <si>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</si>
  <si>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</si>
  <si>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</si>
  <si>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</si>
  <si>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</si>
  <si>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</si>
  <si>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</si>
  <si>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</si>
  <si>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</si>
  <si>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</si>
  <si>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</si>
  <si>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</si>
  <si>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</si>
  <si>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</si>
  <si>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</si>
  <si>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</si>
  <si>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</si>
  <si>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</si>
  <si>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</si>
  <si>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</si>
  <si>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</si>
  <si>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</si>
  <si>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</si>
  <si>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</si>
  <si>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</si>
  <si>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</si>
  <si>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</si>
  <si>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</si>
  <si>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</si>
  <si>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</si>
  <si>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</si>
  <si>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</si>
  <si>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</si>
  <si>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</si>
  <si>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</si>
  <si>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</si>
  <si>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</si>
  <si>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</si>
  <si>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</si>
  <si>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</si>
  <si>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</si>
  <si>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</si>
  <si>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</si>
  <si>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</si>
  <si>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</si>
  <si>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</si>
  <si>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</si>
  <si>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</si>
  <si>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</si>
  <si>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</si>
  <si>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</si>
  <si>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</si>
  <si>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</si>
  <si>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</si>
  <si>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</si>
  <si>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</si>
  <si>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</si>
  <si>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</si>
  <si>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</si>
  <si>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</si>
  <si>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</si>
  <si>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</si>
  <si>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</si>
  <si>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</si>
  <si>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</si>
  <si>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</si>
  <si>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</si>
  <si>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</si>
  <si>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</si>
  <si>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</si>
  <si>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</si>
  <si>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</si>
  <si>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</si>
  <si>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</si>
  <si>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</si>
  <si>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</si>
  <si>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</si>
  <si>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</si>
  <si>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</si>
  <si>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</si>
  <si>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</si>
  <si>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</si>
  <si>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</si>
  <si>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</si>
  <si>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</si>
  <si>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</si>
  <si>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</si>
  <si>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</si>
  <si>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</si>
  <si>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</si>
  <si>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</si>
  <si>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</si>
  <si>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</si>
  <si>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</si>
  <si>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</si>
  <si>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</si>
  <si>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</si>
  <si>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</si>
  <si>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</si>
  <si>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</si>
  <si>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</si>
  <si>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</si>
  <si>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</si>
  <si>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</si>
  <si>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</si>
  <si>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</si>
  <si>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</si>
  <si>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</si>
  <si>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</si>
  <si>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</si>
  <si>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</si>
  <si>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</si>
  <si>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</si>
  <si>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</si>
  <si>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</si>
  <si>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</si>
  <si>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</si>
  <si>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</si>
  <si>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</si>
  <si>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</si>
  <si>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</si>
  <si>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</si>
  <si>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</si>
  <si>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</si>
  <si>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</si>
  <si>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</si>
  <si>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</si>
  <si>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</si>
  <si>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</si>
  <si>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</si>
  <si>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</si>
  <si>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</si>
  <si>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</si>
  <si>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</si>
  <si>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</si>
  <si>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</si>
  <si>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</si>
  <si>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</si>
  <si>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</si>
  <si>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</si>
  <si>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</si>
  <si>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</si>
  <si>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</si>
  <si>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</si>
  <si>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</si>
  <si>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</si>
  <si>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</si>
  <si>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</si>
  <si>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</si>
  <si>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</si>
  <si>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</si>
  <si>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</si>
  <si>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</si>
  <si>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</si>
  <si>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</si>
  <si>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</si>
  <si>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</si>
  <si>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</si>
  <si>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</si>
  <si>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</si>
  <si>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</si>
  <si>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</si>
  <si>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</si>
  <si>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</si>
  <si>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</si>
  <si>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</si>
  <si>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</si>
  <si>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</si>
  <si>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</si>
  <si>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</si>
  <si>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</si>
  <si>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</si>
  <si>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</si>
  <si>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</si>
  <si>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</si>
  <si>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</si>
  <si>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</si>
  <si>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</si>
  <si>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</si>
  <si>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</si>
  <si>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</si>
  <si>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</si>
  <si>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</si>
  <si>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</si>
  <si>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</si>
  <si>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</si>
  <si>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</si>
  <si>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</si>
  <si>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</si>
  <si>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</si>
  <si>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</si>
  <si>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</si>
  <si>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</si>
  <si>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</si>
  <si>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</si>
  <si>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</si>
  <si>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</si>
  <si>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</si>
  <si>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</si>
  <si>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</si>
  <si>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</si>
  <si>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</si>
  <si>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</si>
  <si>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</si>
  <si>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</si>
  <si>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</si>
  <si>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</si>
  <si>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</si>
  <si>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</si>
  <si>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</si>
  <si>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</si>
  <si>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</si>
  <si>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</si>
  <si>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</si>
  <si>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</si>
  <si>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</si>
  <si>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</si>
  <si>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</si>
  <si>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8/2/2018 PM</t>
  </si>
  <si>
    <t>7/23/2018 PM</t>
  </si>
  <si>
    <t>1300 @ 20.43</t>
  </si>
  <si>
    <t>WTI dropped to 68. MRO down 7%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</si>
  <si>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</si>
  <si>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</si>
  <si>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</si>
  <si>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</si>
  <si>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</si>
  <si>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</si>
  <si>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</si>
  <si>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</si>
  <si>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</si>
  <si>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</si>
  <si>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</si>
  <si>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</si>
  <si>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</si>
  <si>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</si>
  <si>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</si>
  <si>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</si>
  <si>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</si>
  <si>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</si>
  <si>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</si>
  <si>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</si>
  <si>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</si>
  <si>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</si>
  <si>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</si>
  <si>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</si>
  <si>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</si>
  <si>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</si>
  <si>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</si>
  <si>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</si>
  <si>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</si>
  <si>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</t>
  </si>
  <si>
    <t>8/3/2018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</si>
</sst>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sz val="9"/>
      <color rgb="FF0077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0" fontId="38" fillId="33" borderId="0" xfId="0" applyNumberFormat="1" applyFont="1" applyFill="1" applyBorder="1" applyAlignment="1">
      <alignment horizontal="right" vertical="center"/>
    </xf>
    <xf numFmtId="10" fontId="0" fillId="0" borderId="0" xfId="0" applyNumberFormat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66"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65"/>
      <tableStyleElement type="headerRow" dxfId="2864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238088"/>
        <c:axId val="368238872"/>
      </c:scatterChart>
      <c:valAx>
        <c:axId val="36823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38872"/>
        <c:crosses val="autoZero"/>
        <c:crossBetween val="midCat"/>
      </c:valAx>
      <c:valAx>
        <c:axId val="3682388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38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Balance!$M$2:$M$791</c:f>
              <c:numCache>
                <c:formatCode>0.00</c:formatCode>
                <c:ptCount val="79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861416"/>
        <c:axId val="364861808"/>
      </c:scatterChart>
      <c:valAx>
        <c:axId val="36486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61808"/>
        <c:crosses val="autoZero"/>
        <c:crossBetween val="midCat"/>
      </c:valAx>
      <c:valAx>
        <c:axId val="36486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614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16136"/>
        <c:axId val="463309472"/>
      </c:scatterChart>
      <c:valAx>
        <c:axId val="463316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9472"/>
        <c:crosses val="autoZero"/>
        <c:crossBetween val="midCat"/>
      </c:valAx>
      <c:valAx>
        <c:axId val="4633094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Balance!$Q$2:$Q$794</c:f>
              <c:numCache>
                <c:formatCode>0.00%</c:formatCode>
                <c:ptCount val="7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14176"/>
        <c:axId val="463314960"/>
      </c:scatterChart>
      <c:valAx>
        <c:axId val="46331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4960"/>
        <c:crosses val="autoZero"/>
        <c:crossBetween val="midCat"/>
      </c:valAx>
      <c:valAx>
        <c:axId val="4633149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12608"/>
        <c:axId val="463311432"/>
      </c:scatterChart>
      <c:valAx>
        <c:axId val="46331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1432"/>
        <c:crosses val="autoZero"/>
        <c:crossBetween val="midCat"/>
      </c:valAx>
      <c:valAx>
        <c:axId val="46331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Balance!$Y$2:$Y$795</c:f>
              <c:numCache>
                <c:formatCode>0.00</c:formatCode>
                <c:ptCount val="79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13000"/>
        <c:axId val="463313784"/>
      </c:scatterChart>
      <c:valAx>
        <c:axId val="463313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3784"/>
        <c:crosses val="autoZero"/>
        <c:crossBetween val="midCat"/>
      </c:valAx>
      <c:valAx>
        <c:axId val="46331378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3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15352"/>
        <c:axId val="463308688"/>
      </c:scatterChart>
      <c:valAx>
        <c:axId val="46331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8688"/>
        <c:crosses val="autoZero"/>
        <c:crossBetween val="midCat"/>
      </c:valAx>
      <c:valAx>
        <c:axId val="463308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53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</c:numCache>
            </c:numRef>
          </c:xVal>
          <c:yVal>
            <c:numRef>
              <c:f>Balance!$Z$3:$Z$790</c:f>
              <c:numCache>
                <c:formatCode>0.00</c:formatCode>
                <c:ptCount val="788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09864"/>
        <c:axId val="463311040"/>
      </c:scatterChart>
      <c:valAx>
        <c:axId val="463309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1040"/>
        <c:crosses val="autoZero"/>
        <c:crossBetween val="midCat"/>
      </c:valAx>
      <c:valAx>
        <c:axId val="46331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9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64320"/>
        <c:axId val="474565496"/>
      </c:lineChart>
      <c:dateAx>
        <c:axId val="474564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65496"/>
        <c:crosses val="autoZero"/>
        <c:auto val="1"/>
        <c:lblOffset val="100"/>
        <c:baseTimeUnit val="days"/>
      </c:dateAx>
      <c:valAx>
        <c:axId val="474565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6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62752"/>
        <c:axId val="474563144"/>
      </c:lineChart>
      <c:dateAx>
        <c:axId val="47456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63144"/>
        <c:crosses val="autoZero"/>
        <c:auto val="1"/>
        <c:lblOffset val="100"/>
        <c:baseTimeUnit val="days"/>
      </c:dateAx>
      <c:valAx>
        <c:axId val="47456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6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99856"/>
        <c:axId val="475400248"/>
      </c:lineChart>
      <c:dateAx>
        <c:axId val="47539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0248"/>
        <c:crosses val="autoZero"/>
        <c:auto val="1"/>
        <c:lblOffset val="100"/>
        <c:baseTimeUnit val="days"/>
      </c:dateAx>
      <c:valAx>
        <c:axId val="4754002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9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2208"/>
        <c:axId val="475404560"/>
      </c:lineChart>
      <c:dateAx>
        <c:axId val="47540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4560"/>
        <c:crosses val="autoZero"/>
        <c:auto val="1"/>
        <c:lblOffset val="100"/>
        <c:baseTimeUnit val="days"/>
      </c:dateAx>
      <c:valAx>
        <c:axId val="475404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5344"/>
        <c:axId val="475398288"/>
      </c:lineChart>
      <c:dateAx>
        <c:axId val="475405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98288"/>
        <c:crosses val="autoZero"/>
        <c:auto val="1"/>
        <c:lblOffset val="100"/>
        <c:baseTimeUnit val="days"/>
      </c:dateAx>
      <c:valAx>
        <c:axId val="47539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58504"/>
        <c:axId val="477362816"/>
      </c:lineChart>
      <c:dateAx>
        <c:axId val="477358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2816"/>
        <c:crosses val="autoZero"/>
        <c:auto val="1"/>
        <c:lblOffset val="100"/>
        <c:baseTimeUnit val="days"/>
      </c:dateAx>
      <c:valAx>
        <c:axId val="477362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2424"/>
        <c:axId val="477358896"/>
      </c:lineChart>
      <c:catAx>
        <c:axId val="477362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8896"/>
        <c:crosses val="autoZero"/>
        <c:auto val="1"/>
        <c:lblAlgn val="ctr"/>
        <c:lblOffset val="100"/>
        <c:noMultiLvlLbl val="0"/>
      </c:catAx>
      <c:valAx>
        <c:axId val="47735889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24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2032"/>
        <c:axId val="477357328"/>
      </c:lineChart>
      <c:dateAx>
        <c:axId val="477362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7328"/>
        <c:crosses val="autoZero"/>
        <c:auto val="1"/>
        <c:lblOffset val="100"/>
        <c:baseTimeUnit val="days"/>
      </c:dateAx>
      <c:valAx>
        <c:axId val="47735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0464"/>
        <c:axId val="477360856"/>
      </c:lineChart>
      <c:dateAx>
        <c:axId val="477360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0856"/>
        <c:crosses val="autoZero"/>
        <c:auto val="1"/>
        <c:lblOffset val="100"/>
        <c:baseTimeUnit val="days"/>
      </c:dateAx>
      <c:valAx>
        <c:axId val="47736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1640"/>
        <c:axId val="475404168"/>
      </c:lineChart>
      <c:dateAx>
        <c:axId val="477361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4168"/>
        <c:crosses val="autoZero"/>
        <c:auto val="1"/>
        <c:lblOffset val="100"/>
        <c:baseTimeUnit val="days"/>
      </c:dateAx>
      <c:valAx>
        <c:axId val="475404168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1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33936"/>
        <c:axId val="491638248"/>
      </c:lineChart>
      <c:dateAx>
        <c:axId val="49163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8248"/>
        <c:crosses val="autoZero"/>
        <c:auto val="1"/>
        <c:lblOffset val="100"/>
        <c:baseTimeUnit val="days"/>
      </c:dateAx>
      <c:valAx>
        <c:axId val="491638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31584"/>
        <c:axId val="491636288"/>
      </c:lineChart>
      <c:dateAx>
        <c:axId val="491631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6288"/>
        <c:crosses val="autoZero"/>
        <c:auto val="1"/>
        <c:lblOffset val="100"/>
        <c:baseTimeUnit val="days"/>
      </c:dateAx>
      <c:valAx>
        <c:axId val="4916362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  <c:pt idx="13">
                  <c:v>43313</c:v>
                </c:pt>
              </c:numCache>
            </c:numRef>
          </c:cat>
          <c:val>
            <c:numRef>
              <c:f>KHC!$D$25:$D$59</c:f>
              <c:numCache>
                <c:formatCode>0.00</c:formatCode>
                <c:ptCount val="35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10">
                  <c:v>61.473300000000002</c:v>
                </c:pt>
                <c:pt idx="11">
                  <c:v>60.436700000000002</c:v>
                </c:pt>
                <c:pt idx="12">
                  <c:v>59.394100000000002</c:v>
                </c:pt>
                <c:pt idx="13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  <c:pt idx="13">
                  <c:v>43313</c:v>
                </c:pt>
              </c:numCache>
            </c:numRef>
          </c:cat>
          <c:val>
            <c:numRef>
              <c:f>KHC!$E$25:$E$59</c:f>
              <c:numCache>
                <c:formatCode>0.00</c:formatCode>
                <c:ptCount val="35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10">
                  <c:v>62.25</c:v>
                </c:pt>
                <c:pt idx="11">
                  <c:v>59.4</c:v>
                </c:pt>
                <c:pt idx="12">
                  <c:v>61.48</c:v>
                </c:pt>
                <c:pt idx="13">
                  <c:v>59.28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30800"/>
        <c:axId val="491632760"/>
      </c:lineChart>
      <c:dateAx>
        <c:axId val="491630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2760"/>
        <c:crosses val="autoZero"/>
        <c:auto val="1"/>
        <c:lblOffset val="100"/>
        <c:baseTimeUnit val="days"/>
      </c:dateAx>
      <c:valAx>
        <c:axId val="4916327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35112"/>
        <c:axId val="491635504"/>
      </c:lineChart>
      <c:dateAx>
        <c:axId val="491635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5504"/>
        <c:crosses val="autoZero"/>
        <c:auto val="1"/>
        <c:lblOffset val="100"/>
        <c:baseTimeUnit val="days"/>
      </c:dateAx>
      <c:valAx>
        <c:axId val="491635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35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168416"/>
        <c:axId val="491169984"/>
      </c:lineChart>
      <c:dateAx>
        <c:axId val="491168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69984"/>
        <c:crosses val="autoZero"/>
        <c:auto val="1"/>
        <c:lblOffset val="100"/>
        <c:baseTimeUnit val="days"/>
      </c:dateAx>
      <c:valAx>
        <c:axId val="49116998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6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168808"/>
        <c:axId val="491166456"/>
      </c:lineChart>
      <c:catAx>
        <c:axId val="49116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66456"/>
        <c:crosses val="autoZero"/>
        <c:auto val="1"/>
        <c:lblAlgn val="ctr"/>
        <c:lblOffset val="100"/>
        <c:noMultiLvlLbl val="0"/>
      </c:catAx>
      <c:valAx>
        <c:axId val="491166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6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70376"/>
        <c:axId val="491167240"/>
      </c:scatterChart>
      <c:valAx>
        <c:axId val="49117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67240"/>
        <c:crosses val="autoZero"/>
        <c:crossBetween val="midCat"/>
      </c:valAx>
      <c:valAx>
        <c:axId val="491167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36392"/>
        <c:axId val="515737568"/>
      </c:lineChart>
      <c:catAx>
        <c:axId val="515736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37568"/>
        <c:crosses val="autoZero"/>
        <c:auto val="1"/>
        <c:lblAlgn val="ctr"/>
        <c:lblOffset val="100"/>
        <c:noMultiLvlLbl val="0"/>
      </c:catAx>
      <c:valAx>
        <c:axId val="515737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3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42272"/>
        <c:axId val="515741488"/>
      </c:lineChart>
      <c:dateAx>
        <c:axId val="51574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41488"/>
        <c:crosses val="autoZero"/>
        <c:auto val="1"/>
        <c:lblOffset val="100"/>
        <c:baseTimeUnit val="days"/>
      </c:dateAx>
      <c:valAx>
        <c:axId val="515741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4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38744"/>
        <c:axId val="515741880"/>
      </c:lineChart>
      <c:dateAx>
        <c:axId val="515738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41880"/>
        <c:crosses val="autoZero"/>
        <c:auto val="1"/>
        <c:lblOffset val="100"/>
        <c:baseTimeUnit val="days"/>
      </c:dateAx>
      <c:valAx>
        <c:axId val="5157418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3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30928"/>
        <c:axId val="529535632"/>
      </c:lineChart>
      <c:dateAx>
        <c:axId val="52953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5632"/>
        <c:crosses val="autoZero"/>
        <c:auto val="1"/>
        <c:lblOffset val="100"/>
        <c:baseTimeUnit val="days"/>
      </c:dateAx>
      <c:valAx>
        <c:axId val="529535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NWL!$E$33:$E$81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NWL!$D$33:$D$81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537984"/>
        <c:axId val="529531712"/>
      </c:lineChart>
      <c:dateAx>
        <c:axId val="529537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1712"/>
        <c:crosses val="autoZero"/>
        <c:auto val="1"/>
        <c:lblOffset val="100"/>
        <c:baseTimeUnit val="days"/>
      </c:dateAx>
      <c:valAx>
        <c:axId val="52953171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34456"/>
        <c:axId val="566287504"/>
      </c:lineChart>
      <c:dateAx>
        <c:axId val="529534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7504"/>
        <c:crosses val="autoZero"/>
        <c:auto val="1"/>
        <c:lblOffset val="100"/>
        <c:baseTimeUnit val="days"/>
      </c:dateAx>
      <c:valAx>
        <c:axId val="566287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94168"/>
        <c:axId val="566294560"/>
      </c:lineChart>
      <c:catAx>
        <c:axId val="56629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4560"/>
        <c:crosses val="autoZero"/>
        <c:auto val="1"/>
        <c:lblAlgn val="ctr"/>
        <c:lblOffset val="100"/>
        <c:noMultiLvlLbl val="0"/>
      </c:catAx>
      <c:valAx>
        <c:axId val="566294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7112"/>
        <c:axId val="566288288"/>
      </c:lineChart>
      <c:catAx>
        <c:axId val="566287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8288"/>
        <c:crosses val="autoZero"/>
        <c:auto val="1"/>
        <c:lblAlgn val="ctr"/>
        <c:lblOffset val="100"/>
        <c:noMultiLvlLbl val="0"/>
      </c:catAx>
      <c:valAx>
        <c:axId val="5662882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9856"/>
        <c:axId val="566293384"/>
      </c:lineChart>
      <c:dateAx>
        <c:axId val="56628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3384"/>
        <c:crosses val="autoZero"/>
        <c:auto val="1"/>
        <c:lblOffset val="100"/>
        <c:baseTimeUnit val="days"/>
      </c:dateAx>
      <c:valAx>
        <c:axId val="5662933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91032"/>
        <c:axId val="566291424"/>
      </c:lineChart>
      <c:dateAx>
        <c:axId val="56629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1424"/>
        <c:crosses val="autoZero"/>
        <c:auto val="1"/>
        <c:lblOffset val="100"/>
        <c:baseTimeUnit val="days"/>
      </c:dateAx>
      <c:valAx>
        <c:axId val="566291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7896"/>
        <c:axId val="566299264"/>
      </c:lineChart>
      <c:dateAx>
        <c:axId val="566287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9264"/>
        <c:crosses val="autoZero"/>
        <c:auto val="1"/>
        <c:lblOffset val="100"/>
        <c:baseTimeUnit val="days"/>
      </c:dateAx>
      <c:valAx>
        <c:axId val="5662992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7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00048"/>
        <c:axId val="566297696"/>
      </c:lineChart>
      <c:catAx>
        <c:axId val="566300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7696"/>
        <c:crosses val="autoZero"/>
        <c:auto val="1"/>
        <c:lblAlgn val="ctr"/>
        <c:lblOffset val="100"/>
        <c:noMultiLvlLbl val="0"/>
      </c:catAx>
      <c:valAx>
        <c:axId val="5662976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924360"/>
        <c:axId val="571924752"/>
      </c:lineChart>
      <c:dateAx>
        <c:axId val="571924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24752"/>
        <c:crosses val="autoZero"/>
        <c:auto val="1"/>
        <c:lblOffset val="100"/>
        <c:baseTimeUnit val="days"/>
      </c:dateAx>
      <c:valAx>
        <c:axId val="5719247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2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3.xml"/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4" Type="http://schemas.openxmlformats.org/officeDocument/2006/relationships/image" Target="../media/image11.gif"/><Relationship Id="rId9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52386</xdr:colOff>
      <xdr:row>38</xdr:row>
      <xdr:rowOff>9524</xdr:rowOff>
    </xdr:from>
    <xdr:to>
      <xdr:col>20</xdr:col>
      <xdr:colOff>904874</xdr:colOff>
      <xdr:row>61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66</xdr:row>
      <xdr:rowOff>38100</xdr:rowOff>
    </xdr:from>
    <xdr:to>
      <xdr:col>20</xdr:col>
      <xdr:colOff>2789689</xdr:colOff>
      <xdr:row>95</xdr:row>
      <xdr:rowOff>85029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10575" y="12696825"/>
          <a:ext cx="9085714" cy="557142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66</xdr:row>
      <xdr:rowOff>0</xdr:rowOff>
    </xdr:from>
    <xdr:to>
      <xdr:col>24</xdr:col>
      <xdr:colOff>341769</xdr:colOff>
      <xdr:row>95</xdr:row>
      <xdr:rowOff>104070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575" y="12658725"/>
          <a:ext cx="9047619" cy="5638095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PN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mo" backgroundRefresh="0" adjustColumnWidth="0" connectionId="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mo" backgroundRefresh="0" adjustColumnWidth="0" connectionId="4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TX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03" dataDxfId="502">
  <autoFilter ref="O15:W26"/>
  <tableColumns count="9">
    <tableColumn id="1" name="Date" dataDxfId="501"/>
    <tableColumn id="2" name="Quarter" dataDxfId="500"/>
    <tableColumn id="3" name="Time" dataDxfId="499"/>
    <tableColumn id="4" name="EPS estimate" dataDxfId="498"/>
    <tableColumn id="5" name="EPS Actual" dataDxfId="497"/>
    <tableColumn id="6" name="Sales Estiamte (B)" dataDxfId="496"/>
    <tableColumn id="7" name="Sales Actual (B)" dataDxfId="495"/>
    <tableColumn id="8" name="Guidance" dataDxfId="494"/>
    <tableColumn id="9" name="Reaction" dataDxfId="49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wsj.com/mdc/public/page/2_3021-peyield.html" TargetMode="Externa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http://www.nasdaq.com/markets/corn.aspx?timeframe=2y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27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trendforce.com/price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3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46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50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1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4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4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2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4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6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5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1163</v>
      </c>
      <c r="J1" s="57" t="s">
        <v>74</v>
      </c>
      <c r="K1" s="357" t="s">
        <v>1162</v>
      </c>
      <c r="L1" s="346" t="s">
        <v>1164</v>
      </c>
      <c r="M1" s="357" t="s">
        <v>178</v>
      </c>
      <c r="N1" s="57" t="s">
        <v>227</v>
      </c>
      <c r="O1" s="834" t="s">
        <v>938</v>
      </c>
      <c r="P1" s="346" t="s">
        <v>205</v>
      </c>
      <c r="Q1" s="346" t="s">
        <v>276</v>
      </c>
      <c r="R1" s="357" t="s">
        <v>965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195</v>
      </c>
      <c r="F2" s="78">
        <v>29.74</v>
      </c>
      <c r="G2" s="78">
        <v>27.715833333333347</v>
      </c>
      <c r="H2">
        <v>1500</v>
      </c>
      <c r="I2" s="2">
        <v>44610</v>
      </c>
      <c r="J2" s="2">
        <v>41573.750000000022</v>
      </c>
      <c r="K2" s="2">
        <v>3036.2499999999709</v>
      </c>
      <c r="L2" s="736">
        <v>7.303286328512526E-2</v>
      </c>
      <c r="M2" s="2">
        <v>4784.2199999999648</v>
      </c>
      <c r="N2">
        <v>1500</v>
      </c>
      <c r="O2" t="s">
        <v>1145</v>
      </c>
      <c r="P2" s="736">
        <v>1.8829858776059184E-2</v>
      </c>
      <c r="Q2" s="736">
        <v>3.6600000000000001E-2</v>
      </c>
      <c r="R2" s="2">
        <v>14.332530120481925</v>
      </c>
      <c r="S2" s="736"/>
      <c r="T2" s="48"/>
      <c r="U2" s="48"/>
    </row>
    <row r="3" spans="1:41" ht="21.95" customHeight="1" x14ac:dyDescent="0.25">
      <c r="A3" s="50"/>
      <c r="B3" s="50"/>
      <c r="C3" s="51"/>
      <c r="D3" s="788"/>
      <c r="E3" s="22" t="s">
        <v>912</v>
      </c>
      <c r="F3" s="2">
        <v>31.85</v>
      </c>
      <c r="G3" s="78">
        <v>30.683714285714284</v>
      </c>
      <c r="H3">
        <v>1400</v>
      </c>
      <c r="I3" s="2">
        <v>44590</v>
      </c>
      <c r="J3" s="2">
        <v>42957.2</v>
      </c>
      <c r="K3" s="2">
        <v>1632.8000000000029</v>
      </c>
      <c r="L3" s="736">
        <v>3.8009926159060736E-2</v>
      </c>
      <c r="M3" s="2">
        <v>1632.8000000000029</v>
      </c>
      <c r="N3" s="29">
        <v>43325</v>
      </c>
      <c r="O3" t="s">
        <v>1207</v>
      </c>
      <c r="P3" s="736">
        <v>6.2794348508634218E-2</v>
      </c>
      <c r="Q3" s="736">
        <v>-1.6000000000000001E-3</v>
      </c>
      <c r="R3" s="2">
        <v>9.1786743515850144</v>
      </c>
      <c r="T3" s="48"/>
      <c r="U3" s="48"/>
      <c r="V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 s="2"/>
      <c r="AN3"/>
      <c r="AO3"/>
    </row>
    <row r="4" spans="1:41" ht="21.95" customHeight="1" x14ac:dyDescent="0.25">
      <c r="A4" s="50"/>
      <c r="B4" s="50"/>
      <c r="C4" s="51"/>
      <c r="D4" s="788"/>
      <c r="E4" s="22" t="s">
        <v>50</v>
      </c>
      <c r="F4" s="2">
        <v>20.83</v>
      </c>
      <c r="G4" s="78">
        <v>7.4727249999999765</v>
      </c>
      <c r="H4">
        <v>2000</v>
      </c>
      <c r="I4" s="2">
        <v>41660</v>
      </c>
      <c r="J4" s="2">
        <v>14945.449999999953</v>
      </c>
      <c r="K4" s="2">
        <v>26714.550000000047</v>
      </c>
      <c r="L4" s="736">
        <v>1.7874704341455179</v>
      </c>
      <c r="M4" s="2">
        <v>41330.121000001673</v>
      </c>
      <c r="N4" s="29">
        <v>43318</v>
      </c>
      <c r="O4" t="s">
        <v>1113</v>
      </c>
      <c r="P4" s="736">
        <v>9.6015362457993296E-3</v>
      </c>
      <c r="Q4" s="736">
        <v>2.5600000000000001E-2</v>
      </c>
      <c r="R4" s="2">
        <v>33.063492063492063</v>
      </c>
      <c r="S4" s="736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1"/>
      <c r="B5" s="51"/>
      <c r="C5" s="51"/>
      <c r="D5" s="788"/>
      <c r="E5" s="22" t="s">
        <v>727</v>
      </c>
      <c r="F5" s="2">
        <v>66.979900000000001</v>
      </c>
      <c r="G5" s="78">
        <v>62.082000000000043</v>
      </c>
      <c r="H5">
        <v>200</v>
      </c>
      <c r="I5" s="2">
        <v>13395.98</v>
      </c>
      <c r="J5" s="2">
        <v>12416.400000000009</v>
      </c>
      <c r="K5" s="2">
        <v>979.57999999999083</v>
      </c>
      <c r="L5" s="736">
        <v>7.889404336200434E-2</v>
      </c>
      <c r="M5" s="2">
        <v>979.57999999999083</v>
      </c>
      <c r="N5">
        <v>200</v>
      </c>
      <c r="O5" t="s">
        <v>1155</v>
      </c>
      <c r="P5" s="736">
        <v>2.3887763343928552E-2</v>
      </c>
      <c r="Q5" s="852">
        <v>8.0999999999999996E-3</v>
      </c>
      <c r="R5" s="2">
        <v>11.210025104602511</v>
      </c>
      <c r="S5" s="736"/>
      <c r="T5" s="48"/>
      <c r="U5" s="48"/>
    </row>
    <row r="6" spans="1:41" ht="21.95" customHeight="1" x14ac:dyDescent="0.25">
      <c r="A6" s="50"/>
      <c r="B6" s="50"/>
      <c r="C6" s="50"/>
      <c r="D6" s="788"/>
      <c r="E6" s="22" t="s">
        <v>224</v>
      </c>
      <c r="F6" s="2">
        <v>30.0899</v>
      </c>
      <c r="G6" s="78">
        <v>17.576174999999893</v>
      </c>
      <c r="H6">
        <v>400</v>
      </c>
      <c r="I6" s="2">
        <v>12035.96</v>
      </c>
      <c r="J6" s="2">
        <v>7030.4699999999575</v>
      </c>
      <c r="K6" s="2">
        <v>5005.4900000000416</v>
      </c>
      <c r="L6" s="736">
        <v>0.71197089241545353</v>
      </c>
      <c r="M6" s="2">
        <v>6457.75000000004</v>
      </c>
      <c r="N6" s="29">
        <v>43325</v>
      </c>
      <c r="O6" t="s">
        <v>1223</v>
      </c>
      <c r="P6" s="736">
        <v>3.3233742883824807E-3</v>
      </c>
      <c r="Q6" s="736">
        <v>1.9E-2</v>
      </c>
      <c r="R6" s="2">
        <v>21.492785714285716</v>
      </c>
      <c r="S6" s="48"/>
      <c r="U6" s="48"/>
    </row>
    <row r="7" spans="1:41" ht="21.95" customHeight="1" x14ac:dyDescent="0.25">
      <c r="A7" s="50"/>
      <c r="B7" s="50"/>
      <c r="C7" s="51"/>
      <c r="D7" s="788"/>
      <c r="E7" s="22" t="s">
        <v>933</v>
      </c>
      <c r="F7" s="2">
        <v>59.399900000000002</v>
      </c>
      <c r="G7" s="78">
        <v>59.337049999999998</v>
      </c>
      <c r="H7">
        <v>200</v>
      </c>
      <c r="I7" s="2">
        <v>11879.98</v>
      </c>
      <c r="J7" s="2">
        <v>11867.41</v>
      </c>
      <c r="K7" s="2">
        <v>12.569999999999709</v>
      </c>
      <c r="L7" s="736">
        <v>1.0592033139497923E-3</v>
      </c>
      <c r="M7" s="2">
        <v>12.569999999999709</v>
      </c>
      <c r="N7" s="29">
        <v>43336</v>
      </c>
      <c r="O7"/>
      <c r="P7" s="736">
        <v>4.2087612942109331E-2</v>
      </c>
      <c r="Q7" s="853">
        <v>2E-3</v>
      </c>
      <c r="R7" s="2">
        <v>15.672796833773088</v>
      </c>
      <c r="S7" s="48"/>
      <c r="T7" s="48"/>
      <c r="V7" s="48"/>
    </row>
    <row r="8" spans="1:41" ht="21.95" customHeight="1" x14ac:dyDescent="0.25">
      <c r="A8" s="50"/>
      <c r="B8" s="50"/>
      <c r="C8" s="51"/>
      <c r="D8" s="788"/>
      <c r="E8" s="22" t="s">
        <v>14</v>
      </c>
      <c r="F8" s="2">
        <v>58.83</v>
      </c>
      <c r="G8" s="78">
        <v>56.6158</v>
      </c>
      <c r="H8">
        <v>200</v>
      </c>
      <c r="I8" s="2">
        <v>11766</v>
      </c>
      <c r="J8" s="2">
        <v>11323.16</v>
      </c>
      <c r="K8" s="2">
        <v>442.84000000000015</v>
      </c>
      <c r="L8" s="736">
        <v>3.9109223926889633E-2</v>
      </c>
      <c r="M8" s="2">
        <v>442.84000000000015</v>
      </c>
      <c r="N8" s="29">
        <v>43328</v>
      </c>
      <c r="O8"/>
      <c r="P8" s="736">
        <v>4.7594764575896648E-2</v>
      </c>
      <c r="Q8" s="736">
        <v>1.29E-2</v>
      </c>
      <c r="R8" s="2">
        <v>14.762860727728983</v>
      </c>
      <c r="S8" s="736"/>
      <c r="T8" s="48"/>
    </row>
    <row r="9" spans="1:41" ht="21.95" customHeight="1" x14ac:dyDescent="0.25">
      <c r="A9" s="50"/>
      <c r="B9" s="50"/>
      <c r="C9" s="51"/>
      <c r="D9" s="788"/>
      <c r="E9" s="22" t="s">
        <v>687</v>
      </c>
      <c r="F9" s="2">
        <v>234.81</v>
      </c>
      <c r="G9" s="78">
        <v>152.44888888888914</v>
      </c>
      <c r="H9">
        <v>45</v>
      </c>
      <c r="I9" s="2">
        <v>10566.45</v>
      </c>
      <c r="J9" s="2">
        <v>6860.2000000000116</v>
      </c>
      <c r="K9" s="2">
        <v>3706.2499999999891</v>
      </c>
      <c r="L9" s="736">
        <v>0.54025392845689379</v>
      </c>
      <c r="M9" s="2">
        <v>3931.0199999999895</v>
      </c>
      <c r="N9">
        <v>15</v>
      </c>
      <c r="O9" t="s">
        <v>1158</v>
      </c>
      <c r="P9" s="736">
        <v>0</v>
      </c>
      <c r="Q9" s="736">
        <v>-1.34E-2</v>
      </c>
      <c r="R9" s="2">
        <v>23.979779411764707</v>
      </c>
      <c r="S9" s="48"/>
      <c r="T9" s="48"/>
      <c r="V9" s="48"/>
    </row>
    <row r="10" spans="1:41" ht="21.95" customHeight="1" x14ac:dyDescent="0.25">
      <c r="A10" s="50"/>
      <c r="B10" s="50"/>
      <c r="C10" s="51"/>
      <c r="D10" s="788"/>
      <c r="E10" s="22" t="s">
        <v>174</v>
      </c>
      <c r="F10" s="2">
        <v>26.52</v>
      </c>
      <c r="G10" s="78">
        <v>32.78063157894735</v>
      </c>
      <c r="H10">
        <v>380</v>
      </c>
      <c r="I10" s="2">
        <v>10077.6</v>
      </c>
      <c r="J10" s="2">
        <v>12456.639999999992</v>
      </c>
      <c r="K10" s="2">
        <v>-2379.0399999999918</v>
      </c>
      <c r="L10" s="736">
        <v>-0.1909856911655145</v>
      </c>
      <c r="M10" s="2">
        <v>-2304.0199999999918</v>
      </c>
      <c r="N10">
        <v>160</v>
      </c>
      <c r="O10" t="s">
        <v>1216</v>
      </c>
      <c r="P10" s="736">
        <v>3.4690799396681751E-2</v>
      </c>
      <c r="Q10" s="736">
        <v>1.2999999999999999E-2</v>
      </c>
      <c r="R10" s="2">
        <v>9.9325842696629216</v>
      </c>
      <c r="S10" s="736"/>
    </row>
    <row r="11" spans="1:41" ht="21.95" customHeight="1" x14ac:dyDescent="0.25">
      <c r="A11" s="50"/>
      <c r="B11" s="51"/>
      <c r="C11" s="51"/>
      <c r="D11" s="788"/>
      <c r="E11" s="22" t="s">
        <v>816</v>
      </c>
      <c r="F11" s="2">
        <v>24</v>
      </c>
      <c r="G11" s="78">
        <v>30.191849999999985</v>
      </c>
      <c r="H11">
        <v>400</v>
      </c>
      <c r="I11" s="2">
        <v>9600</v>
      </c>
      <c r="J11" s="2">
        <v>12076.739999999994</v>
      </c>
      <c r="K11" s="2">
        <v>-2476.7399999999943</v>
      </c>
      <c r="L11" s="736">
        <v>-0.20508349107457766</v>
      </c>
      <c r="M11" s="2">
        <v>-2476.7399999999943</v>
      </c>
      <c r="N11">
        <v>200</v>
      </c>
      <c r="O11" t="s">
        <v>1202</v>
      </c>
      <c r="P11" s="736">
        <v>4.3333333333333335E-2</v>
      </c>
      <c r="Q11" s="736">
        <v>-8.6999999999999994E-3</v>
      </c>
      <c r="R11" s="2">
        <v>14.117647058823529</v>
      </c>
      <c r="T11" s="48"/>
    </row>
    <row r="12" spans="1:41" ht="21.95" customHeight="1" x14ac:dyDescent="0.25">
      <c r="A12" s="50"/>
      <c r="B12" s="51"/>
      <c r="C12" s="51"/>
      <c r="D12" s="788"/>
      <c r="E12" s="22" t="s">
        <v>272</v>
      </c>
      <c r="F12" s="2">
        <v>63.779899999999998</v>
      </c>
      <c r="G12" s="78">
        <v>64.313333333333333</v>
      </c>
      <c r="H12">
        <v>150</v>
      </c>
      <c r="I12" s="2">
        <v>9566.9850000000006</v>
      </c>
      <c r="J12" s="2">
        <v>9647</v>
      </c>
      <c r="K12" s="2">
        <v>-80.014999999999418</v>
      </c>
      <c r="L12" s="736">
        <v>-8.2942883798072155E-3</v>
      </c>
      <c r="M12" s="2">
        <v>117.19499999999607</v>
      </c>
      <c r="N12" s="29">
        <v>43332</v>
      </c>
      <c r="O12" t="s">
        <v>1229</v>
      </c>
      <c r="P12" s="736">
        <v>2.5499999999999998E-2</v>
      </c>
      <c r="Q12" s="736">
        <v>-4.7999999999999996E-3</v>
      </c>
      <c r="R12" s="2">
        <v>9.1440716845878143</v>
      </c>
      <c r="S12" s="736"/>
      <c r="T12" s="48"/>
      <c r="U12" s="48"/>
    </row>
    <row r="13" spans="1:41" ht="21.95" customHeight="1" x14ac:dyDescent="0.25">
      <c r="A13" s="51"/>
      <c r="B13" s="152"/>
      <c r="C13" s="325"/>
      <c r="D13" s="788"/>
      <c r="E13" s="22" t="s">
        <v>910</v>
      </c>
      <c r="F13" s="2">
        <v>135.77000000000001</v>
      </c>
      <c r="G13" s="78">
        <v>124.49828571428566</v>
      </c>
      <c r="H13">
        <v>70</v>
      </c>
      <c r="I13" s="2">
        <v>9503.9000000000015</v>
      </c>
      <c r="J13" s="2">
        <v>8714.8799999999956</v>
      </c>
      <c r="K13" s="2">
        <v>789.02000000000407</v>
      </c>
      <c r="L13" s="736">
        <v>9.0537104354851142E-2</v>
      </c>
      <c r="M13" s="2">
        <v>789.02000000000407</v>
      </c>
      <c r="N13" s="29">
        <v>43315</v>
      </c>
      <c r="O13" t="s">
        <v>1201</v>
      </c>
      <c r="P13" s="736">
        <v>3.8300066288576265E-3</v>
      </c>
      <c r="Q13" s="736">
        <v>6.9999999999999999E-4</v>
      </c>
      <c r="R13" s="2">
        <v>15.750580046403716</v>
      </c>
      <c r="T13" s="48"/>
      <c r="X13" s="736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 s="2"/>
      <c r="AN13"/>
      <c r="AO13"/>
    </row>
    <row r="14" spans="1:41" ht="21.95" customHeight="1" x14ac:dyDescent="0.25">
      <c r="A14" s="60"/>
      <c r="B14" s="61"/>
      <c r="C14" s="60"/>
      <c r="D14" s="788"/>
      <c r="E14" s="22" t="s">
        <v>956</v>
      </c>
      <c r="F14" s="2">
        <v>47.239899999999999</v>
      </c>
      <c r="G14" s="78">
        <v>48.9039</v>
      </c>
      <c r="H14">
        <v>200</v>
      </c>
      <c r="I14" s="2">
        <v>9447.98</v>
      </c>
      <c r="J14" s="2">
        <v>9780.7800000000007</v>
      </c>
      <c r="K14" s="2">
        <v>-332.80000000000109</v>
      </c>
      <c r="L14" s="736">
        <v>-3.4025916133478135E-2</v>
      </c>
      <c r="M14" s="2">
        <v>-332.80000000000109</v>
      </c>
      <c r="N14">
        <v>150</v>
      </c>
      <c r="O14" t="s">
        <v>1199</v>
      </c>
      <c r="P14" s="736">
        <v>1.9900000000000001E-2</v>
      </c>
      <c r="Q14" s="736">
        <v>1.5E-3</v>
      </c>
      <c r="R14" s="2">
        <v>18.169192307692306</v>
      </c>
      <c r="S14" s="48"/>
      <c r="U14" s="48"/>
      <c r="V14" s="48"/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2">
        <v>45.739899999999999</v>
      </c>
      <c r="G15" s="78">
        <v>49.767300000000006</v>
      </c>
      <c r="H15">
        <v>200</v>
      </c>
      <c r="I15" s="2">
        <v>9147.98</v>
      </c>
      <c r="J15" s="2">
        <v>9953.4600000000009</v>
      </c>
      <c r="K15" s="2">
        <v>-805.47999999999956</v>
      </c>
      <c r="L15" s="736">
        <v>-8.0924623196355974E-2</v>
      </c>
      <c r="M15" s="2">
        <v>-755.52999999999975</v>
      </c>
      <c r="N15">
        <v>150</v>
      </c>
      <c r="O15"/>
      <c r="P15" s="736">
        <v>4.285099005463501E-2</v>
      </c>
      <c r="Q15" s="736">
        <v>1.46E-2</v>
      </c>
      <c r="R15" s="2">
        <v>14.850616883116883</v>
      </c>
      <c r="S15" s="48"/>
      <c r="U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49.98</v>
      </c>
      <c r="G16" s="78">
        <v>49.500466666666668</v>
      </c>
      <c r="H16">
        <v>150</v>
      </c>
      <c r="I16" s="2">
        <v>7496.9999999999991</v>
      </c>
      <c r="J16" s="2">
        <v>7425.0700000000006</v>
      </c>
      <c r="K16" s="2">
        <v>71.929999999999382</v>
      </c>
      <c r="L16" s="736">
        <v>9.6874507580399019E-3</v>
      </c>
      <c r="M16" s="2">
        <v>1128.6699999999973</v>
      </c>
      <c r="N16" s="29">
        <v>43329</v>
      </c>
      <c r="O16" t="s">
        <v>1216</v>
      </c>
      <c r="P16" s="736">
        <v>3.8095238095238099E-2</v>
      </c>
      <c r="Q16" s="736">
        <v>-1.1999999999999999E-3</v>
      </c>
      <c r="R16" s="2">
        <v>10.199999999999999</v>
      </c>
      <c r="T16" s="48"/>
    </row>
    <row r="17" spans="1:41" ht="21.95" customHeight="1" x14ac:dyDescent="0.25">
      <c r="A17" s="50"/>
      <c r="B17" s="50"/>
      <c r="C17" s="50"/>
      <c r="D17" s="788"/>
      <c r="E17" s="22" t="s">
        <v>173</v>
      </c>
      <c r="F17" s="2">
        <v>58.29</v>
      </c>
      <c r="G17" s="78">
        <v>47.821833333333387</v>
      </c>
      <c r="H17">
        <v>120</v>
      </c>
      <c r="I17" s="2">
        <v>6994.8</v>
      </c>
      <c r="J17" s="2">
        <v>5738.6200000000063</v>
      </c>
      <c r="K17" s="2">
        <v>1256.1799999999939</v>
      </c>
      <c r="L17" s="736">
        <v>0.2188993172574577</v>
      </c>
      <c r="M17" s="2">
        <v>2860.7599999999957</v>
      </c>
      <c r="N17" s="29">
        <v>43325</v>
      </c>
      <c r="O17"/>
      <c r="P17" s="736">
        <v>2.9507634242580204E-2</v>
      </c>
      <c r="Q17" s="736">
        <v>1.11E-2</v>
      </c>
      <c r="R17" s="2">
        <v>12.896017699115045</v>
      </c>
      <c r="S17" s="736"/>
      <c r="V17" s="48"/>
    </row>
    <row r="18" spans="1:41" ht="21.95" customHeight="1" x14ac:dyDescent="0.25">
      <c r="A18" s="50"/>
      <c r="B18" s="50"/>
      <c r="C18" s="51"/>
      <c r="D18" s="788"/>
      <c r="E18" s="22" t="s">
        <v>267</v>
      </c>
      <c r="F18" s="2">
        <v>131.25</v>
      </c>
      <c r="G18" s="78">
        <v>118.6816</v>
      </c>
      <c r="H18">
        <v>50</v>
      </c>
      <c r="I18" s="2">
        <v>6562.5</v>
      </c>
      <c r="J18" s="2">
        <v>5934.08</v>
      </c>
      <c r="K18" s="2">
        <v>628.42000000000007</v>
      </c>
      <c r="L18" s="736">
        <v>0.10590015638481447</v>
      </c>
      <c r="M18" s="2">
        <v>783.19999999999982</v>
      </c>
      <c r="N18" s="29">
        <v>43325</v>
      </c>
      <c r="O18"/>
      <c r="P18" s="736">
        <v>2.5700000000000001E-2</v>
      </c>
      <c r="Q18" s="736">
        <v>-1.0500000000000001E-2</v>
      </c>
      <c r="R18" s="2">
        <v>16.163793103448278</v>
      </c>
      <c r="S18" s="48"/>
      <c r="U18" s="48"/>
    </row>
    <row r="19" spans="1:41" ht="21.95" customHeight="1" x14ac:dyDescent="0.25">
      <c r="A19" s="50"/>
      <c r="B19" s="50"/>
      <c r="C19" s="51"/>
      <c r="D19" s="788"/>
      <c r="E19" s="22" t="s">
        <v>1219</v>
      </c>
      <c r="F19" s="2">
        <v>2752.8807999999999</v>
      </c>
      <c r="G19" s="78">
        <v>2868</v>
      </c>
      <c r="H19">
        <v>2</v>
      </c>
      <c r="I19" s="2">
        <v>5505.7615999999998</v>
      </c>
      <c r="J19" s="2">
        <v>5736</v>
      </c>
      <c r="K19" s="2">
        <v>-230.23840000000018</v>
      </c>
      <c r="L19" s="736">
        <v>-4.0139191073919139E-2</v>
      </c>
      <c r="M19" s="2">
        <v>-230.23840000000018</v>
      </c>
      <c r="N19" s="29">
        <v>43332</v>
      </c>
      <c r="O19"/>
      <c r="P19" s="736">
        <v>0</v>
      </c>
      <c r="Q19" s="736">
        <v>1.0200000000000001E-2</v>
      </c>
      <c r="R19" s="2"/>
      <c r="T19" s="48"/>
      <c r="U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32</v>
      </c>
      <c r="F20" s="2">
        <v>53.91</v>
      </c>
      <c r="G20" s="78">
        <v>41.297200000000011</v>
      </c>
      <c r="H20">
        <v>100</v>
      </c>
      <c r="I20" s="2">
        <v>5391</v>
      </c>
      <c r="J20" s="2">
        <v>4129.7200000000012</v>
      </c>
      <c r="K20" s="2">
        <v>1261.2799999999988</v>
      </c>
      <c r="L20" s="736">
        <v>0.30541537925089313</v>
      </c>
      <c r="M20" s="2">
        <v>2459.7499999999959</v>
      </c>
      <c r="N20">
        <v>50</v>
      </c>
      <c r="O20"/>
      <c r="P20" s="736">
        <v>2.2630309775551846E-2</v>
      </c>
      <c r="Q20" s="736">
        <v>6.0000000000000001E-3</v>
      </c>
      <c r="R20" s="2">
        <v>9.7574660633484154</v>
      </c>
      <c r="S20" s="736"/>
      <c r="T20" s="48"/>
    </row>
    <row r="21" spans="1:41" ht="21.95" customHeight="1" x14ac:dyDescent="0.25">
      <c r="A21" s="50"/>
      <c r="B21" s="50"/>
      <c r="C21" s="51"/>
      <c r="D21" s="788"/>
      <c r="E21" s="22" t="s">
        <v>1138</v>
      </c>
      <c r="F21" s="2">
        <v>53.059899999999999</v>
      </c>
      <c r="G21" s="78">
        <v>51.18</v>
      </c>
      <c r="H21">
        <v>100</v>
      </c>
      <c r="I21" s="2">
        <v>5305.99</v>
      </c>
      <c r="J21" s="2">
        <v>5118</v>
      </c>
      <c r="K21" s="2">
        <v>187.98999999999978</v>
      </c>
      <c r="L21" s="736">
        <v>3.6731144978507213E-2</v>
      </c>
      <c r="M21" s="2">
        <v>187.98999999999978</v>
      </c>
      <c r="N21">
        <v>100</v>
      </c>
      <c r="O21"/>
      <c r="P21" s="736">
        <v>3.3170058744927906E-2</v>
      </c>
      <c r="Q21" s="736">
        <v>-1.2800000000000001E-2</v>
      </c>
      <c r="R21" s="2">
        <v>6.1554408352668215</v>
      </c>
      <c r="T21" s="48"/>
      <c r="U21" s="48"/>
    </row>
    <row r="22" spans="1:41" ht="21.95" customHeight="1" x14ac:dyDescent="0.25">
      <c r="A22" s="50"/>
      <c r="B22" s="50"/>
      <c r="C22" s="51"/>
      <c r="D22" s="788"/>
      <c r="E22" s="22" t="s">
        <v>950</v>
      </c>
      <c r="F22" s="2">
        <v>34.64</v>
      </c>
      <c r="G22" s="78">
        <v>29.954800000000009</v>
      </c>
      <c r="H22">
        <v>150</v>
      </c>
      <c r="I22" s="2">
        <v>5196</v>
      </c>
      <c r="J22" s="2">
        <v>4493.2200000000012</v>
      </c>
      <c r="K22" s="2">
        <v>702.77999999999884</v>
      </c>
      <c r="L22" s="736">
        <v>0.15640898954424631</v>
      </c>
      <c r="M22" s="2">
        <v>702.77999999999884</v>
      </c>
      <c r="N22">
        <v>50</v>
      </c>
      <c r="O22" t="s">
        <v>1127</v>
      </c>
      <c r="P22" s="736">
        <v>2.1939953810623556E-2</v>
      </c>
      <c r="Q22" s="736">
        <v>-2.1499999999999998E-2</v>
      </c>
      <c r="R22" s="2">
        <v>13.856</v>
      </c>
      <c r="S22" s="48"/>
      <c r="U22" s="48"/>
    </row>
    <row r="23" spans="1:41" ht="21.95" customHeight="1" x14ac:dyDescent="0.25">
      <c r="A23" s="50"/>
      <c r="B23" s="50"/>
      <c r="C23" s="51"/>
      <c r="D23" s="788"/>
      <c r="E23" s="22" t="s">
        <v>914</v>
      </c>
      <c r="F23" s="2">
        <v>72.89</v>
      </c>
      <c r="G23" s="78">
        <v>65.015000000000029</v>
      </c>
      <c r="H23">
        <v>60</v>
      </c>
      <c r="I23" s="2">
        <v>4373.3999999999996</v>
      </c>
      <c r="J23" s="2">
        <v>3900.9000000000019</v>
      </c>
      <c r="K23" s="2">
        <v>472.49999999999818</v>
      </c>
      <c r="L23" s="736">
        <v>0.12112589402445541</v>
      </c>
      <c r="M23" s="2">
        <v>472.49999999999818</v>
      </c>
      <c r="N23" s="29">
        <v>43332</v>
      </c>
      <c r="O23" t="s">
        <v>1203</v>
      </c>
      <c r="P23" s="736">
        <v>1.3170530937028399E-2</v>
      </c>
      <c r="Q23" s="852">
        <v>-1.06E-2</v>
      </c>
      <c r="R23" s="2">
        <v>20.532394366197185</v>
      </c>
      <c r="S23" s="48"/>
    </row>
    <row r="24" spans="1:41" ht="21.95" customHeight="1" x14ac:dyDescent="0.25">
      <c r="A24" s="50"/>
      <c r="B24" s="50"/>
      <c r="C24" s="51"/>
      <c r="D24" s="788"/>
      <c r="E24" s="22" t="s">
        <v>326</v>
      </c>
      <c r="F24" s="78">
        <v>21.61</v>
      </c>
      <c r="G24" s="78">
        <v>17.246149999999997</v>
      </c>
      <c r="H24">
        <v>200</v>
      </c>
      <c r="I24" s="2">
        <v>4322</v>
      </c>
      <c r="J24" s="2">
        <v>3449.2299999999991</v>
      </c>
      <c r="K24" s="2">
        <v>872.77000000000044</v>
      </c>
      <c r="L24" s="736">
        <v>0.25303328568984984</v>
      </c>
      <c r="M24" s="2">
        <v>1157.7400000000052</v>
      </c>
      <c r="N24" s="29">
        <v>43346</v>
      </c>
      <c r="O24"/>
      <c r="P24" s="736">
        <v>0</v>
      </c>
      <c r="Q24" s="852">
        <v>-9.4700000000000006E-2</v>
      </c>
      <c r="R24" s="2">
        <v>8.8204081632653057</v>
      </c>
      <c r="S24" s="48"/>
      <c r="T24" s="48"/>
    </row>
    <row r="25" spans="1:41" ht="21.95" customHeight="1" x14ac:dyDescent="0.25">
      <c r="A25" s="50"/>
      <c r="B25" s="51"/>
      <c r="C25" s="51"/>
      <c r="D25" s="788"/>
      <c r="E25" s="22" t="s">
        <v>773</v>
      </c>
      <c r="F25" s="2">
        <v>13.1699</v>
      </c>
      <c r="G25" s="78">
        <v>15.125400000000003</v>
      </c>
      <c r="H25">
        <v>300</v>
      </c>
      <c r="I25" s="2">
        <v>3950.9700000000003</v>
      </c>
      <c r="J25" s="2">
        <v>4537.6200000000008</v>
      </c>
      <c r="K25" s="2">
        <v>-586.65000000000055</v>
      </c>
      <c r="L25" s="736">
        <v>-0.12928583706877186</v>
      </c>
      <c r="M25" s="2">
        <v>-586.65000000000055</v>
      </c>
      <c r="N25">
        <v>200</v>
      </c>
      <c r="O25"/>
      <c r="P25" s="736">
        <v>3.6446745988959674E-2</v>
      </c>
      <c r="Q25" s="736">
        <v>-5.3E-3</v>
      </c>
      <c r="R25" s="2">
        <v>13.863052631578949</v>
      </c>
      <c r="T25" s="48"/>
      <c r="V25" s="48"/>
    </row>
    <row r="26" spans="1:41" ht="21.95" customHeight="1" x14ac:dyDescent="0.25">
      <c r="A26" s="51"/>
      <c r="B26" s="51"/>
      <c r="C26" s="51"/>
      <c r="D26" s="788"/>
      <c r="E26" s="22" t="s">
        <v>1233</v>
      </c>
      <c r="F26" s="2">
        <v>78.979900000000001</v>
      </c>
      <c r="G26" s="78">
        <v>79.98</v>
      </c>
      <c r="H26">
        <v>50</v>
      </c>
      <c r="I26" s="2">
        <v>3948.9949999999999</v>
      </c>
      <c r="J26" s="2">
        <v>3999</v>
      </c>
      <c r="K26" s="2">
        <v>-50.005000000000109</v>
      </c>
      <c r="L26" s="736">
        <v>-1.2504376094023547E-2</v>
      </c>
      <c r="M26" s="2">
        <v>-50.005000000000109</v>
      </c>
      <c r="N26" s="29">
        <v>43346</v>
      </c>
      <c r="O26"/>
      <c r="P26" s="736">
        <v>0</v>
      </c>
      <c r="Q26" s="736">
        <v>-6.4000000000000003E-3</v>
      </c>
      <c r="R26" s="2"/>
      <c r="S26" s="736"/>
      <c r="T26" s="48"/>
      <c r="V26" s="48"/>
      <c r="W26" s="48"/>
    </row>
    <row r="27" spans="1:41" ht="21.95" customHeight="1" x14ac:dyDescent="0.25">
      <c r="A27" s="50"/>
      <c r="B27" s="50"/>
      <c r="C27" s="51"/>
      <c r="D27" s="788"/>
      <c r="E27" s="22" t="s">
        <v>937</v>
      </c>
      <c r="F27" s="2">
        <v>47.66</v>
      </c>
      <c r="G27" s="78">
        <v>13.543400000000037</v>
      </c>
      <c r="H27">
        <v>50</v>
      </c>
      <c r="I27" s="2">
        <v>2383</v>
      </c>
      <c r="J27" s="2">
        <v>677.17000000000189</v>
      </c>
      <c r="K27" s="2">
        <v>1705.8299999999981</v>
      </c>
      <c r="L27" s="736">
        <v>2.5190572529793012</v>
      </c>
      <c r="M27" s="2">
        <v>1705.8299999999981</v>
      </c>
      <c r="N27" s="29">
        <v>43335</v>
      </c>
      <c r="O27"/>
      <c r="P27" s="736">
        <v>2.8955098615190935E-2</v>
      </c>
      <c r="Q27" s="736">
        <v>-4.0000000000000001E-3</v>
      </c>
      <c r="R27" s="2">
        <v>10.83181818181818</v>
      </c>
      <c r="S27" s="736"/>
      <c r="T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88"/>
      <c r="E28" s="22" t="s">
        <v>62</v>
      </c>
      <c r="F28" s="2">
        <v>334.37</v>
      </c>
      <c r="G28" s="78">
        <v>334.37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-2.5899999999999999E-2</v>
      </c>
      <c r="R28" s="2"/>
      <c r="S28" s="48"/>
      <c r="T28" s="48"/>
    </row>
    <row r="29" spans="1:41" ht="21.95" customHeight="1" x14ac:dyDescent="0.25">
      <c r="A29" s="51"/>
      <c r="B29" s="51"/>
      <c r="C29" s="51"/>
      <c r="D29" s="788"/>
      <c r="E29" s="22" t="s">
        <v>202</v>
      </c>
      <c r="F29" s="2">
        <v>37.31</v>
      </c>
      <c r="G29" s="78">
        <v>37.31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-1.1900000000000001E-2</v>
      </c>
      <c r="R29" s="2"/>
      <c r="S29" s="48"/>
      <c r="T29" s="48"/>
    </row>
    <row r="30" spans="1:41" ht="21.95" customHeight="1" x14ac:dyDescent="0.25">
      <c r="A30" s="51"/>
      <c r="B30" s="51"/>
      <c r="C30" s="51"/>
      <c r="D30" s="788"/>
      <c r="E30" s="22" t="s">
        <v>212</v>
      </c>
      <c r="F30" s="2">
        <v>57.74</v>
      </c>
      <c r="G30" s="78">
        <v>57.74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1218</v>
      </c>
      <c r="P30" s="736">
        <v>2.5632144094215447E-2</v>
      </c>
      <c r="Q30" s="736">
        <v>-8.8000000000000005E-3</v>
      </c>
      <c r="R30" s="2">
        <v>14.435</v>
      </c>
      <c r="T30" s="48"/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78">
        <v>190.29</v>
      </c>
      <c r="G31" s="78">
        <v>190.29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1.5900000000000001E-2</v>
      </c>
      <c r="Q31" s="736">
        <v>-1.1999999999999999E-3</v>
      </c>
      <c r="R31" s="2"/>
      <c r="S31" s="48"/>
      <c r="T31" s="345"/>
      <c r="U31" s="345"/>
    </row>
    <row r="32" spans="1:41" ht="21.95" customHeight="1" x14ac:dyDescent="0.25">
      <c r="A32" s="50"/>
      <c r="B32" s="50"/>
      <c r="C32" s="51"/>
      <c r="D32" s="788"/>
      <c r="E32" s="22" t="s">
        <v>223</v>
      </c>
      <c r="F32" s="2">
        <v>99.52</v>
      </c>
      <c r="G32" s="78">
        <v>99.52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0</v>
      </c>
      <c r="R32" s="2"/>
      <c r="S32" s="48"/>
      <c r="T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263</v>
      </c>
      <c r="F33" s="2">
        <v>98.15</v>
      </c>
      <c r="G33" s="78">
        <v>98.15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1.6500000000000001E-2</v>
      </c>
      <c r="R33" s="2"/>
      <c r="V33" s="48"/>
    </row>
    <row r="34" spans="1:41" ht="21.95" customHeight="1" x14ac:dyDescent="0.25">
      <c r="A34" s="51"/>
      <c r="B34" s="51"/>
      <c r="C34" s="51"/>
      <c r="D34" s="788"/>
      <c r="E34" s="22" t="s">
        <v>23</v>
      </c>
      <c r="F34" s="2">
        <v>37.4</v>
      </c>
      <c r="G34" s="78">
        <v>37.4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-1.5699999999999999E-2</v>
      </c>
      <c r="R34" s="2"/>
      <c r="S34" s="48"/>
      <c r="T34" s="48"/>
      <c r="V34" s="48"/>
      <c r="W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264</v>
      </c>
      <c r="F35" s="78">
        <v>45</v>
      </c>
      <c r="G35" s="78">
        <v>45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4.1999999999999997E-3</v>
      </c>
      <c r="R35" s="2"/>
      <c r="S35" s="736"/>
    </row>
    <row r="36" spans="1:41" ht="21.95" customHeight="1" x14ac:dyDescent="0.25">
      <c r="A36" s="50"/>
      <c r="B36" s="51"/>
      <c r="C36" s="51"/>
      <c r="D36" s="788"/>
      <c r="E36" s="22" t="s">
        <v>323</v>
      </c>
      <c r="F36" s="2">
        <v>9.4700000000000006</v>
      </c>
      <c r="G36" s="78">
        <v>9.4700000000000006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/>
      <c r="P36" s="736">
        <v>0</v>
      </c>
      <c r="Q36" s="736">
        <v>-1.9599999999999999E-2</v>
      </c>
      <c r="R36" s="2">
        <v>29.59375</v>
      </c>
      <c r="S36" s="48"/>
      <c r="T36" s="48"/>
      <c r="U36" s="48"/>
      <c r="V36" s="48"/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58.16</v>
      </c>
      <c r="G37" s="78">
        <v>58.16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-4.8999999999999998E-3</v>
      </c>
      <c r="R37" s="2"/>
      <c r="S37" s="736"/>
      <c r="T37" s="48"/>
      <c r="V37" s="48"/>
    </row>
    <row r="38" spans="1:41" ht="21.95" customHeight="1" x14ac:dyDescent="0.25">
      <c r="A38" s="50"/>
      <c r="B38" s="50"/>
      <c r="C38" s="51"/>
      <c r="D38" s="788"/>
      <c r="E38" s="22" t="s">
        <v>311</v>
      </c>
      <c r="F38" s="2">
        <v>41.24</v>
      </c>
      <c r="G38" s="78">
        <v>41.24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2.18E-2</v>
      </c>
      <c r="R38" s="2"/>
      <c r="T38" s="48"/>
    </row>
    <row r="39" spans="1:41" ht="21.95" customHeight="1" x14ac:dyDescent="0.25">
      <c r="A39" s="50"/>
      <c r="B39" s="50"/>
      <c r="C39" s="51"/>
      <c r="D39" s="788"/>
      <c r="E39" s="22" t="s">
        <v>296</v>
      </c>
      <c r="F39" s="2">
        <v>58.75</v>
      </c>
      <c r="G39" s="78">
        <v>58.75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-4.7999999999999996E-3</v>
      </c>
      <c r="R39" s="2"/>
      <c r="S39" s="48"/>
      <c r="T39" s="48"/>
    </row>
    <row r="40" spans="1:41" ht="21.95" customHeight="1" x14ac:dyDescent="0.25">
      <c r="A40" s="50"/>
      <c r="B40" s="50"/>
      <c r="C40" s="51"/>
      <c r="D40" s="788"/>
      <c r="E40" s="22" t="s">
        <v>686</v>
      </c>
      <c r="F40" s="2">
        <v>30.17</v>
      </c>
      <c r="G40" s="78">
        <v>30.17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1.41E-2</v>
      </c>
      <c r="R40" s="2"/>
      <c r="T40" s="48"/>
      <c r="V40" s="48"/>
    </row>
    <row r="41" spans="1:41" ht="21.95" customHeight="1" x14ac:dyDescent="0.25">
      <c r="A41" s="152"/>
      <c r="B41" s="50"/>
      <c r="C41" s="51"/>
      <c r="D41" s="788"/>
      <c r="E41" s="22" t="s">
        <v>245</v>
      </c>
      <c r="F41" s="2">
        <v>75.260000000000005</v>
      </c>
      <c r="G41" s="78">
        <v>75.260000000000005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-5.1999999999999998E-3</v>
      </c>
      <c r="R41" s="2"/>
      <c r="T41" s="48"/>
    </row>
    <row r="42" spans="1:41" ht="21.95" customHeight="1" x14ac:dyDescent="0.25">
      <c r="A42" s="51"/>
      <c r="B42" s="50"/>
      <c r="C42" s="51"/>
      <c r="D42" s="788"/>
      <c r="E42" s="22" t="s">
        <v>665</v>
      </c>
      <c r="F42" s="2">
        <v>21.69</v>
      </c>
      <c r="G42" s="78">
        <v>21.69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-2.8E-3</v>
      </c>
      <c r="R42" s="2"/>
      <c r="S42" s="736"/>
      <c r="T42" s="48"/>
    </row>
    <row r="43" spans="1:41" ht="21.95" customHeight="1" x14ac:dyDescent="0.25">
      <c r="A43" s="50"/>
      <c r="B43" s="51"/>
      <c r="C43" s="51"/>
      <c r="D43" s="788"/>
      <c r="E43" s="22" t="s">
        <v>728</v>
      </c>
      <c r="F43" s="78">
        <v>244.68</v>
      </c>
      <c r="G43" s="78">
        <v>244.68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-4.5999999999999999E-3</v>
      </c>
      <c r="R43" s="2"/>
      <c r="S43" s="736"/>
      <c r="T43" s="48"/>
    </row>
    <row r="44" spans="1:41" ht="21.95" customHeight="1" x14ac:dyDescent="0.25">
      <c r="A44" s="50"/>
      <c r="B44" s="50"/>
      <c r="C44" s="51"/>
      <c r="D44" s="788"/>
      <c r="E44" s="22" t="s">
        <v>1035</v>
      </c>
      <c r="F44" s="2">
        <v>53.57</v>
      </c>
      <c r="G44" s="78">
        <v>53.57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2.8000746686578308E-2</v>
      </c>
      <c r="Q44" s="736">
        <v>1.1900000000000001E-2</v>
      </c>
      <c r="R44" s="2"/>
      <c r="S44" s="736"/>
      <c r="T44" s="48"/>
    </row>
    <row r="45" spans="1:41" ht="21.95" customHeight="1" x14ac:dyDescent="0.25">
      <c r="A45" s="50"/>
      <c r="B45" s="50"/>
      <c r="C45" s="51"/>
      <c r="D45" s="788"/>
      <c r="E45" s="22" t="s">
        <v>196</v>
      </c>
      <c r="F45" s="2">
        <v>10.039999999999999</v>
      </c>
      <c r="G45" s="78">
        <v>10.039999999999999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4.4999999999999997E-3</v>
      </c>
      <c r="R45" s="2"/>
      <c r="U45" s="48"/>
      <c r="W45" s="48"/>
    </row>
    <row r="46" spans="1:41" ht="21.95" customHeight="1" x14ac:dyDescent="0.25">
      <c r="A46" s="50"/>
      <c r="B46" s="51"/>
      <c r="C46" s="51"/>
      <c r="D46" s="788"/>
      <c r="E46" s="22" t="s">
        <v>820</v>
      </c>
      <c r="F46" s="2">
        <v>98.86</v>
      </c>
      <c r="G46" s="78">
        <v>98.86</v>
      </c>
      <c r="H46">
        <v>0</v>
      </c>
      <c r="I46" s="2">
        <v>0</v>
      </c>
      <c r="J46" s="2">
        <v>0</v>
      </c>
      <c r="K46" s="2">
        <v>604.30000000000109</v>
      </c>
      <c r="L46" s="736">
        <v>0</v>
      </c>
      <c r="M46" s="2">
        <v>604.30000000000109</v>
      </c>
      <c r="N46">
        <v>0</v>
      </c>
      <c r="O46" t="s">
        <v>1114</v>
      </c>
      <c r="P46" s="736">
        <v>6.8784139186728712E-3</v>
      </c>
      <c r="Q46" s="736">
        <v>-2.07E-2</v>
      </c>
      <c r="R46" s="2">
        <v>20.812631578947368</v>
      </c>
      <c r="S46" s="48"/>
      <c r="U46" s="48"/>
    </row>
    <row r="47" spans="1:41" ht="21.95" customHeight="1" x14ac:dyDescent="0.25">
      <c r="A47" s="50"/>
      <c r="B47" s="51"/>
      <c r="C47" s="51"/>
      <c r="D47" s="788"/>
      <c r="E47" s="22" t="s">
        <v>672</v>
      </c>
      <c r="F47" s="2">
        <v>0</v>
      </c>
      <c r="G47" s="78">
        <v>0</v>
      </c>
      <c r="H47">
        <v>0</v>
      </c>
      <c r="I47" s="2">
        <v>0</v>
      </c>
      <c r="J47" s="2">
        <v>0</v>
      </c>
      <c r="K47" s="2">
        <v>2714.0600000000013</v>
      </c>
      <c r="L47" s="736"/>
      <c r="M47" s="2">
        <v>2714.0600000000013</v>
      </c>
      <c r="N47">
        <v>0</v>
      </c>
      <c r="O47"/>
      <c r="P47" s="736">
        <v>2.8E-3</v>
      </c>
      <c r="Q47" s="736">
        <v>-2.0999999999999999E-3</v>
      </c>
      <c r="R47" s="2">
        <v>0</v>
      </c>
      <c r="S47" s="736"/>
    </row>
    <row r="48" spans="1:41" ht="21.95" customHeight="1" x14ac:dyDescent="0.25">
      <c r="A48" s="50"/>
      <c r="B48" s="50"/>
      <c r="C48" s="51"/>
      <c r="D48" s="788"/>
      <c r="E48" s="22" t="s">
        <v>951</v>
      </c>
      <c r="F48" s="2">
        <v>98.6</v>
      </c>
      <c r="G48" s="78">
        <v>98.6</v>
      </c>
      <c r="H48">
        <v>0</v>
      </c>
      <c r="I48" s="2">
        <v>0</v>
      </c>
      <c r="J48" s="2">
        <v>0</v>
      </c>
      <c r="K48" s="2">
        <v>500.88000000000011</v>
      </c>
      <c r="L48" s="736">
        <v>0</v>
      </c>
      <c r="M48" s="2">
        <v>500.88000000000011</v>
      </c>
      <c r="N48">
        <v>0</v>
      </c>
      <c r="O48"/>
      <c r="P48" s="736">
        <v>6.4908722109533476E-3</v>
      </c>
      <c r="Q48" s="736">
        <v>8.9999999999999998E-4</v>
      </c>
      <c r="R48" s="2">
        <v>13.360433604336043</v>
      </c>
      <c r="S48" s="48"/>
      <c r="T48" s="48"/>
    </row>
    <row r="49" spans="1:41" ht="21.95" customHeight="1" x14ac:dyDescent="0.25">
      <c r="A49" s="51"/>
      <c r="B49" s="51"/>
      <c r="C49" s="51"/>
      <c r="D49" s="788"/>
      <c r="E49" s="22" t="s">
        <v>674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1411.7400000000016</v>
      </c>
      <c r="L49" s="736"/>
      <c r="M49" s="2">
        <v>1554.7700000000018</v>
      </c>
      <c r="N49">
        <v>0</v>
      </c>
      <c r="O49"/>
      <c r="P49" s="736" t="e">
        <v>#DIV/0!</v>
      </c>
      <c r="Q49" s="736">
        <v>3.5999999999999999E-3</v>
      </c>
      <c r="R49" s="2">
        <v>0</v>
      </c>
      <c r="S49" s="48"/>
      <c r="V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0"/>
      <c r="C50" s="51"/>
      <c r="D50" s="788"/>
      <c r="E50" s="22" t="s">
        <v>17</v>
      </c>
      <c r="F50" s="2">
        <v>0</v>
      </c>
      <c r="G50" s="78">
        <v>0</v>
      </c>
      <c r="H50">
        <v>0</v>
      </c>
      <c r="I50" s="2">
        <v>0</v>
      </c>
      <c r="J50" s="2">
        <v>0</v>
      </c>
      <c r="K50" s="2">
        <v>-20818.210000000079</v>
      </c>
      <c r="L50" s="736"/>
      <c r="M50" s="2">
        <v>-20818.210000000079</v>
      </c>
      <c r="N50">
        <v>0</v>
      </c>
      <c r="O50"/>
      <c r="P50" s="736">
        <v>0</v>
      </c>
      <c r="Q50" s="736">
        <v>0</v>
      </c>
      <c r="R50" s="2"/>
      <c r="T50" s="48"/>
      <c r="V50" s="48"/>
      <c r="W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305</v>
      </c>
      <c r="F51" s="2">
        <v>142.44999999999999</v>
      </c>
      <c r="G51" s="78">
        <v>142.44999999999999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720.56000000000131</v>
      </c>
      <c r="N51">
        <v>0</v>
      </c>
      <c r="O51"/>
      <c r="P51" s="736">
        <v>0</v>
      </c>
      <c r="Q51" s="736">
        <v>4.0000000000000002E-4</v>
      </c>
      <c r="R51" s="2"/>
      <c r="S51" s="48"/>
      <c r="W51" s="48"/>
    </row>
    <row r="52" spans="1:41" ht="21.95" customHeight="1" x14ac:dyDescent="0.25">
      <c r="A52" s="51"/>
      <c r="B52" s="152"/>
      <c r="C52" s="325"/>
      <c r="D52" s="788"/>
      <c r="E52" s="22" t="s">
        <v>684</v>
      </c>
      <c r="F52" s="78">
        <v>97.26</v>
      </c>
      <c r="G52" s="78">
        <v>97.26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329.55999999999949</v>
      </c>
      <c r="N52">
        <v>0</v>
      </c>
      <c r="O52"/>
      <c r="P52" s="736">
        <v>1.78E-2</v>
      </c>
      <c r="Q52" s="736">
        <v>-7.0000000000000001E-3</v>
      </c>
      <c r="R52" s="2"/>
      <c r="S52" s="736"/>
      <c r="W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1"/>
      <c r="B53" s="51"/>
      <c r="C53" s="51"/>
      <c r="D53" s="788"/>
      <c r="E53" s="22" t="s">
        <v>952</v>
      </c>
      <c r="F53" s="78">
        <v>177.1199</v>
      </c>
      <c r="G53" s="78">
        <v>177.1199</v>
      </c>
      <c r="H53">
        <v>0</v>
      </c>
      <c r="I53" s="2">
        <v>0</v>
      </c>
      <c r="J53" s="2">
        <v>0</v>
      </c>
      <c r="K53" s="2">
        <v>1022.1999999999935</v>
      </c>
      <c r="L53" s="736">
        <v>0</v>
      </c>
      <c r="M53" s="2">
        <v>1022.1999999999935</v>
      </c>
      <c r="N53">
        <v>0</v>
      </c>
      <c r="O53"/>
      <c r="P53" s="736">
        <v>7.2267430141954685E-3</v>
      </c>
      <c r="Q53" s="736">
        <v>3.8E-3</v>
      </c>
      <c r="R53" s="2">
        <v>19.68</v>
      </c>
      <c r="T53" s="48"/>
      <c r="U53" s="48"/>
      <c r="V53" s="48"/>
    </row>
    <row r="54" spans="1:41" ht="21.95" customHeight="1" x14ac:dyDescent="0.25">
      <c r="A54" s="50"/>
      <c r="B54" s="50"/>
      <c r="C54" s="51"/>
      <c r="D54" s="788"/>
      <c r="E54" s="22" t="s">
        <v>726</v>
      </c>
      <c r="F54" s="2">
        <v>705.53</v>
      </c>
      <c r="G54" s="78">
        <v>705.53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3.0000000000000001E-3</v>
      </c>
      <c r="R54" s="2"/>
      <c r="S54" s="736"/>
      <c r="U54" s="48"/>
    </row>
    <row r="55" spans="1:41" ht="21.95" customHeight="1" x14ac:dyDescent="0.25">
      <c r="A55" s="50"/>
      <c r="B55" s="50"/>
      <c r="C55" s="51"/>
      <c r="D55" s="788"/>
      <c r="E55" s="22" t="s">
        <v>936</v>
      </c>
      <c r="F55" s="2">
        <v>199.42</v>
      </c>
      <c r="G55" s="78">
        <v>199.42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8.8255942232474179E-3</v>
      </c>
      <c r="Q55" s="736">
        <v>-6.1999999999999998E-3</v>
      </c>
      <c r="R55" s="2">
        <v>23.134570765661252</v>
      </c>
      <c r="S55" s="48"/>
    </row>
    <row r="56" spans="1:41" ht="21.95" customHeight="1" x14ac:dyDescent="0.25">
      <c r="A56" s="51"/>
      <c r="B56" s="51"/>
      <c r="C56" s="51"/>
      <c r="D56" s="788"/>
      <c r="E56" s="22" t="s">
        <v>913</v>
      </c>
      <c r="F56" s="2">
        <v>35.4</v>
      </c>
      <c r="G56" s="78">
        <v>35.4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7.4576271186440682E-2</v>
      </c>
      <c r="Q56" s="736">
        <v>0</v>
      </c>
      <c r="R56" s="2"/>
      <c r="S56" s="736"/>
    </row>
    <row r="57" spans="1:41" ht="21.95" customHeight="1" x14ac:dyDescent="0.25">
      <c r="A57" s="50"/>
      <c r="B57" s="50"/>
      <c r="C57" s="51"/>
      <c r="D57" s="788"/>
      <c r="E57" s="22" t="s">
        <v>909</v>
      </c>
      <c r="F57" s="2">
        <v>254.17</v>
      </c>
      <c r="G57" s="78">
        <v>254.17</v>
      </c>
      <c r="H57">
        <v>0</v>
      </c>
      <c r="I57" s="2">
        <v>0</v>
      </c>
      <c r="J57" s="2">
        <v>0</v>
      </c>
      <c r="K57" s="2">
        <v>423.00000000000364</v>
      </c>
      <c r="L57" s="736">
        <v>0</v>
      </c>
      <c r="M57" s="2">
        <v>423.00000000000364</v>
      </c>
      <c r="N57">
        <v>0</v>
      </c>
      <c r="O57"/>
      <c r="P57" s="736">
        <v>1.9900000000000001E-2</v>
      </c>
      <c r="Q57" s="736">
        <v>5.5999999999999999E-3</v>
      </c>
      <c r="R57" s="2">
        <v>16.34</v>
      </c>
      <c r="U57" s="48"/>
    </row>
    <row r="58" spans="1:41" ht="21.95" customHeight="1" x14ac:dyDescent="0.25">
      <c r="A58" s="50"/>
      <c r="B58" s="50"/>
      <c r="C58" s="51"/>
      <c r="D58" s="788"/>
      <c r="E58" s="22" t="s">
        <v>194</v>
      </c>
      <c r="F58" s="2">
        <v>76.91</v>
      </c>
      <c r="G58" s="78">
        <v>76.91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3.8E-3</v>
      </c>
      <c r="R58" s="2"/>
      <c r="S58" s="48"/>
      <c r="U58" s="48"/>
    </row>
    <row r="59" spans="1:41" ht="21.95" customHeight="1" x14ac:dyDescent="0.25">
      <c r="A59" s="50"/>
      <c r="B59" s="50"/>
      <c r="C59" s="51"/>
      <c r="D59" s="788"/>
      <c r="E59" s="22" t="s">
        <v>222</v>
      </c>
      <c r="F59" s="2">
        <v>58.04</v>
      </c>
      <c r="G59" s="78">
        <v>58.04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853">
        <v>2.8E-3</v>
      </c>
      <c r="R59" s="2"/>
      <c r="S59" s="736"/>
      <c r="T59" s="48"/>
      <c r="W59" s="48"/>
      <c r="Y59" s="48"/>
    </row>
    <row r="60" spans="1:41" ht="21.95" customHeight="1" x14ac:dyDescent="0.25">
      <c r="A60" s="50"/>
      <c r="B60" s="50"/>
      <c r="C60" s="51"/>
      <c r="D60" s="788"/>
      <c r="E60" s="22" t="s">
        <v>815</v>
      </c>
      <c r="F60" s="2">
        <v>433.66</v>
      </c>
      <c r="G60" s="78">
        <v>433.66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853">
        <v>-2.0899999999999998E-2</v>
      </c>
      <c r="R60" s="2"/>
      <c r="V60" s="48"/>
    </row>
    <row r="61" spans="1:41" ht="21.95" customHeight="1" x14ac:dyDescent="0.25">
      <c r="A61" s="50"/>
      <c r="B61" s="50"/>
      <c r="C61" s="51"/>
      <c r="D61" s="788"/>
      <c r="E61" s="22" t="s">
        <v>841</v>
      </c>
      <c r="F61" s="2">
        <v>99.61</v>
      </c>
      <c r="G61" s="78">
        <v>99.61</v>
      </c>
      <c r="H61">
        <v>0</v>
      </c>
      <c r="I61" s="2">
        <v>0</v>
      </c>
      <c r="J61" s="2">
        <v>0</v>
      </c>
      <c r="K61" s="2">
        <v>910.92000000000189</v>
      </c>
      <c r="L61" s="736">
        <v>0</v>
      </c>
      <c r="M61" s="2">
        <v>910.92000000000189</v>
      </c>
      <c r="N61">
        <v>0</v>
      </c>
      <c r="O61" t="s">
        <v>1204</v>
      </c>
      <c r="P61" s="736">
        <v>2.2889268145768495E-2</v>
      </c>
      <c r="Q61" s="736">
        <v>2.5999999999999999E-3</v>
      </c>
      <c r="R61" s="2">
        <v>20.926470588235293</v>
      </c>
      <c r="S61" s="736"/>
      <c r="U61" s="48"/>
    </row>
    <row r="62" spans="1:41" ht="21.95" customHeight="1" x14ac:dyDescent="0.25">
      <c r="A62" s="50"/>
      <c r="B62" s="51"/>
      <c r="C62" s="51"/>
      <c r="D62" s="788"/>
      <c r="E62" s="22" t="s">
        <v>725</v>
      </c>
      <c r="F62" s="2">
        <v>79.41</v>
      </c>
      <c r="G62" s="78">
        <v>79.41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/>
      <c r="P62" s="736">
        <v>0</v>
      </c>
      <c r="Q62" s="736">
        <v>-5.8999999999999999E-3</v>
      </c>
      <c r="R62" s="2">
        <v>19.439412484700121</v>
      </c>
      <c r="S62" s="736"/>
      <c r="T62" s="48"/>
      <c r="U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52.79</v>
      </c>
      <c r="G63" s="78">
        <v>52.79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2.63E-2</v>
      </c>
      <c r="R63" s="2"/>
      <c r="S63" s="736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53.73</v>
      </c>
      <c r="G64" s="78">
        <v>53.73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7.9000000000000008E-3</v>
      </c>
      <c r="R64" s="2"/>
      <c r="S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152"/>
      <c r="B65" s="50"/>
      <c r="C65" s="51"/>
      <c r="D65" s="788"/>
      <c r="E65" s="22" t="s">
        <v>27</v>
      </c>
      <c r="F65" s="2">
        <v>48.1</v>
      </c>
      <c r="G65" s="78">
        <v>48.1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5.7999999999999996E-3</v>
      </c>
      <c r="R65" s="2"/>
      <c r="S65" s="736"/>
      <c r="T65" s="48"/>
      <c r="U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2">
        <v>65.63</v>
      </c>
      <c r="G66" s="78">
        <v>65.63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5.5999999999999999E-3</v>
      </c>
      <c r="R66" s="2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149.88999999999999</v>
      </c>
      <c r="G67" s="78">
        <v>149.88999999999999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-6.4999999999999997E-3</v>
      </c>
      <c r="R67" s="2"/>
      <c r="S67" s="736"/>
    </row>
    <row r="68" spans="1:41" ht="21.95" customHeight="1" x14ac:dyDescent="0.25">
      <c r="A68" s="50"/>
      <c r="B68" s="50"/>
      <c r="C68" s="50"/>
      <c r="D68" s="788"/>
      <c r="E68" s="22" t="s">
        <v>265</v>
      </c>
      <c r="F68" s="78">
        <v>50.03</v>
      </c>
      <c r="G68" s="78">
        <v>50.03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-3.5999999999999999E-3</v>
      </c>
      <c r="R68" s="2"/>
      <c r="S68" s="736"/>
      <c r="U68" s="48"/>
      <c r="V68" s="48"/>
    </row>
    <row r="69" spans="1:41" ht="21.95" customHeight="1" x14ac:dyDescent="0.25">
      <c r="A69" s="51"/>
      <c r="B69" s="51"/>
      <c r="C69" s="51"/>
      <c r="D69" s="788"/>
      <c r="E69" s="22" t="s">
        <v>175</v>
      </c>
      <c r="F69" s="2">
        <v>281.33</v>
      </c>
      <c r="G69" s="78">
        <v>281.33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3.5999999999999999E-3</v>
      </c>
      <c r="R69" s="2">
        <v>21.64076923076923</v>
      </c>
      <c r="S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94.58</v>
      </c>
      <c r="G70" s="78">
        <v>94.58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853">
        <v>1.2E-2</v>
      </c>
      <c r="R70" s="2"/>
      <c r="S70" s="48"/>
      <c r="T70" s="48"/>
      <c r="U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89.15</v>
      </c>
      <c r="G71" s="78">
        <v>89.15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0</v>
      </c>
      <c r="R71" s="2"/>
      <c r="S71" s="48"/>
      <c r="T71" s="48"/>
      <c r="U71" s="48"/>
    </row>
    <row r="72" spans="1:41" ht="21.95" customHeight="1" x14ac:dyDescent="0.25">
      <c r="A72" s="51"/>
      <c r="B72" s="51"/>
      <c r="C72" s="51"/>
      <c r="D72" s="788"/>
      <c r="E72" s="22" t="s">
        <v>10</v>
      </c>
      <c r="F72" s="2">
        <v>43.27</v>
      </c>
      <c r="G72" s="78">
        <v>43.27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-8.3000000000000001E-3</v>
      </c>
      <c r="R72" s="2"/>
      <c r="S72" s="736"/>
      <c r="U72" s="48"/>
    </row>
    <row r="73" spans="1:41" ht="21.95" customHeight="1" x14ac:dyDescent="0.25">
      <c r="A73" s="50"/>
      <c r="B73" s="50"/>
      <c r="C73" s="51"/>
      <c r="D73" s="788"/>
      <c r="E73" s="22" t="s">
        <v>221</v>
      </c>
      <c r="F73" s="2">
        <v>44.42</v>
      </c>
      <c r="G73" s="78">
        <v>44.42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1198</v>
      </c>
      <c r="P73" s="736">
        <v>4.0899999999999999E-2</v>
      </c>
      <c r="Q73" s="736">
        <v>8.9999999999999998E-4</v>
      </c>
      <c r="R73" s="2"/>
      <c r="S73" s="736"/>
      <c r="U73" s="48"/>
      <c r="V73" s="48"/>
    </row>
    <row r="74" spans="1:41" ht="21.95" customHeight="1" x14ac:dyDescent="0.25">
      <c r="A74" s="50"/>
      <c r="B74" s="51"/>
      <c r="C74" s="51"/>
      <c r="D74" s="788"/>
      <c r="E74" s="22" t="s">
        <v>337</v>
      </c>
      <c r="F74" s="2">
        <v>80.680000000000007</v>
      </c>
      <c r="G74" s="78">
        <v>80.680000000000007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 s="29"/>
      <c r="P74" s="736">
        <v>4.3499999999999997E-2</v>
      </c>
      <c r="Q74" s="736">
        <v>6.8999999999999999E-3</v>
      </c>
      <c r="R74" s="2">
        <v>15.36761904761905</v>
      </c>
      <c r="S74" s="736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66.73</v>
      </c>
      <c r="G75" s="78">
        <v>66.73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-1.1999999999999999E-3</v>
      </c>
      <c r="R75" s="2"/>
      <c r="S75" s="48"/>
      <c r="T75" s="48"/>
      <c r="V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1"/>
      <c r="C76" s="51"/>
      <c r="D76" s="788"/>
      <c r="E76" s="22" t="s">
        <v>45</v>
      </c>
      <c r="F76" s="2">
        <v>95.12</v>
      </c>
      <c r="G76" s="78">
        <v>95.12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853">
        <v>-2.5999999999999999E-3</v>
      </c>
      <c r="R76" s="2"/>
      <c r="S76" s="736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169</v>
      </c>
      <c r="G77" s="78">
        <v>169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0.01</v>
      </c>
      <c r="R77" s="2"/>
      <c r="S77" s="48"/>
      <c r="T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1"/>
      <c r="B78" s="50"/>
      <c r="C78" s="51"/>
      <c r="D78" s="788"/>
      <c r="E78" s="22" t="s">
        <v>33</v>
      </c>
      <c r="F78" s="78">
        <v>221.77</v>
      </c>
      <c r="G78" s="78">
        <v>221.77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1.2699999999999999E-2</v>
      </c>
      <c r="R78" s="2"/>
      <c r="S78" s="736"/>
      <c r="T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80.400000000000006</v>
      </c>
      <c r="G79" s="78">
        <v>80.400000000000006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-6.7999999999999996E-3</v>
      </c>
      <c r="R79" s="2"/>
      <c r="S79" s="48"/>
      <c r="T79" s="48"/>
      <c r="U79" s="48"/>
      <c r="V79" s="48"/>
      <c r="X79" s="850"/>
    </row>
    <row r="80" spans="1:41" ht="21.95" customHeight="1" x14ac:dyDescent="0.25">
      <c r="A80" s="50"/>
      <c r="B80" s="50"/>
      <c r="C80" s="51"/>
      <c r="D80" s="788"/>
      <c r="E80" s="22" t="s">
        <v>63</v>
      </c>
      <c r="F80" s="2">
        <v>113.56</v>
      </c>
      <c r="G80" s="78">
        <v>113.56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257.30999999999949</v>
      </c>
      <c r="N80">
        <v>0</v>
      </c>
      <c r="O80"/>
      <c r="P80" s="736">
        <v>1.38E-2</v>
      </c>
      <c r="Q80" s="736">
        <v>1E-4</v>
      </c>
      <c r="R80" s="2"/>
      <c r="S80" s="48"/>
      <c r="T80" s="48"/>
      <c r="U80" s="48"/>
    </row>
    <row r="81" spans="1:41" ht="21.95" customHeight="1" x14ac:dyDescent="0.25">
      <c r="A81" s="50"/>
      <c r="B81" s="50"/>
      <c r="C81" s="50"/>
      <c r="D81" s="788"/>
      <c r="E81" s="22" t="s">
        <v>9</v>
      </c>
      <c r="F81" s="78">
        <v>5.22</v>
      </c>
      <c r="G81" s="78">
        <v>5.22</v>
      </c>
      <c r="H81">
        <v>0</v>
      </c>
      <c r="I81" s="2">
        <v>0</v>
      </c>
      <c r="J81" s="2">
        <v>0</v>
      </c>
      <c r="K81" s="2">
        <v>-8332.1133333333346</v>
      </c>
      <c r="L81" s="736">
        <v>0</v>
      </c>
      <c r="M81" s="2">
        <v>-7897.1833333333343</v>
      </c>
      <c r="N81">
        <v>0</v>
      </c>
      <c r="O81"/>
      <c r="P81" s="736">
        <v>0.04</v>
      </c>
      <c r="Q81" s="736">
        <v>-7.4000000000000003E-3</v>
      </c>
      <c r="R81" s="2"/>
      <c r="S81" s="736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1"/>
      <c r="B82" s="51"/>
      <c r="C82" s="51"/>
      <c r="D82" s="788"/>
      <c r="E82" s="22" t="s">
        <v>55</v>
      </c>
      <c r="F82" s="2">
        <v>77.83</v>
      </c>
      <c r="G82" s="78">
        <v>77.83</v>
      </c>
      <c r="H82">
        <v>0</v>
      </c>
      <c r="I82" s="2">
        <v>0</v>
      </c>
      <c r="J82" s="2">
        <v>0</v>
      </c>
      <c r="K82" s="2">
        <v>113.94999999999982</v>
      </c>
      <c r="L82" s="736">
        <v>0</v>
      </c>
      <c r="M82" s="2">
        <v>924.07999999998992</v>
      </c>
      <c r="N82">
        <v>0</v>
      </c>
      <c r="O82" t="s">
        <v>1197</v>
      </c>
      <c r="P82" s="736">
        <v>2.6724913272517026E-2</v>
      </c>
      <c r="Q82" s="736">
        <v>1.4E-3</v>
      </c>
      <c r="R82" s="2">
        <v>12.047987616099071</v>
      </c>
      <c r="S82" s="736"/>
      <c r="T82" s="48"/>
      <c r="U82" s="48"/>
    </row>
    <row r="83" spans="1:41" ht="21.95" customHeight="1" x14ac:dyDescent="0.25">
      <c r="A83" s="50"/>
      <c r="B83" s="50"/>
      <c r="C83" s="51"/>
      <c r="D83" s="788"/>
      <c r="E83" s="22" t="s">
        <v>53</v>
      </c>
      <c r="F83" s="2">
        <v>83.21</v>
      </c>
      <c r="G83" s="78">
        <v>83.21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33.940000000000055</v>
      </c>
      <c r="N83">
        <v>0</v>
      </c>
      <c r="O83"/>
      <c r="P83" s="736">
        <v>7.4000000000000003E-3</v>
      </c>
      <c r="Q83" s="736">
        <v>-1.9E-3</v>
      </c>
      <c r="R83" s="2"/>
      <c r="S83" s="736"/>
      <c r="U83" s="48"/>
    </row>
    <row r="84" spans="1:41" ht="21.95" customHeight="1" x14ac:dyDescent="0.25">
      <c r="A84" s="50"/>
      <c r="B84" s="50"/>
      <c r="C84" s="51"/>
      <c r="D84" s="788"/>
      <c r="E84" s="22" t="s">
        <v>56</v>
      </c>
      <c r="F84" s="2">
        <v>37.909999999999997</v>
      </c>
      <c r="G84" s="78">
        <v>37.909999999999997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36.819999999999709</v>
      </c>
      <c r="N84">
        <v>0</v>
      </c>
      <c r="O84"/>
      <c r="P84" s="736">
        <v>4.2999999999999997E-2</v>
      </c>
      <c r="Q84" s="736">
        <v>8.6E-3</v>
      </c>
      <c r="R84" s="2"/>
    </row>
    <row r="85" spans="1:41" ht="21.95" customHeight="1" x14ac:dyDescent="0.25">
      <c r="A85" s="50"/>
      <c r="B85" s="51"/>
      <c r="C85" s="51"/>
      <c r="D85" s="788"/>
      <c r="E85" s="22" t="s">
        <v>0</v>
      </c>
      <c r="F85" s="2">
        <v>234.53</v>
      </c>
      <c r="G85" s="78">
        <v>234.53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465.57999999999993</v>
      </c>
      <c r="N85">
        <v>0</v>
      </c>
      <c r="O85"/>
      <c r="P85" s="736">
        <v>3.8999999999999998E-3</v>
      </c>
      <c r="Q85" s="736">
        <v>1.0999999999999999E-2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39</v>
      </c>
      <c r="F86" s="2">
        <v>49.25</v>
      </c>
      <c r="G86" s="78">
        <v>49.25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529.88000000000284</v>
      </c>
      <c r="N86">
        <v>0</v>
      </c>
      <c r="O86"/>
      <c r="P86" s="736">
        <v>2.3E-2</v>
      </c>
      <c r="Q86" s="736">
        <v>-3.3999999999999998E-3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54</v>
      </c>
      <c r="F87" s="2">
        <v>135.74</v>
      </c>
      <c r="G87" s="78">
        <v>135.74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114.84999999999991</v>
      </c>
      <c r="N87">
        <v>0</v>
      </c>
      <c r="O87"/>
      <c r="P87" s="736">
        <v>2.35E-2</v>
      </c>
      <c r="Q87" s="736">
        <v>3.0000000000000001E-3</v>
      </c>
      <c r="R87" s="2"/>
    </row>
    <row r="88" spans="1:41" ht="21.95" customHeight="1" x14ac:dyDescent="0.25">
      <c r="A88" s="50"/>
      <c r="B88" s="50"/>
      <c r="C88" s="51"/>
      <c r="E88" s="22" t="s">
        <v>51</v>
      </c>
      <c r="F88" s="2">
        <v>253.22</v>
      </c>
      <c r="G88" s="78">
        <v>253.22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176.70000000000073</v>
      </c>
      <c r="N88">
        <v>0</v>
      </c>
      <c r="O88"/>
      <c r="P88" s="736">
        <v>1.52E-2</v>
      </c>
      <c r="Q88" s="736">
        <v>7.4000000000000003E-3</v>
      </c>
      <c r="R88" s="2"/>
    </row>
    <row r="89" spans="1:41" ht="21.95" customHeight="1" x14ac:dyDescent="0.25">
      <c r="A89" s="50"/>
      <c r="B89" s="51"/>
      <c r="C89" s="51"/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63" priority="613">
      <formula>$O1=0</formula>
    </cfRule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62" priority="569">
      <formula>$H2=0</formula>
    </cfRule>
  </conditionalFormatting>
  <conditionalFormatting sqref="K105:K200">
    <cfRule type="expression" dxfId="2861" priority="570">
      <formula>$J105=0</formula>
    </cfRule>
  </conditionalFormatting>
  <conditionalFormatting sqref="K105:K458">
    <cfRule type="expression" dxfId="2860" priority="611">
      <formula>$J105&lt;0</formula>
    </cfRule>
  </conditionalFormatting>
  <conditionalFormatting sqref="E59">
    <cfRule type="expression" dxfId="2859" priority="540">
      <formula>$H59=0</formula>
    </cfRule>
  </conditionalFormatting>
  <conditionalFormatting sqref="E5">
    <cfRule type="expression" dxfId="2858" priority="518">
      <formula>$H5=0</formula>
    </cfRule>
  </conditionalFormatting>
  <conditionalFormatting sqref="E60">
    <cfRule type="expression" dxfId="2857" priority="496">
      <formula>$H60=0</formula>
    </cfRule>
  </conditionalFormatting>
  <conditionalFormatting sqref="E62">
    <cfRule type="expression" dxfId="2856" priority="485">
      <formula>$H62=0</formula>
    </cfRule>
  </conditionalFormatting>
  <conditionalFormatting sqref="E61">
    <cfRule type="expression" dxfId="2855" priority="474">
      <formula>$H61=0</formula>
    </cfRule>
  </conditionalFormatting>
  <conditionalFormatting sqref="E8">
    <cfRule type="expression" dxfId="2854" priority="459">
      <formula>$H8=0</formula>
    </cfRule>
  </conditionalFormatting>
  <conditionalFormatting sqref="E63">
    <cfRule type="expression" dxfId="2853" priority="449">
      <formula>$H63=0</formula>
    </cfRule>
  </conditionalFormatting>
  <conditionalFormatting sqref="E20">
    <cfRule type="expression" dxfId="2852" priority="439">
      <formula>$H20=0</formula>
    </cfRule>
  </conditionalFormatting>
  <conditionalFormatting sqref="E64">
    <cfRule type="expression" dxfId="2851" priority="430">
      <formula>$H64=0</formula>
    </cfRule>
  </conditionalFormatting>
  <conditionalFormatting sqref="E65">
    <cfRule type="expression" dxfId="2850" priority="423">
      <formula>$H65=0</formula>
    </cfRule>
  </conditionalFormatting>
  <conditionalFormatting sqref="E11">
    <cfRule type="expression" dxfId="2849" priority="414">
      <formula>$H11=0</formula>
    </cfRule>
  </conditionalFormatting>
  <conditionalFormatting sqref="E9">
    <cfRule type="expression" dxfId="2848" priority="407">
      <formula>$H9=0</formula>
    </cfRule>
  </conditionalFormatting>
  <conditionalFormatting sqref="E66">
    <cfRule type="expression" dxfId="2847" priority="398">
      <formula>$H66=0</formula>
    </cfRule>
  </conditionalFormatting>
  <conditionalFormatting sqref="E10">
    <cfRule type="expression" dxfId="2846" priority="389">
      <formula>$H10=0</formula>
    </cfRule>
  </conditionalFormatting>
  <conditionalFormatting sqref="E26:E28 E30 E45:E49 E36:E43">
    <cfRule type="expression" dxfId="2845" priority="385">
      <formula>$H26=0</formula>
    </cfRule>
  </conditionalFormatting>
  <conditionalFormatting sqref="E29">
    <cfRule type="expression" dxfId="2844" priority="384">
      <formula>$H29=0</formula>
    </cfRule>
  </conditionalFormatting>
  <conditionalFormatting sqref="E31">
    <cfRule type="expression" dxfId="2843" priority="383">
      <formula>$H31=0</formula>
    </cfRule>
  </conditionalFormatting>
  <conditionalFormatting sqref="E32">
    <cfRule type="expression" dxfId="2842" priority="382">
      <formula>$H32=0</formula>
    </cfRule>
  </conditionalFormatting>
  <conditionalFormatting sqref="E44">
    <cfRule type="expression" dxfId="2841" priority="381">
      <formula>$H44=0</formula>
    </cfRule>
  </conditionalFormatting>
  <conditionalFormatting sqref="E35">
    <cfRule type="expression" dxfId="2840" priority="380">
      <formula>$H35=0</formula>
    </cfRule>
  </conditionalFormatting>
  <conditionalFormatting sqref="E33">
    <cfRule type="expression" dxfId="2839" priority="379">
      <formula>$H33=0</formula>
    </cfRule>
  </conditionalFormatting>
  <conditionalFormatting sqref="E34">
    <cfRule type="expression" dxfId="2838" priority="378">
      <formula>$H34=0</formula>
    </cfRule>
  </conditionalFormatting>
  <conditionalFormatting sqref="E67">
    <cfRule type="expression" dxfId="2837" priority="374">
      <formula>$H67=0</formula>
    </cfRule>
  </conditionalFormatting>
  <conditionalFormatting sqref="E69:E70">
    <cfRule type="expression" dxfId="2836" priority="367">
      <formula>$H69=0</formula>
    </cfRule>
  </conditionalFormatting>
  <conditionalFormatting sqref="E68">
    <cfRule type="expression" dxfId="2835" priority="360">
      <formula>$H68=0</formula>
    </cfRule>
  </conditionalFormatting>
  <conditionalFormatting sqref="E69:E70">
    <cfRule type="expression" dxfId="2834" priority="352">
      <formula>$H69=0</formula>
    </cfRule>
  </conditionalFormatting>
  <conditionalFormatting sqref="E71">
    <cfRule type="expression" dxfId="2833" priority="345">
      <formula>$H71=0</formula>
    </cfRule>
  </conditionalFormatting>
  <conditionalFormatting sqref="E72">
    <cfRule type="expression" dxfId="2832" priority="322">
      <formula>$H72=0</formula>
    </cfRule>
  </conditionalFormatting>
  <conditionalFormatting sqref="E72">
    <cfRule type="expression" dxfId="2831" priority="314">
      <formula>$H72=0</formula>
    </cfRule>
  </conditionalFormatting>
  <conditionalFormatting sqref="E74">
    <cfRule type="expression" dxfId="2830" priority="307">
      <formula>$H74=0</formula>
    </cfRule>
  </conditionalFormatting>
  <conditionalFormatting sqref="E73">
    <cfRule type="expression" dxfId="2829" priority="300">
      <formula>$H73=0</formula>
    </cfRule>
  </conditionalFormatting>
  <conditionalFormatting sqref="E75">
    <cfRule type="expression" dxfId="2828" priority="283">
      <formula>$H75=0</formula>
    </cfRule>
  </conditionalFormatting>
  <conditionalFormatting sqref="E7">
    <cfRule type="expression" dxfId="2827" priority="275">
      <formula>$H7=0</formula>
    </cfRule>
  </conditionalFormatting>
  <conditionalFormatting sqref="P105:P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26" priority="259">
      <formula>$H76=0</formula>
    </cfRule>
  </conditionalFormatting>
  <conditionalFormatting sqref="E77">
    <cfRule type="expression" dxfId="2825" priority="246">
      <formula>$H77=0</formula>
    </cfRule>
  </conditionalFormatting>
  <conditionalFormatting sqref="E78">
    <cfRule type="expression" dxfId="2824" priority="232">
      <formula>$H78=0</formula>
    </cfRule>
  </conditionalFormatting>
  <conditionalFormatting sqref="P105:P1048576 P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23" priority="220">
      <formula>$H79=0</formula>
    </cfRule>
  </conditionalFormatting>
  <conditionalFormatting sqref="E80">
    <cfRule type="expression" dxfId="2822" priority="210">
      <formula>$H80=0</formula>
    </cfRule>
  </conditionalFormatting>
  <conditionalFormatting sqref="E81">
    <cfRule type="expression" dxfId="2821" priority="200">
      <formula>$H81=0</formula>
    </cfRule>
  </conditionalFormatting>
  <conditionalFormatting sqref="E82">
    <cfRule type="expression" dxfId="2820" priority="190">
      <formula>$H82=0</formula>
    </cfRule>
  </conditionalFormatting>
  <conditionalFormatting sqref="E83">
    <cfRule type="expression" dxfId="2819" priority="180">
      <formula>$H83=0</formula>
    </cfRule>
  </conditionalFormatting>
  <conditionalFormatting sqref="E84">
    <cfRule type="expression" dxfId="2818" priority="170">
      <formula>$H84=0</formula>
    </cfRule>
  </conditionalFormatting>
  <conditionalFormatting sqref="Q1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17" priority="159">
      <formula>$H85=0</formula>
    </cfRule>
  </conditionalFormatting>
  <conditionalFormatting sqref="R105:R1048576">
    <cfRule type="expression" dxfId="2816" priority="991">
      <formula>$O105=0</formula>
    </cfRule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15" priority="133">
      <formula>$O1=0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14" priority="131">
      <formula>$L2=0</formula>
    </cfRule>
  </conditionalFormatting>
  <conditionalFormatting sqref="Q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13" priority="124">
      <formula>K3&gt;0</formula>
    </cfRule>
    <cfRule type="expression" dxfId="2812" priority="125">
      <formula>K3&lt;0</formula>
    </cfRule>
  </conditionalFormatting>
  <conditionalFormatting sqref="K2 K4 K6 K8 K10 K12 K14 K16 K18 K20 K22 K24 K26 K28 K30">
    <cfRule type="expression" dxfId="2811" priority="122">
      <formula>K2&gt;0</formula>
    </cfRule>
    <cfRule type="expression" dxfId="2810" priority="123">
      <formula>K2&lt;0</formula>
    </cfRule>
  </conditionalFormatting>
  <conditionalFormatting sqref="K23 K25 K27 K29">
    <cfRule type="expression" dxfId="2809" priority="120">
      <formula>K23&gt;0</formula>
    </cfRule>
    <cfRule type="expression" dxfId="2808" priority="121">
      <formula>K23&lt;0</formula>
    </cfRule>
  </conditionalFormatting>
  <conditionalFormatting sqref="K31 K33 K40 K35 K42 K37:K38">
    <cfRule type="expression" dxfId="2807" priority="118">
      <formula>K31&gt;0</formula>
    </cfRule>
    <cfRule type="expression" dxfId="2806" priority="119">
      <formula>K31&lt;0</formula>
    </cfRule>
  </conditionalFormatting>
  <conditionalFormatting sqref="K32 K39 K34 K41 K36 K43">
    <cfRule type="expression" dxfId="2805" priority="116">
      <formula>K32&gt;0</formula>
    </cfRule>
    <cfRule type="expression" dxfId="2804" priority="117">
      <formula>K32&lt;0</formula>
    </cfRule>
  </conditionalFormatting>
  <conditionalFormatting sqref="K45 K47 K49 K51 K53">
    <cfRule type="expression" dxfId="2803" priority="114">
      <formula>K45&gt;0</formula>
    </cfRule>
    <cfRule type="expression" dxfId="2802" priority="115">
      <formula>K45&lt;0</formula>
    </cfRule>
  </conditionalFormatting>
  <conditionalFormatting sqref="K46 K48 K50 K52">
    <cfRule type="expression" dxfId="2801" priority="112">
      <formula>K46&gt;0</formula>
    </cfRule>
    <cfRule type="expression" dxfId="2800" priority="113">
      <formula>K46&lt;0</formula>
    </cfRule>
  </conditionalFormatting>
  <conditionalFormatting sqref="K54 K56 K58 K60">
    <cfRule type="expression" dxfId="2799" priority="110">
      <formula>K54&gt;0</formula>
    </cfRule>
    <cfRule type="expression" dxfId="2798" priority="111">
      <formula>K54&lt;0</formula>
    </cfRule>
  </conditionalFormatting>
  <conditionalFormatting sqref="K55 K57 K59">
    <cfRule type="expression" dxfId="2797" priority="108">
      <formula>K55&gt;0</formula>
    </cfRule>
    <cfRule type="expression" dxfId="2796" priority="109">
      <formula>K55&lt;0</formula>
    </cfRule>
  </conditionalFormatting>
  <conditionalFormatting sqref="K68 K70 K72 K74">
    <cfRule type="expression" dxfId="2795" priority="106">
      <formula>K68&gt;0</formula>
    </cfRule>
    <cfRule type="expression" dxfId="2794" priority="107">
      <formula>K68&lt;0</formula>
    </cfRule>
  </conditionalFormatting>
  <conditionalFormatting sqref="K69 K71 K73">
    <cfRule type="expression" dxfId="2793" priority="104">
      <formula>K69&gt;0</formula>
    </cfRule>
    <cfRule type="expression" dxfId="2792" priority="105">
      <formula>K69&lt;0</formula>
    </cfRule>
  </conditionalFormatting>
  <conditionalFormatting sqref="K75 K77 K79 K81 K83">
    <cfRule type="expression" dxfId="2791" priority="102">
      <formula>K75&gt;0</formula>
    </cfRule>
    <cfRule type="expression" dxfId="2790" priority="103">
      <formula>K75&lt;0</formula>
    </cfRule>
  </conditionalFormatting>
  <conditionalFormatting sqref="K76 K78 K80 K82">
    <cfRule type="expression" dxfId="2789" priority="100">
      <formula>K76&gt;0</formula>
    </cfRule>
    <cfRule type="expression" dxfId="2788" priority="101">
      <formula>K76&lt;0</formula>
    </cfRule>
  </conditionalFormatting>
  <conditionalFormatting sqref="K82 K84 K88 K90">
    <cfRule type="expression" dxfId="2787" priority="98">
      <formula>K82&gt;0</formula>
    </cfRule>
    <cfRule type="expression" dxfId="2786" priority="99">
      <formula>K82&lt;0</formula>
    </cfRule>
  </conditionalFormatting>
  <conditionalFormatting sqref="K83 K85 K89">
    <cfRule type="expression" dxfId="2785" priority="96">
      <formula>K83&gt;0</formula>
    </cfRule>
    <cfRule type="expression" dxfId="2784" priority="97">
      <formula>K83&lt;0</formula>
    </cfRule>
  </conditionalFormatting>
  <conditionalFormatting sqref="M105:M200">
    <cfRule type="expression" dxfId="2783" priority="94">
      <formula>$J105=0</formula>
    </cfRule>
  </conditionalFormatting>
  <conditionalFormatting sqref="M105:M458">
    <cfRule type="expression" dxfId="2782" priority="95">
      <formula>$J105&lt;0</formula>
    </cfRule>
  </conditionalFormatting>
  <conditionalFormatting sqref="M3 M5 M7 M9 M11 M13 M15 M17 M19 M21">
    <cfRule type="expression" dxfId="2781" priority="92">
      <formula>M3&gt;0</formula>
    </cfRule>
    <cfRule type="expression" dxfId="2780" priority="93">
      <formula>M3&lt;0</formula>
    </cfRule>
  </conditionalFormatting>
  <conditionalFormatting sqref="M2 M4 M6 M8 M10 M12 M14 M16 M18 M20 M22 M24 M26 M28 M30">
    <cfRule type="expression" dxfId="2779" priority="90">
      <formula>M2&gt;0</formula>
    </cfRule>
    <cfRule type="expression" dxfId="2778" priority="91">
      <formula>M2&lt;0</formula>
    </cfRule>
  </conditionalFormatting>
  <conditionalFormatting sqref="M23 M25 M27 M29">
    <cfRule type="expression" dxfId="2777" priority="88">
      <formula>M23&gt;0</formula>
    </cfRule>
    <cfRule type="expression" dxfId="2776" priority="89">
      <formula>M23&lt;0</formula>
    </cfRule>
  </conditionalFormatting>
  <conditionalFormatting sqref="M31 M33 M40 M35 M42 M37:M38">
    <cfRule type="expression" dxfId="2775" priority="86">
      <formula>M31&gt;0</formula>
    </cfRule>
    <cfRule type="expression" dxfId="2774" priority="87">
      <formula>M31&lt;0</formula>
    </cfRule>
  </conditionalFormatting>
  <conditionalFormatting sqref="M32 M39 M34 M41 M36 M43">
    <cfRule type="expression" dxfId="2773" priority="84">
      <formula>M32&gt;0</formula>
    </cfRule>
    <cfRule type="expression" dxfId="2772" priority="85">
      <formula>M32&lt;0</formula>
    </cfRule>
  </conditionalFormatting>
  <conditionalFormatting sqref="M45 M47 M49 M51 M53">
    <cfRule type="expression" dxfId="2771" priority="82">
      <formula>M45&gt;0</formula>
    </cfRule>
    <cfRule type="expression" dxfId="2770" priority="83">
      <formula>M45&lt;0</formula>
    </cfRule>
  </conditionalFormatting>
  <conditionalFormatting sqref="M46 M48 M50 M52">
    <cfRule type="expression" dxfId="2769" priority="80">
      <formula>M46&gt;0</formula>
    </cfRule>
    <cfRule type="expression" dxfId="2768" priority="81">
      <formula>M46&lt;0</formula>
    </cfRule>
  </conditionalFormatting>
  <conditionalFormatting sqref="M54 M56 M58 M60">
    <cfRule type="expression" dxfId="2767" priority="78">
      <formula>M54&gt;0</formula>
    </cfRule>
    <cfRule type="expression" dxfId="2766" priority="79">
      <formula>M54&lt;0</formula>
    </cfRule>
  </conditionalFormatting>
  <conditionalFormatting sqref="M55 M57 M59 M61">
    <cfRule type="expression" dxfId="2765" priority="76">
      <formula>M55&gt;0</formula>
    </cfRule>
    <cfRule type="expression" dxfId="2764" priority="77">
      <formula>M55&lt;0</formula>
    </cfRule>
  </conditionalFormatting>
  <conditionalFormatting sqref="M68 M70 M72 M74">
    <cfRule type="expression" dxfId="2763" priority="74">
      <formula>M68&gt;0</formula>
    </cfRule>
    <cfRule type="expression" dxfId="2762" priority="75">
      <formula>M68&lt;0</formula>
    </cfRule>
  </conditionalFormatting>
  <conditionalFormatting sqref="M67 M69 M71 M73">
    <cfRule type="expression" dxfId="2761" priority="72">
      <formula>M67&gt;0</formula>
    </cfRule>
    <cfRule type="expression" dxfId="2760" priority="73">
      <formula>M67&lt;0</formula>
    </cfRule>
  </conditionalFormatting>
  <conditionalFormatting sqref="M75 M77 M79 M81 M83">
    <cfRule type="expression" dxfId="2759" priority="70">
      <formula>M75&gt;0</formula>
    </cfRule>
    <cfRule type="expression" dxfId="2758" priority="71">
      <formula>M75&lt;0</formula>
    </cfRule>
  </conditionalFormatting>
  <conditionalFormatting sqref="M76 M78 M80 M82">
    <cfRule type="expression" dxfId="2757" priority="68">
      <formula>M76&gt;0</formula>
    </cfRule>
    <cfRule type="expression" dxfId="2756" priority="69">
      <formula>M76&lt;0</formula>
    </cfRule>
  </conditionalFormatting>
  <conditionalFormatting sqref="M82 M84 M88 M90">
    <cfRule type="expression" dxfId="2755" priority="66">
      <formula>M82&gt;0</formula>
    </cfRule>
    <cfRule type="expression" dxfId="2754" priority="67">
      <formula>M82&lt;0</formula>
    </cfRule>
  </conditionalFormatting>
  <conditionalFormatting sqref="M83 M85 M89">
    <cfRule type="expression" dxfId="2753" priority="64">
      <formula>M83&gt;0</formula>
    </cfRule>
    <cfRule type="expression" dxfId="2752" priority="65">
      <formula>M83&lt;0</formula>
    </cfRule>
  </conditionalFormatting>
  <conditionalFormatting sqref="L105:L200">
    <cfRule type="expression" dxfId="2751" priority="62">
      <formula>$J105=0</formula>
    </cfRule>
  </conditionalFormatting>
  <conditionalFormatting sqref="L105:L458">
    <cfRule type="expression" dxfId="2750" priority="63">
      <formula>$J105&lt;0</formula>
    </cfRule>
  </conditionalFormatting>
  <conditionalFormatting sqref="L3 L5 L7 L9 L11 L13 L15 L17 L19 L21">
    <cfRule type="expression" dxfId="2749" priority="60">
      <formula>L3&gt;0</formula>
    </cfRule>
    <cfRule type="expression" dxfId="2748" priority="61">
      <formula>L3&lt;0</formula>
    </cfRule>
  </conditionalFormatting>
  <conditionalFormatting sqref="L2 L4 L6 L8 L10 L12 L14 L16 L18 L20 L22 L24 L26 L28 L30">
    <cfRule type="expression" dxfId="2747" priority="58">
      <formula>L2&gt;0</formula>
    </cfRule>
    <cfRule type="expression" dxfId="2746" priority="59">
      <formula>L2&lt;0</formula>
    </cfRule>
  </conditionalFormatting>
  <conditionalFormatting sqref="L23 L25 L27 L29">
    <cfRule type="expression" dxfId="2745" priority="56">
      <formula>L23&gt;0</formula>
    </cfRule>
    <cfRule type="expression" dxfId="2744" priority="57">
      <formula>L23&lt;0</formula>
    </cfRule>
  </conditionalFormatting>
  <conditionalFormatting sqref="L31 L33 L40 L35 L42 L37:L38">
    <cfRule type="expression" dxfId="2743" priority="54">
      <formula>L31&gt;0</formula>
    </cfRule>
    <cfRule type="expression" dxfId="2742" priority="55">
      <formula>L31&lt;0</formula>
    </cfRule>
  </conditionalFormatting>
  <conditionalFormatting sqref="L32 L39 L34 L41 L36 L43">
    <cfRule type="expression" dxfId="2741" priority="52">
      <formula>L32&gt;0</formula>
    </cfRule>
    <cfRule type="expression" dxfId="2740" priority="53">
      <formula>L32&lt;0</formula>
    </cfRule>
  </conditionalFormatting>
  <conditionalFormatting sqref="L45 L47 L49 L51 L53">
    <cfRule type="expression" dxfId="2739" priority="50">
      <formula>L45&gt;0</formula>
    </cfRule>
    <cfRule type="expression" dxfId="2738" priority="51">
      <formula>L45&lt;0</formula>
    </cfRule>
  </conditionalFormatting>
  <conditionalFormatting sqref="L46 L48 L50 L52">
    <cfRule type="expression" dxfId="2737" priority="48">
      <formula>L46&gt;0</formula>
    </cfRule>
    <cfRule type="expression" dxfId="2736" priority="49">
      <formula>L46&lt;0</formula>
    </cfRule>
  </conditionalFormatting>
  <conditionalFormatting sqref="L54 L56 L58 L60 L62">
    <cfRule type="expression" dxfId="2735" priority="46">
      <formula>L54&gt;0</formula>
    </cfRule>
    <cfRule type="expression" dxfId="2734" priority="47">
      <formula>L54&lt;0</formula>
    </cfRule>
  </conditionalFormatting>
  <conditionalFormatting sqref="L55 L57 L59 L61">
    <cfRule type="expression" dxfId="2733" priority="44">
      <formula>L55&gt;0</formula>
    </cfRule>
    <cfRule type="expression" dxfId="2732" priority="45">
      <formula>L55&lt;0</formula>
    </cfRule>
  </conditionalFormatting>
  <conditionalFormatting sqref="L66 L68 L70 L72 L74">
    <cfRule type="expression" dxfId="2731" priority="42">
      <formula>L66&gt;0</formula>
    </cfRule>
    <cfRule type="expression" dxfId="2730" priority="43">
      <formula>L66&lt;0</formula>
    </cfRule>
  </conditionalFormatting>
  <conditionalFormatting sqref="L58:L79">
    <cfRule type="expression" dxfId="2729" priority="40">
      <formula>L58&gt;0</formula>
    </cfRule>
    <cfRule type="expression" dxfId="2728" priority="41">
      <formula>L58&lt;0</formula>
    </cfRule>
  </conditionalFormatting>
  <conditionalFormatting sqref="L75 L77 L79 L81 L83">
    <cfRule type="expression" dxfId="2727" priority="38">
      <formula>L75&gt;0</formula>
    </cfRule>
    <cfRule type="expression" dxfId="2726" priority="39">
      <formula>L75&lt;0</formula>
    </cfRule>
  </conditionalFormatting>
  <conditionalFormatting sqref="L76 L78 L80 L82">
    <cfRule type="expression" dxfId="2725" priority="36">
      <formula>L76&gt;0</formula>
    </cfRule>
    <cfRule type="expression" dxfId="2724" priority="37">
      <formula>L76&lt;0</formula>
    </cfRule>
  </conditionalFormatting>
  <conditionalFormatting sqref="L82 L84 L88 L90">
    <cfRule type="expression" dxfId="2723" priority="34">
      <formula>L82&gt;0</formula>
    </cfRule>
    <cfRule type="expression" dxfId="2722" priority="35">
      <formula>L82&lt;0</formula>
    </cfRule>
  </conditionalFormatting>
  <conditionalFormatting sqref="L83 L85 L89">
    <cfRule type="expression" dxfId="2721" priority="32">
      <formula>L83&gt;0</formula>
    </cfRule>
    <cfRule type="expression" dxfId="2720" priority="33">
      <formula>L83&lt;0</formula>
    </cfRule>
  </conditionalFormatting>
  <conditionalFormatting sqref="I1:I85 I88:I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19" priority="29">
      <formula>M44&gt;0</formula>
    </cfRule>
    <cfRule type="expression" dxfId="2718" priority="30">
      <formula>M44&lt;0</formula>
    </cfRule>
  </conditionalFormatting>
  <conditionalFormatting sqref="M62:M66">
    <cfRule type="expression" dxfId="2717" priority="27">
      <formula>M62&gt;0</formula>
    </cfRule>
    <cfRule type="expression" dxfId="2716" priority="28">
      <formula>M62&lt;0</formula>
    </cfRule>
  </conditionalFormatting>
  <conditionalFormatting sqref="E86">
    <cfRule type="expression" dxfId="2715" priority="26">
      <formula>$H86=0</formula>
    </cfRule>
  </conditionalFormatting>
  <conditionalFormatting sqref="K86">
    <cfRule type="expression" dxfId="2714" priority="24">
      <formula>K86&gt;0</formula>
    </cfRule>
    <cfRule type="expression" dxfId="2713" priority="25">
      <formula>K86&lt;0</formula>
    </cfRule>
  </conditionalFormatting>
  <conditionalFormatting sqref="M86">
    <cfRule type="expression" dxfId="2712" priority="22">
      <formula>M86&gt;0</formula>
    </cfRule>
    <cfRule type="expression" dxfId="2711" priority="23">
      <formula>M86&lt;0</formula>
    </cfRule>
  </conditionalFormatting>
  <conditionalFormatting sqref="L86">
    <cfRule type="expression" dxfId="2710" priority="20">
      <formula>L86&gt;0</formula>
    </cfRule>
    <cfRule type="expression" dxfId="2709" priority="21">
      <formula>L86&lt;0</formula>
    </cfRule>
  </conditionalFormatting>
  <conditionalFormatting sqref="I8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08" priority="14">
      <formula>K61&gt;0</formula>
    </cfRule>
    <cfRule type="expression" dxfId="2707" priority="15">
      <formula>K61&lt;0</formula>
    </cfRule>
  </conditionalFormatting>
  <conditionalFormatting sqref="K44">
    <cfRule type="expression" dxfId="2706" priority="12">
      <formula>K44&gt;0</formula>
    </cfRule>
    <cfRule type="expression" dxfId="2705" priority="13">
      <formula>K44&lt;0</formula>
    </cfRule>
  </conditionalFormatting>
  <conditionalFormatting sqref="E87">
    <cfRule type="expression" dxfId="2704" priority="11">
      <formula>$H87=0</formula>
    </cfRule>
  </conditionalFormatting>
  <conditionalFormatting sqref="K87">
    <cfRule type="expression" dxfId="2703" priority="9">
      <formula>K87&gt;0</formula>
    </cfRule>
    <cfRule type="expression" dxfId="2702" priority="10">
      <formula>K87&lt;0</formula>
    </cfRule>
  </conditionalFormatting>
  <conditionalFormatting sqref="M87">
    <cfRule type="expression" dxfId="2701" priority="7">
      <formula>M87&gt;0</formula>
    </cfRule>
    <cfRule type="expression" dxfId="2700" priority="8">
      <formula>M87&lt;0</formula>
    </cfRule>
  </conditionalFormatting>
  <conditionalFormatting sqref="L87">
    <cfRule type="expression" dxfId="2699" priority="5">
      <formula>L87&gt;0</formula>
    </cfRule>
    <cfRule type="expression" dxfId="2698" priority="6">
      <formula>L87&lt;0</formula>
    </cfRule>
  </conditionalFormatting>
  <conditionalFormatting sqref="I8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0" priority="1">
      <formula>$H88=0</formula>
    </cfRule>
  </conditionalFormatting>
  <hyperlinks>
    <hyperlink ref="E28" location="BIIB!A1" display="BIIB"/>
    <hyperlink ref="E29" location="MYL!A1" display="MYL"/>
    <hyperlink ref="E30" location="SIG!A1" display="SIG"/>
    <hyperlink ref="E26" location="ABC!A1" display="ABC"/>
    <hyperlink ref="E19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21" location="IEMG!A1" display="IEMG"/>
    <hyperlink ref="E12" location="CVS!A1" display="CVS"/>
    <hyperlink ref="E43" location="ADBE!A1" display="ADBE"/>
    <hyperlink ref="E4" location="MRO!A1" display="MRO"/>
    <hyperlink ref="E25" location="GE!A1" display="GE"/>
    <hyperlink ref="E14" location="XRAY!A1" display="XRAY"/>
    <hyperlink ref="E44" location="XLP!A1" display="XLP"/>
    <hyperlink ref="E2" location="KR!A1" display="KR"/>
    <hyperlink ref="E45" location="F!A1" display="F"/>
    <hyperlink ref="E18" location="JNJ!A1" display="JNJ"/>
    <hyperlink ref="E9" location="ULTA!A1" display="ULTA"/>
    <hyperlink ref="E46" location="FRC!A1" display="FRC"/>
    <hyperlink ref="E47" location="AAP!A1" display="AAP"/>
    <hyperlink ref="E22" location="CMCSA!A1" display="CMCSA"/>
    <hyperlink ref="E48" location="XEC!A1" display="XEC"/>
    <hyperlink ref="E8" location="MO!A1" display="MO"/>
    <hyperlink ref="E3" location="T!A1" display="T"/>
    <hyperlink ref="E49" location="COST!A1" display="COST"/>
    <hyperlink ref="E50" location="CPN!A1" display="CPN"/>
    <hyperlink ref="E51" location="EW!A1" display="EW"/>
    <hyperlink ref="E52" location="TJX!A1" display="TJX"/>
    <hyperlink ref="E53" location="QQQ!A1" display="QQQ"/>
    <hyperlink ref="E5" location="WBA!A1" display="WBA"/>
    <hyperlink ref="E54" location="AZO!A1" display="AZO"/>
    <hyperlink ref="E27" location="FL!A1" display="FL"/>
    <hyperlink ref="E55" location="MLM!A1" display="MLM"/>
    <hyperlink ref="E7" location="KHC!A1" display="KHC"/>
    <hyperlink ref="E56" location="KBWY!A1" display="KBWY"/>
    <hyperlink ref="E13" location="AYI!A1" display="AYI"/>
    <hyperlink ref="E57" location="DIA!A1" display="DIA"/>
    <hyperlink ref="E23" location="ICE!A1" display="ICE"/>
    <hyperlink ref="E58" location="NKE!A1" display="NKE"/>
    <hyperlink ref="E6" location="MOS!A1" display="MOS"/>
    <hyperlink ref="E59" location="VGK!A1" display="VGK"/>
    <hyperlink ref="E60" location="CMG!A1" display="CMG"/>
    <hyperlink ref="E61" location="HAS!A1" display="HAS"/>
    <hyperlink ref="E62" location="HSIC!A1" display="HSIC"/>
    <hyperlink ref="E11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7" location="WFC!A1" display="WFC"/>
    <hyperlink ref="E72" location="AA!A1" display="AA"/>
    <hyperlink ref="E73" location="CF!A1" display="CF"/>
    <hyperlink ref="E74" location="TGT!A1" display="TGT"/>
    <hyperlink ref="E10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20" location="DAL!A1" display="DAL"/>
    <hyperlink ref="E24" location="TEVA!A1" display="TEVA"/>
    <hyperlink ref="E80" location="DIS!A1" display="DIS"/>
    <hyperlink ref="E81" location="FTR!A1" display="FTR"/>
    <hyperlink ref="E82" location="GILD!A1" display="GILD"/>
    <hyperlink ref="E83" location="WWD!A1" display="WWD"/>
    <hyperlink ref="E15" location="GIS!A1" display="GIS"/>
    <hyperlink ref="E84" location="GM!A1" display="GM"/>
    <hyperlink ref="E85" location="TMO!A1" display="TMO"/>
    <hyperlink ref="E86" location="TKR!A1" display="TKR"/>
    <hyperlink ref="E87" location="UTX!A1" display="UTX"/>
    <hyperlink ref="E8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S299" sqref="S29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5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5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5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5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378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5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5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220</v>
      </c>
      <c r="R251" s="429"/>
      <c r="S251" s="410" t="s">
        <v>215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251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104369.65626666823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103196.9662666683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103196.94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2.6266668297466822E-2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97" priority="7">
      <formula>#REF!&gt;0</formula>
    </cfRule>
    <cfRule type="expression" dxfId="269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02"/>
  <sheetViews>
    <sheetView zoomScaleNormal="100" workbookViewId="0">
      <pane ySplit="1" topLeftCell="A686" activePane="bottomLeft" state="frozen"/>
      <selection pane="bottomLeft" activeCell="AC706" sqref="AC70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278</v>
      </c>
      <c r="H1" s="335" t="s">
        <v>277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767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213</v>
      </c>
      <c r="U1" s="337" t="s">
        <v>214</v>
      </c>
      <c r="V1" s="336" t="s">
        <v>218</v>
      </c>
      <c r="W1" s="336" t="s">
        <v>219</v>
      </c>
      <c r="X1" s="336" t="s">
        <v>944</v>
      </c>
      <c r="Y1" s="336" t="s">
        <v>943</v>
      </c>
      <c r="Z1" s="336" t="s">
        <v>920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103196.94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  <row r="700" spans="1:26" ht="20.100000000000001" customHeight="1" x14ac:dyDescent="0.25">
      <c r="A700" s="160">
        <f t="shared" ref="A700" si="563">B700-$B$2</f>
        <v>1079</v>
      </c>
      <c r="B700" s="169">
        <v>43312</v>
      </c>
      <c r="C700" s="211">
        <v>2816.29</v>
      </c>
      <c r="D700" s="168">
        <f t="shared" ref="D700" si="564">(C700-C699)/C699</f>
        <v>4.884749875115983E-3</v>
      </c>
      <c r="E700" s="205">
        <f t="shared" ref="E700" si="565">(C700-$C$2)/$C$2</f>
        <v>0.33953406518140822</v>
      </c>
      <c r="F700" s="215">
        <v>7671.78</v>
      </c>
      <c r="G700" s="168">
        <f t="shared" ref="G700" si="566">(F700-F699)/F699</f>
        <v>5.4757536041939378E-3</v>
      </c>
      <c r="H700" s="199">
        <f t="shared" ref="H700" si="567">(F700-F$2)/F$2</f>
        <v>0.50672270557966892</v>
      </c>
      <c r="I700" s="838">
        <v>404183.05</v>
      </c>
      <c r="J700" s="170">
        <v>300000</v>
      </c>
      <c r="K700" s="170">
        <f t="shared" ref="K700" si="568">I700-I699-J700+J699</f>
        <v>-618.36999999999534</v>
      </c>
      <c r="L700" s="168">
        <f t="shared" ref="L700" si="569">K700/I699</f>
        <v>-1.5275885148821745E-3</v>
      </c>
      <c r="M700" s="462">
        <f t="shared" ref="M700" si="570">I700-J700</f>
        <v>104183.04999999999</v>
      </c>
      <c r="N700" s="180">
        <f t="shared" ref="N700" si="571">M700/J700</f>
        <v>0.34727683333333331</v>
      </c>
      <c r="O700" s="179">
        <f t="shared" ref="O700" si="572">N700/(A700/365.25)</f>
        <v>0.1175559438137164</v>
      </c>
      <c r="P700" s="178" t="b">
        <f t="shared" ref="P700" si="573">L700&gt;D700</f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ref="S700" si="574">I700-R700</f>
        <v>111716.95000000001</v>
      </c>
      <c r="T700" s="170">
        <v>-31145</v>
      </c>
      <c r="U700" s="170">
        <f t="shared" ref="U700" si="575">M700-T700</f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ref="X700" si="576">E700/(A700/365.25)/V700</f>
        <v>0.82491636302824856</v>
      </c>
      <c r="Y700" s="171">
        <f t="shared" ref="Y700" si="577">O700/W700</f>
        <v>0.44140457053979809</v>
      </c>
      <c r="Z700" s="784">
        <f t="shared" ref="Z700" si="578">-(E700-N700)</f>
        <v>7.7427681519250946E-3</v>
      </c>
    </row>
    <row r="701" spans="1:26" ht="20.100000000000001" customHeight="1" x14ac:dyDescent="0.25">
      <c r="A701" s="160">
        <f t="shared" ref="A701" si="579">B701-$B$2</f>
        <v>1080</v>
      </c>
      <c r="B701" s="169">
        <v>43313</v>
      </c>
      <c r="C701" s="211">
        <v>2813.36</v>
      </c>
      <c r="D701" s="168">
        <f t="shared" ref="D701" si="580">(C701-C700)/C700</f>
        <v>-1.0403758135702774E-3</v>
      </c>
      <c r="E701" s="205">
        <f t="shared" ref="E701" si="581">(C701-$C$2)/$C$2</f>
        <v>0.33814044633854001</v>
      </c>
      <c r="F701" s="215">
        <v>7707.28</v>
      </c>
      <c r="G701" s="168">
        <f t="shared" ref="G701" si="582">(F701-F700)/F700</f>
        <v>4.6273485423200351E-3</v>
      </c>
      <c r="H701" s="199">
        <f t="shared" ref="H701" si="583">(F701-F$2)/F$2</f>
        <v>0.51369483669501348</v>
      </c>
      <c r="I701" s="822">
        <v>400088.38</v>
      </c>
      <c r="J701" s="170">
        <v>300000</v>
      </c>
      <c r="K701" s="170">
        <f t="shared" ref="K701" si="584">I701-I700-J701+J700</f>
        <v>-4094.6699999999837</v>
      </c>
      <c r="L701" s="168">
        <f t="shared" ref="L701" si="585">K701/I700</f>
        <v>-1.0130731607869215E-2</v>
      </c>
      <c r="M701" s="178">
        <f t="shared" ref="M701" si="586">I701-J701</f>
        <v>100088.38</v>
      </c>
      <c r="N701" s="180">
        <f t="shared" ref="N701" si="587">M701/J701</f>
        <v>0.33362793333333335</v>
      </c>
      <c r="O701" s="179">
        <f t="shared" ref="O701" si="588">N701/(A701/365.25)</f>
        <v>0.11283111356481483</v>
      </c>
      <c r="P701" s="178" t="b">
        <f t="shared" ref="P701" si="589">L701&gt;D701</f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ref="S701" si="590">I701-R701</f>
        <v>92429.049999999988</v>
      </c>
      <c r="T701" s="170">
        <v>-31149</v>
      </c>
      <c r="U701" s="170">
        <f t="shared" ref="U701" si="591">M701-T701</f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ref="X701" si="592">E701/(A701/365.25)/V701</f>
        <v>0.82134125829783444</v>
      </c>
      <c r="Y701" s="171">
        <f t="shared" ref="Y701" si="593">O701/W701</f>
        <v>0.42384149392820641</v>
      </c>
      <c r="Z701" s="784">
        <f t="shared" ref="Z701" si="594">-(E701-N701)</f>
        <v>-4.5125130052066642E-3</v>
      </c>
    </row>
    <row r="702" spans="1:26" ht="20.100000000000001" customHeight="1" x14ac:dyDescent="0.25">
      <c r="A702" s="160">
        <f t="shared" ref="A702" si="595">B702-$B$2</f>
        <v>1081</v>
      </c>
      <c r="B702" s="169">
        <v>43314</v>
      </c>
      <c r="C702" s="211">
        <v>2827.22</v>
      </c>
      <c r="D702" s="168">
        <f t="shared" ref="D702" si="596">(C702-C701)/C701</f>
        <v>4.926493587738388E-3</v>
      </c>
      <c r="E702" s="205">
        <f t="shared" ref="E702" si="597">(C702-$C$2)/$C$2</f>
        <v>0.3447327866669202</v>
      </c>
      <c r="F702" s="215">
        <v>7802.68</v>
      </c>
      <c r="G702" s="168">
        <f t="shared" ref="G702" si="598">(F702-F701)/F701</f>
        <v>1.2377907640568469E-2</v>
      </c>
      <c r="H702" s="199">
        <f t="shared" ref="H702" si="599">(F702-F$2)/F$2</f>
        <v>0.53243121157962969</v>
      </c>
      <c r="I702" s="822">
        <v>403196.94</v>
      </c>
      <c r="J702" s="170">
        <v>300000</v>
      </c>
      <c r="K702" s="170">
        <f t="shared" ref="K702" si="600">I702-I701-J702+J701</f>
        <v>3108.5599999999977</v>
      </c>
      <c r="L702" s="168">
        <f t="shared" ref="L702" si="601">K702/I701</f>
        <v>7.7696832884774046E-3</v>
      </c>
      <c r="M702" s="178">
        <f t="shared" ref="M702" si="602">I702-J702</f>
        <v>103196.94</v>
      </c>
      <c r="N702" s="180">
        <f t="shared" ref="N702" si="603">M702/J702</f>
        <v>0.34398980000000001</v>
      </c>
      <c r="O702" s="179">
        <f t="shared" ref="O702" si="604">N702/(A702/365.25)</f>
        <v>0.11622782095282147</v>
      </c>
      <c r="P702" s="178" t="b">
        <f t="shared" ref="P702" si="605">L702&gt;D702</f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ref="S702" si="606">I702-R702</f>
        <v>93916.700000000012</v>
      </c>
      <c r="T702" s="170">
        <v>-31192</v>
      </c>
      <c r="U702" s="170">
        <f t="shared" ref="U702" si="607">M702-T702</f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ref="X702" si="608">E702/(A702/365.25)/V702</f>
        <v>0.83702287276898191</v>
      </c>
      <c r="Y702" s="171">
        <f t="shared" ref="Y702" si="609">O702/W702</f>
        <v>0.43685739296795056</v>
      </c>
      <c r="Z702" s="784">
        <f t="shared" ref="Z702" si="610">-(E702-N702)</f>
        <v>-7.4298666692018678E-4</v>
      </c>
    </row>
  </sheetData>
  <conditionalFormatting sqref="L703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02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02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02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334.37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334.37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6" t="s">
        <v>78</v>
      </c>
      <c r="P42" s="856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367.80700000000002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364.4633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361.11960000000005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357.77590000000004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354.43220000000002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351.08850000000001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347.7448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344.40109999999999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341.05740000000003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337.71370000000002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334.37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331.02629999999999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327.68259999999998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324.33890000000002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320.99520000000001</v>
      </c>
      <c r="U57" s="470"/>
    </row>
    <row r="58" spans="1:21" x14ac:dyDescent="0.25">
      <c r="O58" s="81">
        <v>0.95</v>
      </c>
      <c r="P58" s="81">
        <f t="shared" si="3"/>
        <v>317.6515</v>
      </c>
      <c r="U58" s="470"/>
    </row>
    <row r="59" spans="1:21" x14ac:dyDescent="0.25">
      <c r="O59" s="81">
        <v>0.94</v>
      </c>
      <c r="P59" s="81">
        <f t="shared" si="3"/>
        <v>314.30779999999999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310.96410000000003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307.62040000000002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304.27670000000001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300.93299999999999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95" priority="58">
      <formula>F19&gt;0</formula>
    </cfRule>
    <cfRule type="expression" dxfId="26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93" priority="47">
      <formula>H25&gt;0</formula>
    </cfRule>
    <cfRule type="expression" dxfId="2692" priority="48">
      <formula>H25&lt;0</formula>
    </cfRule>
  </conditionalFormatting>
  <conditionalFormatting sqref="M39">
    <cfRule type="expression" dxfId="2691" priority="45">
      <formula>M39&gt;0</formula>
    </cfRule>
    <cfRule type="expression" dxfId="2690" priority="46">
      <formula>M39&lt;0</formula>
    </cfRule>
  </conditionalFormatting>
  <conditionalFormatting sqref="F61:F67">
    <cfRule type="expression" dxfId="2689" priority="43">
      <formula>F61&gt;0</formula>
    </cfRule>
    <cfRule type="expression" dxfId="2688" priority="44">
      <formula>F61&lt;0</formula>
    </cfRule>
  </conditionalFormatting>
  <conditionalFormatting sqref="H61:H67">
    <cfRule type="expression" dxfId="2687" priority="41">
      <formula>H61&gt;0</formula>
    </cfRule>
    <cfRule type="expression" dxfId="2686" priority="42">
      <formula>H61&lt;0</formula>
    </cfRule>
  </conditionalFormatting>
  <conditionalFormatting sqref="F21:F24">
    <cfRule type="expression" dxfId="2685" priority="39">
      <formula>F21&gt;0</formula>
    </cfRule>
    <cfRule type="expression" dxfId="2684" priority="40">
      <formula>F21&lt;0</formula>
    </cfRule>
  </conditionalFormatting>
  <conditionalFormatting sqref="H21:H24">
    <cfRule type="expression" dxfId="2683" priority="37">
      <formula>H21&gt;0</formula>
    </cfRule>
    <cfRule type="expression" dxfId="2682" priority="38">
      <formula>H21&lt;0</formula>
    </cfRule>
  </conditionalFormatting>
  <conditionalFormatting sqref="I25:I28">
    <cfRule type="expression" dxfId="2681" priority="31">
      <formula>I25&gt;0</formula>
    </cfRule>
    <cfRule type="expression" dxfId="2680" priority="32">
      <formula>I25&lt;0</formula>
    </cfRule>
  </conditionalFormatting>
  <conditionalFormatting sqref="I21:I24">
    <cfRule type="expression" dxfId="2679" priority="29">
      <formula>I21&gt;0</formula>
    </cfRule>
    <cfRule type="expression" dxfId="2678" priority="30">
      <formula>I21&lt;0</formula>
    </cfRule>
  </conditionalFormatting>
  <conditionalFormatting sqref="H29">
    <cfRule type="expression" dxfId="2677" priority="27">
      <formula>H29&gt;0</formula>
    </cfRule>
    <cfRule type="expression" dxfId="2676" priority="28">
      <formula>H29&lt;0</formula>
    </cfRule>
  </conditionalFormatting>
  <conditionalFormatting sqref="H30">
    <cfRule type="expression" dxfId="2675" priority="25">
      <formula>H30&gt;0</formula>
    </cfRule>
    <cfRule type="expression" dxfId="2674" priority="26">
      <formula>H30&lt;0</formula>
    </cfRule>
  </conditionalFormatting>
  <conditionalFormatting sqref="H31">
    <cfRule type="expression" dxfId="2673" priority="23">
      <formula>H31&gt;0</formula>
    </cfRule>
    <cfRule type="expression" dxfId="2672" priority="24">
      <formula>H31&lt;0</formula>
    </cfRule>
  </conditionalFormatting>
  <conditionalFormatting sqref="Q7">
    <cfRule type="expression" dxfId="2671" priority="21">
      <formula>Q7&gt;0</formula>
    </cfRule>
    <cfRule type="expression" dxfId="2670" priority="22">
      <formula>Q7&lt;0</formula>
    </cfRule>
  </conditionalFormatting>
  <conditionalFormatting sqref="Q8">
    <cfRule type="expression" dxfId="2669" priority="19">
      <formula>Q8&gt;0</formula>
    </cfRule>
    <cfRule type="expression" dxfId="2668" priority="20">
      <formula>Q8&lt;0</formula>
    </cfRule>
  </conditionalFormatting>
  <conditionalFormatting sqref="F73:F82">
    <cfRule type="expression" dxfId="2667" priority="17">
      <formula>F73&gt;0</formula>
    </cfRule>
    <cfRule type="expression" dxfId="2666" priority="18">
      <formula>F73&lt;0</formula>
    </cfRule>
  </conditionalFormatting>
  <conditionalFormatting sqref="H73:H76">
    <cfRule type="expression" dxfId="2665" priority="15">
      <formula>H73&gt;0</formula>
    </cfRule>
    <cfRule type="expression" dxfId="2664" priority="16">
      <formula>H73&lt;0</formula>
    </cfRule>
  </conditionalFormatting>
  <conditionalFormatting sqref="F69:F72">
    <cfRule type="expression" dxfId="2663" priority="13">
      <formula>F69&gt;0</formula>
    </cfRule>
    <cfRule type="expression" dxfId="2662" priority="14">
      <formula>F69&lt;0</formula>
    </cfRule>
  </conditionalFormatting>
  <conditionalFormatting sqref="H69:H72">
    <cfRule type="expression" dxfId="2661" priority="11">
      <formula>H69&gt;0</formula>
    </cfRule>
    <cfRule type="expression" dxfId="2660" priority="12">
      <formula>H69&lt;0</formula>
    </cfRule>
  </conditionalFormatting>
  <conditionalFormatting sqref="I73:I76">
    <cfRule type="expression" dxfId="2659" priority="9">
      <formula>I73&gt;0</formula>
    </cfRule>
    <cfRule type="expression" dxfId="2658" priority="10">
      <formula>I73&lt;0</formula>
    </cfRule>
  </conditionalFormatting>
  <conditionalFormatting sqref="I69:I72">
    <cfRule type="expression" dxfId="2657" priority="7">
      <formula>I69&gt;0</formula>
    </cfRule>
    <cfRule type="expression" dxfId="2656" priority="8">
      <formula>I69&lt;0</formula>
    </cfRule>
  </conditionalFormatting>
  <conditionalFormatting sqref="H77">
    <cfRule type="expression" dxfId="2655" priority="5">
      <formula>H77&gt;0</formula>
    </cfRule>
    <cfRule type="expression" dxfId="2654" priority="6">
      <formula>H77&lt;0</formula>
    </cfRule>
  </conditionalFormatting>
  <conditionalFormatting sqref="H78">
    <cfRule type="expression" dxfId="2653" priority="3">
      <formula>H78&gt;0</formula>
    </cfRule>
    <cfRule type="expression" dxfId="2652" priority="4">
      <formula>H78&lt;0</formula>
    </cfRule>
  </conditionalFormatting>
  <conditionalFormatting sqref="H79">
    <cfRule type="expression" dxfId="2651" priority="1">
      <formula>H79&gt;0</formula>
    </cfRule>
    <cfRule type="expression" dxfId="26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37.31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37.31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206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6" t="s">
        <v>78</v>
      </c>
      <c r="P42" s="85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41.041000000000004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40.667900000000003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40.294800000000002</v>
      </c>
      <c r="Q45" s="2"/>
      <c r="T45" s="106" t="s">
        <v>99</v>
      </c>
      <c r="U45" s="352" t="s">
        <v>554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39.921700000000001</v>
      </c>
      <c r="Q46" s="2"/>
      <c r="T46" s="106" t="s">
        <v>100</v>
      </c>
      <c r="U46" s="352" t="s">
        <v>555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39.548600000000008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39.175500000000007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38.802400000000006</v>
      </c>
      <c r="Q49" s="2"/>
      <c r="T49" s="106" t="s">
        <v>121</v>
      </c>
      <c r="U49" s="352" t="s">
        <v>418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38.429300000000005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38.056200000000004</v>
      </c>
      <c r="Q51" s="2"/>
      <c r="T51" s="106" t="s">
        <v>104</v>
      </c>
      <c r="U51" s="352" t="s">
        <v>556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37.683100000000003</v>
      </c>
      <c r="Q52" s="2"/>
      <c r="T52" s="106" t="s">
        <v>105</v>
      </c>
      <c r="U52" s="352" t="s">
        <v>408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37.31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36.936900000000001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36.563800000000001</v>
      </c>
      <c r="Q55" s="2"/>
      <c r="T55" s="106" t="s">
        <v>107</v>
      </c>
      <c r="U55" s="352" t="s">
        <v>557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36.1907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35.817599999999999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35.444499999999998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35.071399999999997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34.698300000000003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34.325200000000002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33.952100000000002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33.579000000000001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49" priority="29">
      <formula>N19&gt;0</formula>
    </cfRule>
    <cfRule type="expression" dxfId="264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47" priority="23">
      <formula>F22&gt;0</formula>
    </cfRule>
    <cfRule type="expression" dxfId="2646" priority="24">
      <formula>F22&lt;0</formula>
    </cfRule>
  </conditionalFormatting>
  <conditionalFormatting sqref="H22:H31">
    <cfRule type="expression" dxfId="2645" priority="21">
      <formula>H22&gt;0</formula>
    </cfRule>
    <cfRule type="expression" dxfId="2644" priority="22">
      <formula>H22&lt;0</formula>
    </cfRule>
  </conditionalFormatting>
  <conditionalFormatting sqref="I21:J31">
    <cfRule type="expression" dxfId="2643" priority="19">
      <formula>I21&gt;0</formula>
    </cfRule>
    <cfRule type="expression" dxfId="2642" priority="20">
      <formula>I21&lt;0</formula>
    </cfRule>
  </conditionalFormatting>
  <conditionalFormatting sqref="Q8">
    <cfRule type="expression" dxfId="2641" priority="11">
      <formula>Q8&gt;0</formula>
    </cfRule>
    <cfRule type="expression" dxfId="2640" priority="12">
      <formula>Q8&lt;0</formula>
    </cfRule>
  </conditionalFormatting>
  <conditionalFormatting sqref="Q7">
    <cfRule type="expression" dxfId="2639" priority="13">
      <formula>Q7&gt;0</formula>
    </cfRule>
    <cfRule type="expression" dxfId="2638" priority="14">
      <formula>Q7&lt;0</formula>
    </cfRule>
  </conditionalFormatting>
  <conditionalFormatting sqref="F56:F66">
    <cfRule type="expression" dxfId="2637" priority="9">
      <formula>F56&gt;0</formula>
    </cfRule>
    <cfRule type="expression" dxfId="2636" priority="10">
      <formula>F56&lt;0</formula>
    </cfRule>
  </conditionalFormatting>
  <conditionalFormatting sqref="H56:H66">
    <cfRule type="expression" dxfId="2635" priority="7">
      <formula>H56&gt;0</formula>
    </cfRule>
    <cfRule type="expression" dxfId="2634" priority="8">
      <formula>H56&lt;0</formula>
    </cfRule>
  </conditionalFormatting>
  <conditionalFormatting sqref="I56:I66">
    <cfRule type="expression" dxfId="2633" priority="5">
      <formula>I56&gt;0</formula>
    </cfRule>
    <cfRule type="expression" dxfId="2632" priority="6">
      <formula>I56&lt;0</formula>
    </cfRule>
  </conditionalFormatting>
  <conditionalFormatting sqref="F21">
    <cfRule type="expression" dxfId="2631" priority="3">
      <formula>F21&gt;0</formula>
    </cfRule>
    <cfRule type="expression" dxfId="2630" priority="4">
      <formula>F21&lt;0</formula>
    </cfRule>
  </conditionalFormatting>
  <conditionalFormatting sqref="H21">
    <cfRule type="expression" dxfId="2629" priority="1">
      <formula>H21&gt;0</formula>
    </cfRule>
    <cfRule type="expression" dxfId="262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212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237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57.74</v>
      </c>
      <c r="T3" s="1">
        <v>43112</v>
      </c>
      <c r="U3" t="s">
        <v>874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57.74</v>
      </c>
      <c r="R4" s="222">
        <v>-8.8000000000000005E-3</v>
      </c>
      <c r="T4" s="1">
        <v>43114</v>
      </c>
      <c r="U4" t="s">
        <v>873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884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774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207</v>
      </c>
      <c r="Q9" s="222">
        <f>IF(Q2=0, 0, Q8/Q6)</f>
        <v>0</v>
      </c>
      <c r="T9" s="151"/>
      <c r="U9" t="s">
        <v>973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206</v>
      </c>
      <c r="P10" s="33"/>
      <c r="Q10" s="2">
        <f>M177</f>
        <v>1157.8699999999953</v>
      </c>
      <c r="U10" t="s">
        <v>971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2.5632144094215447E-2</v>
      </c>
      <c r="R11" s="33">
        <f>1.48/4</f>
        <v>0.37</v>
      </c>
      <c r="U11" t="s">
        <v>972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938</v>
      </c>
      <c r="Q12" s="1" t="s">
        <v>1218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965</v>
      </c>
      <c r="Q13">
        <f>Q4/4</f>
        <v>14.435</v>
      </c>
      <c r="T13" s="1">
        <v>43212</v>
      </c>
      <c r="U13" t="s">
        <v>1016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1089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1111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1115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965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745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747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759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63.51400000000001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62.936600000000006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62.359200000000008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61.781800000000004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61.204400000000007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60.627000000000002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60.049600000000005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59.472200000000001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58.894800000000004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58.317399999999999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57.74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57.162600000000005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56.5852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56.007800000000003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55.430399999999999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54.853000000000002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54.275599999999997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53.698200000000007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53.120800000000003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52.543400000000005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51.966000000000001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339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339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376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335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399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440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461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461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212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27" priority="64">
      <formula>N23&gt;0</formula>
    </cfRule>
    <cfRule type="expression" dxfId="262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25" priority="58">
      <formula>F79&gt;0</formula>
    </cfRule>
    <cfRule type="expression" dxfId="2624" priority="59">
      <formula>F79&lt;0</formula>
    </cfRule>
  </conditionalFormatting>
  <conditionalFormatting sqref="H79:H97 H101:H118">
    <cfRule type="expression" dxfId="2623" priority="56">
      <formula>H79&gt;0</formula>
    </cfRule>
    <cfRule type="expression" dxfId="2622" priority="57">
      <formula>H79&lt;0</formula>
    </cfRule>
  </conditionalFormatting>
  <conditionalFormatting sqref="I75:I97 I100:I118">
    <cfRule type="expression" dxfId="2621" priority="54">
      <formula>I75&gt;0</formula>
    </cfRule>
    <cfRule type="expression" dxfId="2620" priority="55">
      <formula>I75&lt;0</formula>
    </cfRule>
  </conditionalFormatting>
  <conditionalFormatting sqref="Q7">
    <cfRule type="expression" dxfId="2619" priority="52">
      <formula>Q7&gt;0</formula>
    </cfRule>
    <cfRule type="expression" dxfId="2618" priority="53">
      <formula>Q7&lt;0</formula>
    </cfRule>
  </conditionalFormatting>
  <conditionalFormatting sqref="Q8">
    <cfRule type="expression" dxfId="2617" priority="50">
      <formula>Q8&gt;0</formula>
    </cfRule>
    <cfRule type="expression" dxfId="2616" priority="51">
      <formula>Q8&lt;0</formula>
    </cfRule>
  </conditionalFormatting>
  <conditionalFormatting sqref="F75:F78">
    <cfRule type="expression" dxfId="2615" priority="48">
      <formula>F75&gt;0</formula>
    </cfRule>
    <cfRule type="expression" dxfId="2614" priority="49">
      <formula>F75&lt;0</formula>
    </cfRule>
  </conditionalFormatting>
  <conditionalFormatting sqref="H75:H78">
    <cfRule type="expression" dxfId="2613" priority="46">
      <formula>H75&gt;0</formula>
    </cfRule>
    <cfRule type="expression" dxfId="2612" priority="47">
      <formula>H75&lt;0</formula>
    </cfRule>
  </conditionalFormatting>
  <conditionalFormatting sqref="F100:F114">
    <cfRule type="expression" dxfId="2611" priority="40">
      <formula>F100&gt;0</formula>
    </cfRule>
    <cfRule type="expression" dxfId="2610" priority="41">
      <formula>F100&lt;0</formula>
    </cfRule>
  </conditionalFormatting>
  <conditionalFormatting sqref="H100:H114">
    <cfRule type="expression" dxfId="2609" priority="38">
      <formula>H100&gt;0</formula>
    </cfRule>
    <cfRule type="expression" dxfId="2608" priority="39">
      <formula>H100&lt;0</formula>
    </cfRule>
  </conditionalFormatting>
  <conditionalFormatting sqref="F29:F67">
    <cfRule type="expression" dxfId="2607" priority="36">
      <formula>F29&gt;0</formula>
    </cfRule>
    <cfRule type="expression" dxfId="2606" priority="37">
      <formula>F29&lt;0</formula>
    </cfRule>
  </conditionalFormatting>
  <conditionalFormatting sqref="H29:H63">
    <cfRule type="expression" dxfId="2605" priority="34">
      <formula>H29&gt;0</formula>
    </cfRule>
    <cfRule type="expression" dxfId="2604" priority="35">
      <formula>H29&lt;0</formula>
    </cfRule>
  </conditionalFormatting>
  <conditionalFormatting sqref="J38:J68">
    <cfRule type="expression" dxfId="2603" priority="32">
      <formula>J38&gt;0</formula>
    </cfRule>
    <cfRule type="expression" dxfId="2602" priority="33">
      <formula>J38&lt;0</formula>
    </cfRule>
  </conditionalFormatting>
  <conditionalFormatting sqref="J43">
    <cfRule type="expression" dxfId="2601" priority="30">
      <formula>J43&gt;0</formula>
    </cfRule>
    <cfRule type="expression" dxfId="2600" priority="31">
      <formula>J43&lt;0</formula>
    </cfRule>
  </conditionalFormatting>
  <conditionalFormatting sqref="Q9">
    <cfRule type="expression" dxfId="2599" priority="24">
      <formula>Q9&gt;0</formula>
    </cfRule>
    <cfRule type="expression" dxfId="2598" priority="25">
      <formula>Q9&lt;0</formula>
    </cfRule>
  </conditionalFormatting>
  <conditionalFormatting sqref="R4">
    <cfRule type="expression" dxfId="2597" priority="26">
      <formula>R4&gt;0</formula>
    </cfRule>
    <cfRule type="expression" dxfId="259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95" priority="21">
      <formula>F120&gt;0</formula>
    </cfRule>
    <cfRule type="expression" dxfId="2594" priority="22">
      <formula>F120&lt;0</formula>
    </cfRule>
  </conditionalFormatting>
  <conditionalFormatting sqref="H120:H160">
    <cfRule type="expression" dxfId="2593" priority="19">
      <formula>H120&gt;0</formula>
    </cfRule>
    <cfRule type="expression" dxfId="2592" priority="20">
      <formula>H120&lt;0</formula>
    </cfRule>
  </conditionalFormatting>
  <conditionalFormatting sqref="J129:J160">
    <cfRule type="expression" dxfId="2591" priority="17">
      <formula>J129&gt;0</formula>
    </cfRule>
    <cfRule type="expression" dxfId="2590" priority="18">
      <formula>J129&lt;0</formula>
    </cfRule>
  </conditionalFormatting>
  <conditionalFormatting sqref="J134">
    <cfRule type="expression" dxfId="2589" priority="15">
      <formula>J134&gt;0</formula>
    </cfRule>
    <cfRule type="expression" dxfId="2588" priority="16">
      <formula>J134&lt;0</formula>
    </cfRule>
  </conditionalFormatting>
  <conditionalFormatting sqref="J31:J40">
    <cfRule type="expression" dxfId="2587" priority="13">
      <formula>J31&gt;0</formula>
    </cfRule>
    <cfRule type="expression" dxfId="2586" priority="14">
      <formula>J31&lt;0</formula>
    </cfRule>
  </conditionalFormatting>
  <conditionalFormatting sqref="J36:J37">
    <cfRule type="expression" dxfId="2585" priority="11">
      <formula>J36&gt;0</formula>
    </cfRule>
    <cfRule type="expression" dxfId="2584" priority="12">
      <formula>J36&lt;0</formula>
    </cfRule>
  </conditionalFormatting>
  <conditionalFormatting sqref="Q10">
    <cfRule type="expression" dxfId="2583" priority="9">
      <formula>Q10&gt;0</formula>
    </cfRule>
    <cfRule type="expression" dxfId="2582" priority="10">
      <formula>Q10&lt;0</formula>
    </cfRule>
  </conditionalFormatting>
  <conditionalFormatting sqref="K38:K55 K57:K68">
    <cfRule type="expression" dxfId="2581" priority="7">
      <formula>K38&gt;0</formula>
    </cfRule>
    <cfRule type="expression" dxfId="2580" priority="8">
      <formula>K38&lt;0</formula>
    </cfRule>
  </conditionalFormatting>
  <conditionalFormatting sqref="K43">
    <cfRule type="expression" dxfId="2579" priority="5">
      <formula>K43&gt;0</formula>
    </cfRule>
    <cfRule type="expression" dxfId="2578" priority="6">
      <formula>K43&lt;0</formula>
    </cfRule>
  </conditionalFormatting>
  <conditionalFormatting sqref="K31:K40">
    <cfRule type="expression" dxfId="2577" priority="3">
      <formula>K31&gt;0</formula>
    </cfRule>
    <cfRule type="expression" dxfId="2576" priority="4">
      <formula>K31&lt;0</formula>
    </cfRule>
  </conditionalFormatting>
  <conditionalFormatting sqref="K36:K37">
    <cfRule type="expression" dxfId="2575" priority="1">
      <formula>K36&gt;0</formula>
    </cfRule>
    <cfRule type="expression" dxfId="257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1233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78.979900000000001</v>
      </c>
      <c r="R4" s="495">
        <v>-6.4000000000000003E-3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3948.9949999999999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-50.005000000000109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-50.005000000000109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-1.2504376094023533E-2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965</v>
      </c>
      <c r="Q13" s="2"/>
    </row>
    <row r="14" spans="1:21" x14ac:dyDescent="0.25">
      <c r="H14" s="70"/>
      <c r="O14" s="11" t="s">
        <v>1053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4" t="s">
        <v>78</v>
      </c>
      <c r="P22" s="854"/>
    </row>
    <row r="23" spans="1:17" ht="15.75" thickTop="1" x14ac:dyDescent="0.25">
      <c r="O23" s="81">
        <v>1.1000000000000001</v>
      </c>
      <c r="P23" s="81">
        <f>O23*$Q$4</f>
        <v>86.877890000000008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86.088091000000006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85.298292000000004</v>
      </c>
      <c r="Q25" s="2"/>
    </row>
    <row r="26" spans="1:17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1.07</v>
      </c>
      <c r="P26" s="81">
        <f t="shared" si="0"/>
        <v>84.508493000000001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83.718693999999999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82.928894999999997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82.139096000000009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81.349297000000007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80.559498000000005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79.769699000000003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78.979900000000001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78.190100999999999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77.400301999999996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76.610502999999994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75.820703999999992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75.030905000000004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74.241106000000002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73.451307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72.661507999999998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71.87170900000001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71.081910000000008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3" priority="31">
      <formula>F47&gt;0</formula>
    </cfRule>
    <cfRule type="expression" dxfId="2572" priority="32">
      <formula>F47&lt;0</formula>
    </cfRule>
  </conditionalFormatting>
  <conditionalFormatting sqref="Q7">
    <cfRule type="expression" dxfId="2571" priority="29">
      <formula>Q7&gt;0</formula>
    </cfRule>
    <cfRule type="expression" dxfId="2570" priority="30">
      <formula>Q7&lt;0</formula>
    </cfRule>
  </conditionalFormatting>
  <conditionalFormatting sqref="Q8">
    <cfRule type="expression" dxfId="2569" priority="27">
      <formula>Q8&gt;0</formula>
    </cfRule>
    <cfRule type="expression" dxfId="2568" priority="28">
      <formula>Q8&lt;0</formula>
    </cfRule>
  </conditionalFormatting>
  <conditionalFormatting sqref="F31:F46">
    <cfRule type="expression" dxfId="2567" priority="25">
      <formula>F31&gt;0</formula>
    </cfRule>
    <cfRule type="expression" dxfId="2566" priority="26">
      <formula>F31&lt;0</formula>
    </cfRule>
  </conditionalFormatting>
  <conditionalFormatting sqref="H31:H46">
    <cfRule type="expression" dxfId="2565" priority="23">
      <formula>H31&gt;0</formula>
    </cfRule>
    <cfRule type="expression" dxfId="2564" priority="24">
      <formula>H31&lt;0</formula>
    </cfRule>
  </conditionalFormatting>
  <conditionalFormatting sqref="Q10">
    <cfRule type="expression" dxfId="2563" priority="21">
      <formula>Q10&gt;0</formula>
    </cfRule>
    <cfRule type="expression" dxfId="2562" priority="22">
      <formula>Q10&lt;0</formula>
    </cfRule>
  </conditionalFormatting>
  <conditionalFormatting sqref="J25:J38">
    <cfRule type="expression" dxfId="2561" priority="19">
      <formula>J25&gt;0</formula>
    </cfRule>
    <cfRule type="expression" dxfId="2560" priority="20">
      <formula>J25&lt;0</formula>
    </cfRule>
  </conditionalFormatting>
  <conditionalFormatting sqref="K38">
    <cfRule type="expression" dxfId="2559" priority="17">
      <formula>K38&gt;0</formula>
    </cfRule>
    <cfRule type="expression" dxfId="2558" priority="18">
      <formula>K38&lt;0</formula>
    </cfRule>
  </conditionalFormatting>
  <conditionalFormatting sqref="L25:L38">
    <cfRule type="expression" dxfId="2557" priority="15">
      <formula>L25&gt;0</formula>
    </cfRule>
    <cfRule type="expression" dxfId="2556" priority="16">
      <formula>L25&lt;0</formula>
    </cfRule>
  </conditionalFormatting>
  <conditionalFormatting sqref="F89:F110">
    <cfRule type="expression" dxfId="2555" priority="13">
      <formula>F89&gt;0</formula>
    </cfRule>
    <cfRule type="expression" dxfId="2554" priority="14">
      <formula>F89&lt;0</formula>
    </cfRule>
  </conditionalFormatting>
  <conditionalFormatting sqref="H89:H110">
    <cfRule type="expression" dxfId="2553" priority="11">
      <formula>H89&gt;0</formula>
    </cfRule>
    <cfRule type="expression" dxfId="2552" priority="12">
      <formula>H89&lt;0</formula>
    </cfRule>
  </conditionalFormatting>
  <conditionalFormatting sqref="J89:J102">
    <cfRule type="expression" dxfId="2551" priority="9">
      <formula>J89&gt;0</formula>
    </cfRule>
    <cfRule type="expression" dxfId="2550" priority="10">
      <formula>J89&lt;0</formula>
    </cfRule>
  </conditionalFormatting>
  <conditionalFormatting sqref="K89:K102">
    <cfRule type="expression" dxfId="2549" priority="7">
      <formula>K89&gt;0</formula>
    </cfRule>
    <cfRule type="expression" dxfId="2548" priority="8">
      <formula>K89&lt;0</formula>
    </cfRule>
  </conditionalFormatting>
  <conditionalFormatting sqref="L89:L102">
    <cfRule type="expression" dxfId="2547" priority="5">
      <formula>L89&gt;0</formula>
    </cfRule>
    <cfRule type="expression" dxfId="2546" priority="6">
      <formula>L89&lt;0</formula>
    </cfRule>
  </conditionalFormatting>
  <conditionalFormatting sqref="F25:F30">
    <cfRule type="expression" dxfId="2545" priority="3">
      <formula>F25&gt;0</formula>
    </cfRule>
    <cfRule type="expression" dxfId="2544" priority="4">
      <formula>F25&lt;0</formula>
    </cfRule>
  </conditionalFormatting>
  <conditionalFormatting sqref="H25:H30">
    <cfRule type="expression" dxfId="2543" priority="1">
      <formula>H25&gt;0</formula>
    </cfRule>
    <cfRule type="expression" dxfId="25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0" activePane="bottomLeft" state="frozen"/>
      <selection activeCell="A2" sqref="A2"/>
      <selection pane="bottomLeft" activeCell="U16" sqref="U1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1219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2752.8807999999999</v>
      </c>
      <c r="R4" s="495">
        <v>1.0200000000000001E-2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5505.7615999999998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-230.23840000000018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-230.23840000000018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-4.0139191073919139E-2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965</v>
      </c>
      <c r="Q13" s="2"/>
    </row>
    <row r="14" spans="1:21" x14ac:dyDescent="0.25">
      <c r="H14" s="70"/>
      <c r="O14" s="11" t="s">
        <v>1053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3028.1688800000002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3000.6400720000001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2973.1112640000001</v>
      </c>
      <c r="Q25" s="2"/>
    </row>
    <row r="26" spans="1:17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1.07</v>
      </c>
      <c r="P26" s="81">
        <f t="shared" si="0"/>
        <v>2945.5824560000001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2918.0536480000001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2890.52484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2862.996032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2835.467224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2807.938416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2780.4096079999999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2752.8807999999999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2725.3519919999999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2697.8231839999999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2670.2943759999998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2642.7655679999998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2615.2367599999998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2587.7079519999998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2560.1791440000002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2532.6503360000002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2505.1215280000001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2477.5927200000001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41" priority="31">
      <formula>F47&gt;0</formula>
    </cfRule>
    <cfRule type="expression" dxfId="2540" priority="32">
      <formula>F47&lt;0</formula>
    </cfRule>
  </conditionalFormatting>
  <conditionalFormatting sqref="Q7">
    <cfRule type="expression" dxfId="2539" priority="29">
      <formula>Q7&gt;0</formula>
    </cfRule>
    <cfRule type="expression" dxfId="2538" priority="30">
      <formula>Q7&lt;0</formula>
    </cfRule>
  </conditionalFormatting>
  <conditionalFormatting sqref="Q8">
    <cfRule type="expression" dxfId="2537" priority="27">
      <formula>Q8&gt;0</formula>
    </cfRule>
    <cfRule type="expression" dxfId="2536" priority="28">
      <formula>Q8&lt;0</formula>
    </cfRule>
  </conditionalFormatting>
  <conditionalFormatting sqref="F31:F46">
    <cfRule type="expression" dxfId="2535" priority="25">
      <formula>F31&gt;0</formula>
    </cfRule>
    <cfRule type="expression" dxfId="2534" priority="26">
      <formula>F31&lt;0</formula>
    </cfRule>
  </conditionalFormatting>
  <conditionalFormatting sqref="H31:H46">
    <cfRule type="expression" dxfId="2533" priority="23">
      <formula>H31&gt;0</formula>
    </cfRule>
    <cfRule type="expression" dxfId="2532" priority="24">
      <formula>H31&lt;0</formula>
    </cfRule>
  </conditionalFormatting>
  <conditionalFormatting sqref="Q10">
    <cfRule type="expression" dxfId="2531" priority="21">
      <formula>Q10&gt;0</formula>
    </cfRule>
    <cfRule type="expression" dxfId="2530" priority="22">
      <formula>Q10&lt;0</formula>
    </cfRule>
  </conditionalFormatting>
  <conditionalFormatting sqref="J25:J38">
    <cfRule type="expression" dxfId="2529" priority="19">
      <formula>J25&gt;0</formula>
    </cfRule>
    <cfRule type="expression" dxfId="2528" priority="20">
      <formula>J25&lt;0</formula>
    </cfRule>
  </conditionalFormatting>
  <conditionalFormatting sqref="K38">
    <cfRule type="expression" dxfId="2527" priority="17">
      <formula>K38&gt;0</formula>
    </cfRule>
    <cfRule type="expression" dxfId="2526" priority="18">
      <formula>K38&lt;0</formula>
    </cfRule>
  </conditionalFormatting>
  <conditionalFormatting sqref="L25:L38">
    <cfRule type="expression" dxfId="2525" priority="15">
      <formula>L25&gt;0</formula>
    </cfRule>
    <cfRule type="expression" dxfId="2524" priority="16">
      <formula>L25&lt;0</formula>
    </cfRule>
  </conditionalFormatting>
  <conditionalFormatting sqref="F89:F110">
    <cfRule type="expression" dxfId="2523" priority="13">
      <formula>F89&gt;0</formula>
    </cfRule>
    <cfRule type="expression" dxfId="2522" priority="14">
      <formula>F89&lt;0</formula>
    </cfRule>
  </conditionalFormatting>
  <conditionalFormatting sqref="H89:H110">
    <cfRule type="expression" dxfId="2521" priority="11">
      <formula>H89&gt;0</formula>
    </cfRule>
    <cfRule type="expression" dxfId="2520" priority="12">
      <formula>H89&lt;0</formula>
    </cfRule>
  </conditionalFormatting>
  <conditionalFormatting sqref="J89:J102">
    <cfRule type="expression" dxfId="2519" priority="9">
      <formula>J89&gt;0</formula>
    </cfRule>
    <cfRule type="expression" dxfId="2518" priority="10">
      <formula>J89&lt;0</formula>
    </cfRule>
  </conditionalFormatting>
  <conditionalFormatting sqref="K89:K102">
    <cfRule type="expression" dxfId="2517" priority="7">
      <formula>K89&gt;0</formula>
    </cfRule>
    <cfRule type="expression" dxfId="2516" priority="8">
      <formula>K89&lt;0</formula>
    </cfRule>
  </conditionalFormatting>
  <conditionalFormatting sqref="L89:L102">
    <cfRule type="expression" dxfId="2515" priority="5">
      <formula>L89&gt;0</formula>
    </cfRule>
    <cfRule type="expression" dxfId="2514" priority="6">
      <formula>L89&lt;0</formula>
    </cfRule>
  </conditionalFormatting>
  <conditionalFormatting sqref="F25:F30">
    <cfRule type="expression" dxfId="2513" priority="3">
      <formula>F25&gt;0</formula>
    </cfRule>
    <cfRule type="expression" dxfId="2512" priority="4">
      <formula>F25&lt;0</formula>
    </cfRule>
  </conditionalFormatting>
  <conditionalFormatting sqref="H25:H30">
    <cfRule type="expression" dxfId="2511" priority="1">
      <formula>H25&gt;0</formula>
    </cfRule>
    <cfRule type="expression" dxfId="25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190.29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190.29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206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211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247</v>
      </c>
      <c r="T41" s="106" t="s">
        <v>98</v>
      </c>
      <c r="U41" s="352">
        <v>144.63999999999999</v>
      </c>
      <c r="W41" s="130">
        <v>42775</v>
      </c>
      <c r="X41" s="10" t="s">
        <v>204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6" t="s">
        <v>78</v>
      </c>
      <c r="P42" s="856"/>
      <c r="T42" s="106" t="s">
        <v>99</v>
      </c>
      <c r="U42" s="352" t="s">
        <v>558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209.31900000000002</v>
      </c>
      <c r="Q43" s="2"/>
      <c r="T43" s="106" t="s">
        <v>100</v>
      </c>
      <c r="U43" s="352" t="s">
        <v>559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207.4161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205.51320000000001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203.6103</v>
      </c>
      <c r="Q46" s="2"/>
      <c r="T46" s="106" t="s">
        <v>121</v>
      </c>
      <c r="U46" s="352" t="s">
        <v>383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201.70740000000001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199.80449999999999</v>
      </c>
      <c r="Q48" s="2"/>
      <c r="T48" s="106" t="s">
        <v>104</v>
      </c>
      <c r="U48" s="352" t="s">
        <v>560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197.9016</v>
      </c>
      <c r="Q49" s="2"/>
      <c r="T49" s="106" t="s">
        <v>105</v>
      </c>
      <c r="U49" s="352" t="s">
        <v>561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195.99869999999999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194.0958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192.19289999999998</v>
      </c>
      <c r="Q52" s="2"/>
      <c r="T52" s="106" t="s">
        <v>107</v>
      </c>
      <c r="U52" s="352" t="s">
        <v>562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190.29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188.3871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186.48419999999999</v>
      </c>
      <c r="Q55" s="2"/>
      <c r="T55" s="106" t="s">
        <v>108</v>
      </c>
      <c r="U55" s="352" t="s">
        <v>525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184.5813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182.67839999999998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180.77549999999999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178.87259999999998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176.96969999999999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175.0668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173.16390000000001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171.261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09" priority="35">
      <formula>N19&gt;0</formula>
    </cfRule>
    <cfRule type="expression" dxfId="250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507" priority="21">
      <formula>F25&gt;0</formula>
    </cfRule>
    <cfRule type="expression" dxfId="2506" priority="22">
      <formula>F25&lt;0</formula>
    </cfRule>
  </conditionalFormatting>
  <conditionalFormatting sqref="H25:H47">
    <cfRule type="expression" dxfId="2505" priority="19">
      <formula>H25&gt;0</formula>
    </cfRule>
    <cfRule type="expression" dxfId="2504" priority="20">
      <formula>H25&lt;0</formula>
    </cfRule>
  </conditionalFormatting>
  <conditionalFormatting sqref="I25:I27">
    <cfRule type="expression" dxfId="2503" priority="15">
      <formula>I25&gt;0</formula>
    </cfRule>
    <cfRule type="expression" dxfId="2502" priority="16">
      <formula>I25&lt;0</formula>
    </cfRule>
  </conditionalFormatting>
  <conditionalFormatting sqref="Q7">
    <cfRule type="expression" dxfId="2501" priority="5">
      <formula>Q7&gt;0</formula>
    </cfRule>
    <cfRule type="expression" dxfId="2500" priority="6">
      <formula>Q7&lt;0</formula>
    </cfRule>
  </conditionalFormatting>
  <conditionalFormatting sqref="Q8">
    <cfRule type="expression" dxfId="2499" priority="3">
      <formula>Q8&gt;0</formula>
    </cfRule>
    <cfRule type="expression" dxfId="249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242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99.52</v>
      </c>
      <c r="T3" s="1">
        <v>42572</v>
      </c>
      <c r="U3" t="s">
        <v>233</v>
      </c>
      <c r="W3" s="130">
        <v>42830</v>
      </c>
      <c r="X3" s="10" t="s">
        <v>289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99.52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206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241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109.47200000000001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108.4768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107.4816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106.4864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105.49120000000001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104.496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103.5008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102.5056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101.5104</v>
      </c>
      <c r="Q49" s="2"/>
      <c r="T49" s="91" t="s">
        <v>103</v>
      </c>
      <c r="U49" s="127" t="s">
        <v>508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223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100.51519999999999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99.52</v>
      </c>
      <c r="Q51" s="2"/>
      <c r="T51" s="91" t="s">
        <v>104</v>
      </c>
      <c r="U51" s="127" t="s">
        <v>563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98.524799999999999</v>
      </c>
      <c r="Q52" s="2"/>
      <c r="T52" s="91" t="s">
        <v>105</v>
      </c>
      <c r="U52" s="127" t="s">
        <v>466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97.529599999999988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96.534399999999991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95.539199999999994</v>
      </c>
      <c r="T55" s="91" t="s">
        <v>107</v>
      </c>
      <c r="U55" s="127" t="s">
        <v>564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94.543999999999997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93.548799999999986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92.553600000000003</v>
      </c>
      <c r="T58" s="91" t="s">
        <v>108</v>
      </c>
      <c r="U58" s="127" t="s">
        <v>532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91.558400000000006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90.563199999999995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89.567999999999998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97" priority="9">
      <formula>F36&gt;0</formula>
    </cfRule>
    <cfRule type="expression" dxfId="2496" priority="10">
      <formula>F36&lt;0</formula>
    </cfRule>
  </conditionalFormatting>
  <conditionalFormatting sqref="F25:F35">
    <cfRule type="expression" dxfId="2495" priority="7">
      <formula>F25&gt;0</formula>
    </cfRule>
    <cfRule type="expression" dxfId="2494" priority="8">
      <formula>F25&lt;0</formula>
    </cfRule>
  </conditionalFormatting>
  <conditionalFormatting sqref="H25:H35">
    <cfRule type="expression" dxfId="2493" priority="5">
      <formula>H25&gt;0</formula>
    </cfRule>
    <cfRule type="expression" dxfId="2492" priority="6">
      <formula>H25&lt;0</formula>
    </cfRule>
  </conditionalFormatting>
  <conditionalFormatting sqref="Q7">
    <cfRule type="expression" dxfId="2491" priority="3">
      <formula>Q7&gt;0</formula>
    </cfRule>
    <cfRule type="expression" dxfId="2490" priority="4">
      <formula>Q7&lt;0</formula>
    </cfRule>
  </conditionalFormatting>
  <conditionalFormatting sqref="Q8">
    <cfRule type="expression" dxfId="2489" priority="1">
      <formula>Q8&gt;0</formula>
    </cfRule>
    <cfRule type="expression" dxfId="248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98.15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98.15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V9" s="134"/>
    </row>
    <row r="10" spans="1:22" x14ac:dyDescent="0.25">
      <c r="H10" s="70"/>
      <c r="O10" s="11" t="s">
        <v>206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689</v>
      </c>
      <c r="P20" s="7" t="s">
        <v>690</v>
      </c>
      <c r="Q20" s="7" t="s">
        <v>691</v>
      </c>
      <c r="R20" s="7"/>
      <c r="V20" s="134"/>
    </row>
    <row r="21" spans="1:22" x14ac:dyDescent="0.25">
      <c r="O21" s="7" t="s">
        <v>692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693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694</v>
      </c>
      <c r="P23" s="7" t="s">
        <v>695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7" t="s">
        <v>677</v>
      </c>
      <c r="P24" s="7" t="s">
        <v>696</v>
      </c>
      <c r="Q24" s="7" t="s">
        <v>696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694</v>
      </c>
      <c r="P25" s="7" t="s">
        <v>697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698</v>
      </c>
      <c r="P26" s="7" t="s">
        <v>690</v>
      </c>
      <c r="Q26" s="7" t="s">
        <v>691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693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677</v>
      </c>
      <c r="P29" s="7" t="s">
        <v>696</v>
      </c>
      <c r="Q29" s="7" t="s">
        <v>696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699</v>
      </c>
      <c r="P30" s="7" t="s">
        <v>690</v>
      </c>
      <c r="Q30" s="7" t="s">
        <v>691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692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6" t="s">
        <v>78</v>
      </c>
      <c r="P40" s="856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107.96500000000002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106.98350000000002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106.00200000000001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105.02050000000001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104.03900000000002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103.0575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102.07600000000001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101.09450000000001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100.11300000000001</v>
      </c>
      <c r="Q49" s="2"/>
      <c r="T49" s="91" t="s">
        <v>121</v>
      </c>
      <c r="U49" s="127" t="s">
        <v>501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99.131500000000003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98.15</v>
      </c>
      <c r="Q51" s="2"/>
      <c r="T51" s="91" t="s">
        <v>104</v>
      </c>
      <c r="U51" s="127" t="s">
        <v>565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97.168500000000009</v>
      </c>
      <c r="Q52" s="2"/>
      <c r="T52" s="91" t="s">
        <v>105</v>
      </c>
      <c r="U52" s="127" t="s">
        <v>307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96.186999999999998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95.205500000000001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94.224000000000004</v>
      </c>
      <c r="T55" s="91" t="s">
        <v>107</v>
      </c>
      <c r="U55" s="127" t="s">
        <v>566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93.242500000000007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92.260999999999996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91.279500000000013</v>
      </c>
      <c r="T58" s="91" t="s">
        <v>108</v>
      </c>
      <c r="U58" s="127" t="s">
        <v>533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90.298000000000016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89.316500000000005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88.335000000000008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263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87" priority="37">
      <formula>F25&gt;0</formula>
    </cfRule>
    <cfRule type="expression" dxfId="2486" priority="38">
      <formula>F25&lt;0</formula>
    </cfRule>
  </conditionalFormatting>
  <conditionalFormatting sqref="Q7">
    <cfRule type="expression" dxfId="2485" priority="35">
      <formula>Q7&gt;0</formula>
    </cfRule>
    <cfRule type="expression" dxfId="2484" priority="36">
      <formula>Q7&lt;0</formula>
    </cfRule>
  </conditionalFormatting>
  <conditionalFormatting sqref="Q8">
    <cfRule type="expression" dxfId="2483" priority="33">
      <formula>Q8&gt;0</formula>
    </cfRule>
    <cfRule type="expression" dxfId="2482" priority="34">
      <formula>Q8&lt;0</formula>
    </cfRule>
  </conditionalFormatting>
  <conditionalFormatting sqref="F44:F46">
    <cfRule type="expression" dxfId="2481" priority="31">
      <formula>F44&gt;0</formula>
    </cfRule>
    <cfRule type="expression" dxfId="2480" priority="32">
      <formula>F44&lt;0</formula>
    </cfRule>
  </conditionalFormatting>
  <conditionalFormatting sqref="H44:H46">
    <cfRule type="expression" dxfId="2479" priority="29">
      <formula>H44&gt;0</formula>
    </cfRule>
    <cfRule type="expression" dxfId="2478" priority="30">
      <formula>H44&lt;0</formula>
    </cfRule>
  </conditionalFormatting>
  <conditionalFormatting sqref="F89:F110">
    <cfRule type="expression" dxfId="2477" priority="27">
      <formula>F89&gt;0</formula>
    </cfRule>
    <cfRule type="expression" dxfId="2476" priority="28">
      <formula>F89&lt;0</formula>
    </cfRule>
  </conditionalFormatting>
  <conditionalFormatting sqref="H89:H110">
    <cfRule type="expression" dxfId="2475" priority="25">
      <formula>H89&gt;0</formula>
    </cfRule>
    <cfRule type="expression" dxfId="2474" priority="26">
      <formula>H89&lt;0</formula>
    </cfRule>
  </conditionalFormatting>
  <conditionalFormatting sqref="Q10">
    <cfRule type="expression" dxfId="2473" priority="23">
      <formula>Q10&gt;0</formula>
    </cfRule>
    <cfRule type="expression" dxfId="2472" priority="24">
      <formula>Q10&lt;0</formula>
    </cfRule>
  </conditionalFormatting>
  <conditionalFormatting sqref="J25:J38">
    <cfRule type="expression" dxfId="2471" priority="21">
      <formula>J25&gt;0</formula>
    </cfRule>
    <cfRule type="expression" dxfId="2470" priority="22">
      <formula>J25&lt;0</formula>
    </cfRule>
  </conditionalFormatting>
  <conditionalFormatting sqref="K25:K38">
    <cfRule type="expression" dxfId="2469" priority="19">
      <formula>K25&gt;0</formula>
    </cfRule>
    <cfRule type="expression" dxfId="2468" priority="20">
      <formula>K25&lt;0</formula>
    </cfRule>
  </conditionalFormatting>
  <conditionalFormatting sqref="L25:L38">
    <cfRule type="expression" dxfId="2467" priority="17">
      <formula>L25&gt;0</formula>
    </cfRule>
    <cfRule type="expression" dxfId="2466" priority="18">
      <formula>L25&lt;0</formula>
    </cfRule>
  </conditionalFormatting>
  <conditionalFormatting sqref="J40">
    <cfRule type="expression" dxfId="2465" priority="15">
      <formula>J40&gt;0</formula>
    </cfRule>
    <cfRule type="expression" dxfId="2464" priority="16">
      <formula>J40&lt;0</formula>
    </cfRule>
  </conditionalFormatting>
  <conditionalFormatting sqref="L39">
    <cfRule type="expression" dxfId="2463" priority="11">
      <formula>L39&gt;0</formula>
    </cfRule>
    <cfRule type="expression" dxfId="2462" priority="12">
      <formula>L39&lt;0</formula>
    </cfRule>
  </conditionalFormatting>
  <conditionalFormatting sqref="F39">
    <cfRule type="expression" dxfId="2461" priority="9">
      <formula>F39&gt;0</formula>
    </cfRule>
    <cfRule type="expression" dxfId="2460" priority="10">
      <formula>F39&lt;0</formula>
    </cfRule>
  </conditionalFormatting>
  <conditionalFormatting sqref="H39">
    <cfRule type="expression" dxfId="2459" priority="7">
      <formula>H39&gt;0</formula>
    </cfRule>
    <cfRule type="expression" dxfId="2458" priority="8">
      <formula>H39&lt;0</formula>
    </cfRule>
  </conditionalFormatting>
  <conditionalFormatting sqref="J41">
    <cfRule type="expression" dxfId="2457" priority="5">
      <formula>J41&gt;0</formula>
    </cfRule>
    <cfRule type="expression" dxfId="2456" priority="6">
      <formula>J41&lt;0</formula>
    </cfRule>
  </conditionalFormatting>
  <conditionalFormatting sqref="J43">
    <cfRule type="expression" dxfId="2455" priority="3">
      <formula>J43&gt;0</formula>
    </cfRule>
    <cfRule type="expression" dxfId="2454" priority="4">
      <formula>J43&lt;0</formula>
    </cfRule>
  </conditionalFormatting>
  <conditionalFormatting sqref="J44">
    <cfRule type="expression" dxfId="2453" priority="1">
      <formula>J44&gt;0</formula>
    </cfRule>
    <cfRule type="expression" dxfId="245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37.4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206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206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6" t="s">
        <v>78</v>
      </c>
      <c r="Q39" s="856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41.14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40.765999999999998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40.392000000000003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40.018000000000001</v>
      </c>
      <c r="R43" s="81"/>
      <c r="T43" s="85" t="s">
        <v>100</v>
      </c>
      <c r="U43" s="127" t="s">
        <v>521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39.643999999999998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39.270000000000003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38.896000000000001</v>
      </c>
      <c r="R46" s="81"/>
      <c r="T46" s="85" t="s">
        <v>121</v>
      </c>
      <c r="U46" s="223" t="s">
        <v>417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38.521999999999998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38.147999999999996</v>
      </c>
      <c r="R48" s="81"/>
      <c r="T48" s="85" t="s">
        <v>104</v>
      </c>
      <c r="U48" s="127" t="s">
        <v>567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37.774000000000001</v>
      </c>
      <c r="R49" s="81"/>
      <c r="T49" s="85" t="s">
        <v>105</v>
      </c>
      <c r="U49" s="127" t="s">
        <v>325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37.025999999999996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36.652000000000001</v>
      </c>
      <c r="R52" s="81"/>
      <c r="T52" s="85" t="s">
        <v>107</v>
      </c>
      <c r="U52" s="127" t="s">
        <v>568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36.277999999999999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35.903999999999996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35.529999999999994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35.155999999999999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34.782000000000004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34.408000000000001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34.033999999999999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33.659999999999997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51" priority="31">
      <formula>F29&gt;0</formula>
    </cfRule>
    <cfRule type="expression" dxfId="2450" priority="32">
      <formula>F29&lt;0</formula>
    </cfRule>
  </conditionalFormatting>
  <conditionalFormatting sqref="F29 F31:F35">
    <cfRule type="expression" dxfId="2449" priority="33">
      <formula>F29&gt;0</formula>
    </cfRule>
    <cfRule type="expression" dxfId="2448" priority="34">
      <formula>F29&lt;0</formula>
    </cfRule>
  </conditionalFormatting>
  <conditionalFormatting sqref="H29 H31:H35">
    <cfRule type="expression" dxfId="2447" priority="29">
      <formula>H29&gt;0</formula>
    </cfRule>
    <cfRule type="expression" dxfId="2446" priority="30">
      <formula>H29&lt;0</formula>
    </cfRule>
  </conditionalFormatting>
  <conditionalFormatting sqref="F21:F28">
    <cfRule type="expression" dxfId="2445" priority="27">
      <formula>F21&gt;0</formula>
    </cfRule>
    <cfRule type="expression" dxfId="2444" priority="28">
      <formula>F21&lt;0</formula>
    </cfRule>
  </conditionalFormatting>
  <conditionalFormatting sqref="H21:H28">
    <cfRule type="expression" dxfId="2443" priority="25">
      <formula>H21&gt;0</formula>
    </cfRule>
    <cfRule type="expression" dxfId="2442" priority="26">
      <formula>H21&lt;0</formula>
    </cfRule>
  </conditionalFormatting>
  <conditionalFormatting sqref="Q8">
    <cfRule type="expression" dxfId="2441" priority="21">
      <formula>Q8&gt;0</formula>
    </cfRule>
    <cfRule type="expression" dxfId="2440" priority="22">
      <formula>Q8&lt;0</formula>
    </cfRule>
  </conditionalFormatting>
  <conditionalFormatting sqref="Q7">
    <cfRule type="expression" dxfId="2439" priority="23">
      <formula>Q7&gt;0</formula>
    </cfRule>
    <cfRule type="expression" dxfId="2438" priority="24">
      <formula>Q7&lt;0</formula>
    </cfRule>
  </conditionalFormatting>
  <conditionalFormatting sqref="F30">
    <cfRule type="expression" dxfId="2437" priority="19">
      <formula>F30&gt;0</formula>
    </cfRule>
    <cfRule type="expression" dxfId="2436" priority="20">
      <formula>F30&lt;0</formula>
    </cfRule>
  </conditionalFormatting>
  <conditionalFormatting sqref="H30">
    <cfRule type="expression" dxfId="2435" priority="17">
      <formula>H30&gt;0</formula>
    </cfRule>
    <cfRule type="expression" dxfId="2434" priority="18">
      <formula>H30&lt;0</formula>
    </cfRule>
  </conditionalFormatting>
  <conditionalFormatting sqref="F68 F70:F74">
    <cfRule type="expression" dxfId="2433" priority="13">
      <formula>F68&gt;0</formula>
    </cfRule>
    <cfRule type="expression" dxfId="2432" priority="14">
      <formula>F68&lt;0</formula>
    </cfRule>
  </conditionalFormatting>
  <conditionalFormatting sqref="F68 F70:F74">
    <cfRule type="expression" dxfId="2431" priority="15">
      <formula>F68&gt;0</formula>
    </cfRule>
    <cfRule type="expression" dxfId="2430" priority="16">
      <formula>F68&lt;0</formula>
    </cfRule>
  </conditionalFormatting>
  <conditionalFormatting sqref="H68 H70:H74">
    <cfRule type="expression" dxfId="2429" priority="11">
      <formula>H68&gt;0</formula>
    </cfRule>
    <cfRule type="expression" dxfId="2428" priority="12">
      <formula>H68&lt;0</formula>
    </cfRule>
  </conditionalFormatting>
  <conditionalFormatting sqref="F60:F67">
    <cfRule type="expression" dxfId="2427" priority="9">
      <formula>F60&gt;0</formula>
    </cfRule>
    <cfRule type="expression" dxfId="2426" priority="10">
      <formula>F60&lt;0</formula>
    </cfRule>
  </conditionalFormatting>
  <conditionalFormatting sqref="H60:H67">
    <cfRule type="expression" dxfId="2425" priority="7">
      <formula>H60&gt;0</formula>
    </cfRule>
    <cfRule type="expression" dxfId="2424" priority="8">
      <formula>H60&lt;0</formula>
    </cfRule>
  </conditionalFormatting>
  <conditionalFormatting sqref="F69">
    <cfRule type="expression" dxfId="2423" priority="5">
      <formula>F69&gt;0</formula>
    </cfRule>
    <cfRule type="expression" dxfId="2422" priority="6">
      <formula>F69&lt;0</formula>
    </cfRule>
  </conditionalFormatting>
  <conditionalFormatting sqref="H69">
    <cfRule type="expression" dxfId="2421" priority="3">
      <formula>H69&gt;0</formula>
    </cfRule>
    <cfRule type="expression" dxfId="2420" priority="4">
      <formula>H69&lt;0</formula>
    </cfRule>
  </conditionalFormatting>
  <conditionalFormatting sqref="Q10">
    <cfRule type="expression" dxfId="2419" priority="1">
      <formula>Q10&gt;0</formula>
    </cfRule>
    <cfRule type="expression" dxfId="241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206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282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6" t="s">
        <v>78</v>
      </c>
      <c r="P40" s="85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49.500000000000007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49.050000000000004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48.150000000000006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47.7</v>
      </c>
      <c r="Q45" s="2"/>
      <c r="T45" s="91" t="s">
        <v>99</v>
      </c>
      <c r="U45" s="127" t="s">
        <v>569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264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47.25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46.800000000000004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46.35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45.9</v>
      </c>
      <c r="Q49" s="2"/>
      <c r="T49" s="91" t="s">
        <v>121</v>
      </c>
      <c r="U49" s="127" t="s">
        <v>418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45.45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</v>
      </c>
      <c r="Q51" s="2"/>
      <c r="T51" s="91" t="s">
        <v>104</v>
      </c>
      <c r="U51" s="127" t="s">
        <v>570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44.55</v>
      </c>
      <c r="Q52" s="2"/>
      <c r="T52" s="91" t="s">
        <v>105</v>
      </c>
      <c r="U52" s="127" t="s">
        <v>526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43.65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43.199999999999996</v>
      </c>
      <c r="T55" s="91" t="s">
        <v>107</v>
      </c>
      <c r="U55" s="127" t="s">
        <v>571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42.75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42.3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41.85</v>
      </c>
      <c r="T58" s="91" t="s">
        <v>108</v>
      </c>
      <c r="U58" s="127" t="s">
        <v>527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40.950000000000003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17" priority="11">
      <formula>F33&gt;0</formula>
    </cfRule>
    <cfRule type="expression" dxfId="2416" priority="12">
      <formula>F33&lt;0</formula>
    </cfRule>
  </conditionalFormatting>
  <conditionalFormatting sqref="Q7">
    <cfRule type="expression" dxfId="2415" priority="9">
      <formula>Q7&gt;0</formula>
    </cfRule>
    <cfRule type="expression" dxfId="2414" priority="10">
      <formula>Q7&lt;0</formula>
    </cfRule>
  </conditionalFormatting>
  <conditionalFormatting sqref="Q8">
    <cfRule type="expression" dxfId="2413" priority="7">
      <formula>Q8&gt;0</formula>
    </cfRule>
    <cfRule type="expression" dxfId="2412" priority="8">
      <formula>Q8&lt;0</formula>
    </cfRule>
  </conditionalFormatting>
  <conditionalFormatting sqref="F25:F32">
    <cfRule type="expression" dxfId="2411" priority="5">
      <formula>F25&gt;0</formula>
    </cfRule>
    <cfRule type="expression" dxfId="2410" priority="6">
      <formula>F25&lt;0</formula>
    </cfRule>
  </conditionalFormatting>
  <conditionalFormatting sqref="H25:H32">
    <cfRule type="expression" dxfId="2409" priority="3">
      <formula>H25&gt;0</formula>
    </cfRule>
    <cfRule type="expression" dxfId="2408" priority="4">
      <formula>H25&lt;0</formula>
    </cfRule>
  </conditionalFormatting>
  <conditionalFormatting sqref="Q10">
    <cfRule type="expression" dxfId="2407" priority="1">
      <formula>Q10&gt;0</formula>
    </cfRule>
    <cfRule type="expression" dxfId="240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323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448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9.4700000000000006</v>
      </c>
      <c r="T3" s="567" t="s">
        <v>471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9.4700000000000006</v>
      </c>
      <c r="R4" s="475">
        <v>-1.9599999999999999E-2</v>
      </c>
      <c r="T4" s="156" t="s">
        <v>472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473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830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207</v>
      </c>
      <c r="Q9" s="222">
        <f>IF(Q2=0, 0, Q8/Q6)</f>
        <v>0</v>
      </c>
      <c r="T9" s="29">
        <v>43103</v>
      </c>
      <c r="U9" t="s">
        <v>822</v>
      </c>
      <c r="AA9" s="2"/>
      <c r="AD9" s="2"/>
      <c r="AG9" s="2"/>
      <c r="AI9" s="2"/>
    </row>
    <row r="10" spans="1:39" x14ac:dyDescent="0.25">
      <c r="A10" t="s">
        <v>774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206</v>
      </c>
      <c r="P10" s="33"/>
      <c r="Q10" s="2">
        <f>M58</f>
        <v>1283.4199999999946</v>
      </c>
      <c r="U10" t="s">
        <v>823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824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965</v>
      </c>
      <c r="Q13">
        <f>Q4/0.32</f>
        <v>29.59375</v>
      </c>
      <c r="U13" t="s">
        <v>831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6" t="s">
        <v>78</v>
      </c>
      <c r="P15" s="856"/>
      <c r="T15" s="1">
        <v>43114</v>
      </c>
      <c r="U15" t="s">
        <v>862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10.890499999999999</v>
      </c>
      <c r="U16" s="475" t="s">
        <v>863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10.7958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10.7011</v>
      </c>
      <c r="T18" s="1">
        <v>43140</v>
      </c>
      <c r="U18" t="s">
        <v>917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10.606400000000002</v>
      </c>
      <c r="X19" s="134"/>
    </row>
    <row r="20" spans="1:39" x14ac:dyDescent="0.25">
      <c r="O20" s="81">
        <v>1.1100000000000001</v>
      </c>
      <c r="P20" s="81">
        <f t="shared" si="3"/>
        <v>10.511700000000001</v>
      </c>
      <c r="T20" s="1">
        <v>43152</v>
      </c>
      <c r="U20" t="s">
        <v>921</v>
      </c>
      <c r="X20" s="134"/>
    </row>
    <row r="21" spans="1:39" x14ac:dyDescent="0.25">
      <c r="O21" s="81">
        <v>1.1000000000000001</v>
      </c>
      <c r="P21" s="81">
        <f t="shared" si="3"/>
        <v>10.417000000000002</v>
      </c>
      <c r="X21" s="134"/>
    </row>
    <row r="22" spans="1:39" x14ac:dyDescent="0.25">
      <c r="O22" s="81">
        <v>1.0900000000000001</v>
      </c>
      <c r="P22" s="81">
        <f t="shared" si="3"/>
        <v>10.322300000000002</v>
      </c>
      <c r="T22" s="1">
        <v>43160</v>
      </c>
      <c r="U22" t="s">
        <v>869</v>
      </c>
      <c r="X22" s="134"/>
    </row>
    <row r="23" spans="1:39" x14ac:dyDescent="0.25">
      <c r="O23" s="81">
        <v>1.08</v>
      </c>
      <c r="P23" s="81">
        <f t="shared" si="3"/>
        <v>10.227600000000001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O24" s="81">
        <v>1.07</v>
      </c>
      <c r="P24" s="81">
        <f t="shared" si="3"/>
        <v>10.132900000000001</v>
      </c>
      <c r="T24" s="1">
        <v>43191</v>
      </c>
      <c r="U24" t="s">
        <v>985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10.038200000000002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9.9435000000000002</v>
      </c>
      <c r="T26" s="1">
        <v>43237</v>
      </c>
      <c r="U26" t="s">
        <v>1081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9.8488000000000007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9.7541000000000011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9.6594000000000015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9.5647000000000002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9.4700000000000006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9.3753000000000011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9.2805999999999997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9.1859000000000002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9.0912000000000006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8.9965000000000011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8.9017999999999997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900</v>
      </c>
      <c r="J38" s="39">
        <v>880</v>
      </c>
      <c r="K38" s="39"/>
      <c r="L38" s="4"/>
      <c r="O38" s="81">
        <v>0.93</v>
      </c>
      <c r="P38" s="81">
        <f t="shared" si="7"/>
        <v>8.8071000000000019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8.7124000000000006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8.617700000000001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8.5230000000000015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901</v>
      </c>
      <c r="J42" s="39">
        <v>736</v>
      </c>
      <c r="K42" s="39"/>
      <c r="L42" s="4"/>
      <c r="O42" s="81">
        <v>0.89</v>
      </c>
      <c r="P42" s="81">
        <f>O42*$Q$4</f>
        <v>8.4283000000000001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8.3336000000000006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8.238900000000001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478</v>
      </c>
      <c r="T47" s="567" t="s">
        <v>471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482</v>
      </c>
      <c r="T48" s="22" t="s">
        <v>481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483</v>
      </c>
      <c r="T49" s="22" t="s">
        <v>484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485</v>
      </c>
      <c r="T50" s="22" t="s">
        <v>486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489</v>
      </c>
      <c r="T53" s="22" t="s">
        <v>479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488</v>
      </c>
      <c r="T54" s="22" t="s">
        <v>480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487</v>
      </c>
      <c r="T55" s="22" t="s">
        <v>490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279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662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334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328</v>
      </c>
      <c r="J103" s="39"/>
      <c r="K103" s="39"/>
    </row>
    <row r="104" spans="1:11" x14ac:dyDescent="0.25">
      <c r="A104" t="s">
        <v>334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364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374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382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402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334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334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430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05" priority="75">
      <formula>F32&gt;0</formula>
    </cfRule>
    <cfRule type="expression" dxfId="2404" priority="76">
      <formula>F32&lt;0</formula>
    </cfRule>
  </conditionalFormatting>
  <conditionalFormatting sqref="Q7">
    <cfRule type="expression" dxfId="2403" priority="73">
      <formula>Q7&gt;0</formula>
    </cfRule>
    <cfRule type="expression" dxfId="2402" priority="74">
      <formula>Q7&lt;0</formula>
    </cfRule>
  </conditionalFormatting>
  <conditionalFormatting sqref="Q8">
    <cfRule type="expression" dxfId="2401" priority="71">
      <formula>Q8&gt;0</formula>
    </cfRule>
    <cfRule type="expression" dxfId="240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99" priority="63">
      <formula>M58&gt;0</formula>
    </cfRule>
    <cfRule type="expression" dxfId="2398" priority="64">
      <formula>M58&lt;0</formula>
    </cfRule>
  </conditionalFormatting>
  <conditionalFormatting sqref="Q10">
    <cfRule type="expression" dxfId="2397" priority="61">
      <formula>Q10&gt;0</formula>
    </cfRule>
    <cfRule type="expression" dxfId="2396" priority="62">
      <formula>Q10&lt;0</formula>
    </cfRule>
  </conditionalFormatting>
  <conditionalFormatting sqref="F29:F31">
    <cfRule type="expression" dxfId="2395" priority="59">
      <formula>F29&gt;0</formula>
    </cfRule>
    <cfRule type="expression" dxfId="2394" priority="60">
      <formula>F29&lt;0</formula>
    </cfRule>
  </conditionalFormatting>
  <conditionalFormatting sqref="H29:H31">
    <cfRule type="expression" dxfId="2393" priority="57">
      <formula>H29&gt;0</formula>
    </cfRule>
    <cfRule type="expression" dxfId="2392" priority="58">
      <formula>H29&lt;0</formula>
    </cfRule>
  </conditionalFormatting>
  <conditionalFormatting sqref="F83:F94">
    <cfRule type="expression" dxfId="2391" priority="55">
      <formula>F83&gt;0</formula>
    </cfRule>
    <cfRule type="expression" dxfId="2390" priority="56">
      <formula>F83&lt;0</formula>
    </cfRule>
  </conditionalFormatting>
  <conditionalFormatting sqref="H83:H94">
    <cfRule type="expression" dxfId="2389" priority="53">
      <formula>H83&gt;0</formula>
    </cfRule>
    <cfRule type="expression" dxfId="2388" priority="54">
      <formula>H83&lt;0</formula>
    </cfRule>
  </conditionalFormatting>
  <conditionalFormatting sqref="J41">
    <cfRule type="expression" dxfId="2387" priority="51">
      <formula>J41&gt;0</formula>
    </cfRule>
    <cfRule type="expression" dxfId="2386" priority="52">
      <formula>J41&lt;0</formula>
    </cfRule>
  </conditionalFormatting>
  <conditionalFormatting sqref="J39:J47">
    <cfRule type="expression" dxfId="2385" priority="49">
      <formula>J39&gt;0</formula>
    </cfRule>
    <cfRule type="expression" dxfId="2384" priority="50">
      <formula>J39&lt;0</formula>
    </cfRule>
  </conditionalFormatting>
  <conditionalFormatting sqref="F48:F51 H48:H51">
    <cfRule type="expression" dxfId="2383" priority="47">
      <formula>F48&gt;0</formula>
    </cfRule>
    <cfRule type="expression" dxfId="2382" priority="48">
      <formula>F48&lt;0</formula>
    </cfRule>
  </conditionalFormatting>
  <conditionalFormatting sqref="J48:J57">
    <cfRule type="expression" dxfId="2381" priority="45">
      <formula>J48&gt;0</formula>
    </cfRule>
    <cfRule type="expression" dxfId="2380" priority="46">
      <formula>J48&lt;0</formula>
    </cfRule>
  </conditionalFormatting>
  <conditionalFormatting sqref="K45:K52">
    <cfRule type="expression" dxfId="2379" priority="43">
      <formula>K45&gt;0</formula>
    </cfRule>
    <cfRule type="expression" dxfId="2378" priority="44">
      <formula>K45&lt;0</formula>
    </cfRule>
  </conditionalFormatting>
  <conditionalFormatting sqref="K45:K52">
    <cfRule type="expression" dxfId="2377" priority="41">
      <formula>K45&gt;0</formula>
    </cfRule>
    <cfRule type="expression" dxfId="2376" priority="42">
      <formula>K45&lt;0</formula>
    </cfRule>
  </conditionalFormatting>
  <conditionalFormatting sqref="F102:F118 H102:H118 H120:H128 F120:F128">
    <cfRule type="expression" dxfId="2375" priority="37">
      <formula>F102&gt;0</formula>
    </cfRule>
    <cfRule type="expression" dxfId="2374" priority="38">
      <formula>F102&lt;0</formula>
    </cfRule>
  </conditionalFormatting>
  <conditionalFormatting sqref="F96:F101">
    <cfRule type="expression" dxfId="2373" priority="35">
      <formula>F96&gt;0</formula>
    </cfRule>
    <cfRule type="expression" dxfId="2372" priority="36">
      <formula>F96&lt;0</formula>
    </cfRule>
  </conditionalFormatting>
  <conditionalFormatting sqref="H96:H101">
    <cfRule type="expression" dxfId="2371" priority="33">
      <formula>H96&gt;0</formula>
    </cfRule>
    <cfRule type="expression" dxfId="2370" priority="34">
      <formula>H96&lt;0</formula>
    </cfRule>
  </conditionalFormatting>
  <conditionalFormatting sqref="J112">
    <cfRule type="expression" dxfId="2369" priority="31">
      <formula>J112&gt;0</formula>
    </cfRule>
    <cfRule type="expression" dxfId="2368" priority="32">
      <formula>J112&lt;0</formula>
    </cfRule>
  </conditionalFormatting>
  <conditionalFormatting sqref="J110:J118 J120">
    <cfRule type="expression" dxfId="2367" priority="29">
      <formula>J110&gt;0</formula>
    </cfRule>
    <cfRule type="expression" dxfId="2366" priority="30">
      <formula>J110&lt;0</formula>
    </cfRule>
  </conditionalFormatting>
  <conditionalFormatting sqref="F119 H119">
    <cfRule type="expression" dxfId="2365" priority="27">
      <formula>F119&gt;0</formula>
    </cfRule>
    <cfRule type="expression" dxfId="2364" priority="28">
      <formula>F119&lt;0</formula>
    </cfRule>
  </conditionalFormatting>
  <conditionalFormatting sqref="J119">
    <cfRule type="expression" dxfId="2363" priority="25">
      <formula>J119&gt;0</formula>
    </cfRule>
    <cfRule type="expression" dxfId="2362" priority="26">
      <formula>J119&lt;0</formula>
    </cfRule>
  </conditionalFormatting>
  <conditionalFormatting sqref="K112:K123">
    <cfRule type="expression" dxfId="2361" priority="23">
      <formula>K112&gt;0</formula>
    </cfRule>
    <cfRule type="expression" dxfId="2360" priority="24">
      <formula>K112&lt;0</formula>
    </cfRule>
  </conditionalFormatting>
  <conditionalFormatting sqref="K110:K123">
    <cfRule type="expression" dxfId="2359" priority="21">
      <formula>K110&gt;0</formula>
    </cfRule>
    <cfRule type="expression" dxfId="2358" priority="22">
      <formula>K110&lt;0</formula>
    </cfRule>
  </conditionalFormatting>
  <conditionalFormatting sqref="J121">
    <cfRule type="expression" dxfId="2357" priority="19">
      <formula>J121&gt;0</formula>
    </cfRule>
    <cfRule type="expression" dxfId="2356" priority="20">
      <formula>J121&lt;0</formula>
    </cfRule>
  </conditionalFormatting>
  <conditionalFormatting sqref="F25:F28">
    <cfRule type="expression" dxfId="2355" priority="17">
      <formula>F25&gt;0</formula>
    </cfRule>
    <cfRule type="expression" dxfId="2354" priority="18">
      <formula>F25&lt;0</formula>
    </cfRule>
  </conditionalFormatting>
  <conditionalFormatting sqref="H25:H28">
    <cfRule type="expression" dxfId="2353" priority="15">
      <formula>H25&gt;0</formula>
    </cfRule>
    <cfRule type="expression" dxfId="2352" priority="16">
      <formula>H25&lt;0</formula>
    </cfRule>
  </conditionalFormatting>
  <conditionalFormatting sqref="J27:J29">
    <cfRule type="expression" dxfId="2351" priority="13">
      <formula>J27&gt;0</formula>
    </cfRule>
    <cfRule type="expression" dxfId="2350" priority="14">
      <formula>J27&lt;0</formula>
    </cfRule>
  </conditionalFormatting>
  <conditionalFormatting sqref="J30:J31">
    <cfRule type="expression" dxfId="2349" priority="11">
      <formula>J30&gt;0</formula>
    </cfRule>
    <cfRule type="expression" dxfId="2348" priority="12">
      <formula>J30&lt;0</formula>
    </cfRule>
  </conditionalFormatting>
  <conditionalFormatting sqref="J33">
    <cfRule type="expression" dxfId="2347" priority="9">
      <formula>J33&gt;0</formula>
    </cfRule>
    <cfRule type="expression" dxfId="2346" priority="10">
      <formula>J33&lt;0</formula>
    </cfRule>
  </conditionalFormatting>
  <conditionalFormatting sqref="J34">
    <cfRule type="expression" dxfId="2345" priority="7">
      <formula>J34&gt;0</formula>
    </cfRule>
    <cfRule type="expression" dxfId="2344" priority="8">
      <formula>J34&lt;0</formula>
    </cfRule>
  </conditionalFormatting>
  <conditionalFormatting sqref="J35:J43">
    <cfRule type="expression" dxfId="2343" priority="5">
      <formula>J35&gt;0</formula>
    </cfRule>
    <cfRule type="expression" dxfId="234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41" priority="1">
      <formula>Q9&gt;0</formula>
    </cfRule>
    <cfRule type="expression" dxfId="234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58.16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58.16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6" t="s">
        <v>78</v>
      </c>
      <c r="P40" s="856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63.975999999999999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63.394399999999997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62.812800000000003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62.231200000000001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61.6496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61.067999999999998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60.486399999999996</v>
      </c>
      <c r="Q47" s="2"/>
    </row>
    <row r="48" spans="2:17" x14ac:dyDescent="0.25">
      <c r="O48" s="81">
        <v>1.03</v>
      </c>
      <c r="P48" s="81">
        <f t="shared" si="4"/>
        <v>59.904799999999994</v>
      </c>
      <c r="Q48" s="2"/>
    </row>
    <row r="49" spans="1:17" x14ac:dyDescent="0.25">
      <c r="O49" s="81">
        <v>1.02</v>
      </c>
      <c r="P49" s="81">
        <f t="shared" si="4"/>
        <v>59.3232</v>
      </c>
      <c r="Q49" s="2"/>
    </row>
    <row r="50" spans="1:17" x14ac:dyDescent="0.25">
      <c r="O50" s="81">
        <v>1.01</v>
      </c>
      <c r="P50" s="81">
        <f t="shared" si="4"/>
        <v>58.741599999999998</v>
      </c>
      <c r="Q50" s="2"/>
    </row>
    <row r="51" spans="1:17" x14ac:dyDescent="0.25">
      <c r="O51" s="81">
        <v>1</v>
      </c>
      <c r="P51" s="81">
        <f t="shared" si="4"/>
        <v>58.16</v>
      </c>
      <c r="Q51" s="2"/>
    </row>
    <row r="52" spans="1:17" x14ac:dyDescent="0.25">
      <c r="O52" s="81">
        <v>0.99</v>
      </c>
      <c r="P52" s="81">
        <f t="shared" si="4"/>
        <v>57.578399999999995</v>
      </c>
      <c r="Q52" s="2"/>
    </row>
    <row r="53" spans="1:17" x14ac:dyDescent="0.25">
      <c r="O53" s="81">
        <v>0.98</v>
      </c>
      <c r="P53" s="81">
        <f t="shared" si="4"/>
        <v>56.996799999999993</v>
      </c>
      <c r="Q53" s="2"/>
    </row>
    <row r="54" spans="1:17" x14ac:dyDescent="0.25">
      <c r="O54" s="81">
        <v>0.97</v>
      </c>
      <c r="P54" s="81">
        <f t="shared" si="4"/>
        <v>56.415199999999999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55.833599999999997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55.251999999999995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54.670399999999994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54.088799999999999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53.507199999999997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52.925599999999996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52.344000000000001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39" priority="15">
      <formula>F39&gt;0</formula>
    </cfRule>
    <cfRule type="expression" dxfId="2338" priority="16">
      <formula>F39&lt;0</formula>
    </cfRule>
  </conditionalFormatting>
  <conditionalFormatting sqref="Q7">
    <cfRule type="expression" dxfId="2337" priority="13">
      <formula>Q7&gt;0</formula>
    </cfRule>
    <cfRule type="expression" dxfId="2336" priority="14">
      <formula>Q7&lt;0</formula>
    </cfRule>
  </conditionalFormatting>
  <conditionalFormatting sqref="Q8">
    <cfRule type="expression" dxfId="2335" priority="11">
      <formula>Q8&gt;0</formula>
    </cfRule>
    <cfRule type="expression" dxfId="2334" priority="12">
      <formula>Q8&lt;0</formula>
    </cfRule>
  </conditionalFormatting>
  <conditionalFormatting sqref="F25:F38">
    <cfRule type="expression" dxfId="2333" priority="9">
      <formula>F25&gt;0</formula>
    </cfRule>
    <cfRule type="expression" dxfId="2332" priority="10">
      <formula>F25&lt;0</formula>
    </cfRule>
  </conditionalFormatting>
  <conditionalFormatting sqref="H25:H38">
    <cfRule type="expression" dxfId="2331" priority="7">
      <formula>H25&gt;0</formula>
    </cfRule>
    <cfRule type="expression" dxfId="2330" priority="8">
      <formula>H25&lt;0</formula>
    </cfRule>
  </conditionalFormatting>
  <conditionalFormatting sqref="M55">
    <cfRule type="expression" dxfId="2329" priority="3">
      <formula>M55&gt;0</formula>
    </cfRule>
    <cfRule type="expression" dxfId="2328" priority="4">
      <formula>M55&lt;0</formula>
    </cfRule>
  </conditionalFormatting>
  <conditionalFormatting sqref="Q10">
    <cfRule type="expression" dxfId="2327" priority="1">
      <formula>Q10&gt;0</formula>
    </cfRule>
    <cfRule type="expression" dxfId="232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41.24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41.24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207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206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342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6" t="s">
        <v>78</v>
      </c>
      <c r="P40" s="85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45.364000000000004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44.951600000000006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311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44.539200000000008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44.126800000000003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43.714400000000005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43.302000000000007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42.889600000000002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42.477200000000003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42.064800000000005</v>
      </c>
      <c r="Q49" s="2"/>
      <c r="T49" s="91" t="s">
        <v>103</v>
      </c>
      <c r="U49" s="127" t="s">
        <v>572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41.6524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41.24</v>
      </c>
      <c r="Q51" s="2"/>
      <c r="T51" s="91" t="s">
        <v>104</v>
      </c>
      <c r="U51" s="127" t="s">
        <v>573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40.827600000000004</v>
      </c>
      <c r="Q52" s="2"/>
      <c r="T52" s="91" t="s">
        <v>105</v>
      </c>
      <c r="U52" s="127" t="s">
        <v>312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40.415199999999999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40.002800000000001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39.590400000000002</v>
      </c>
      <c r="T55" s="91" t="s">
        <v>107</v>
      </c>
      <c r="U55" s="127" t="s">
        <v>574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39.177999999999997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38.765599999999999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38.353200000000001</v>
      </c>
      <c r="T58" s="91" t="s">
        <v>108</v>
      </c>
      <c r="U58" s="127" t="s">
        <v>502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37.940800000000003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37.528400000000005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37.116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25" priority="27">
      <formula>F27&gt;0</formula>
    </cfRule>
    <cfRule type="expression" dxfId="232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323" priority="15">
      <formula>Q8&gt;0</formula>
    </cfRule>
    <cfRule type="expression" dxfId="2322" priority="16">
      <formula>Q8&lt;0</formula>
    </cfRule>
  </conditionalFormatting>
  <conditionalFormatting sqref="Q7">
    <cfRule type="expression" dxfId="2321" priority="17">
      <formula>Q7&gt;0</formula>
    </cfRule>
    <cfRule type="expression" dxfId="2320" priority="18">
      <formula>Q7&lt;0</formula>
    </cfRule>
  </conditionalFormatting>
  <conditionalFormatting sqref="F37:F38">
    <cfRule type="expression" dxfId="2319" priority="13">
      <formula>F37&gt;0</formula>
    </cfRule>
    <cfRule type="expression" dxfId="2318" priority="14">
      <formula>F37&lt;0</formula>
    </cfRule>
  </conditionalFormatting>
  <conditionalFormatting sqref="H37:H38">
    <cfRule type="expression" dxfId="2317" priority="11">
      <formula>H37&gt;0</formula>
    </cfRule>
    <cfRule type="expression" dxfId="2316" priority="12">
      <formula>H37&lt;0</formula>
    </cfRule>
  </conditionalFormatting>
  <conditionalFormatting sqref="F23:F26 H23:H26">
    <cfRule type="expression" dxfId="2315" priority="9">
      <formula>F23&gt;0</formula>
    </cfRule>
    <cfRule type="expression" dxfId="2314" priority="10">
      <formula>F23&lt;0</formula>
    </cfRule>
  </conditionalFormatting>
  <conditionalFormatting sqref="Q10">
    <cfRule type="expression" dxfId="2313" priority="3">
      <formula>Q10&gt;0</formula>
    </cfRule>
    <cfRule type="expression" dxfId="2312" priority="4">
      <formula>Q10&lt;0</formula>
    </cfRule>
  </conditionalFormatting>
  <conditionalFormatting sqref="F22 H22">
    <cfRule type="expression" dxfId="2311" priority="1">
      <formula>F22&gt;0</formula>
    </cfRule>
    <cfRule type="expression" dxfId="2310" priority="2">
      <formula>F22&lt;0</formula>
    </cfRule>
  </conditionalFormatting>
  <conditionalFormatting sqref="M41">
    <cfRule type="expression" dxfId="2309" priority="5">
      <formula>M41&gt;0</formula>
    </cfRule>
    <cfRule type="expression" dxfId="230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58.75</v>
      </c>
      <c r="T3" s="1"/>
      <c r="W3" s="130">
        <v>42830</v>
      </c>
      <c r="X3" s="10" t="s">
        <v>324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58.75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64.625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64.037500000000009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63.45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62.862500000000004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62.275000000000006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61.6875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296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60.512500000000003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59.925000000000004</v>
      </c>
      <c r="Q49" s="2"/>
      <c r="T49" s="91" t="s">
        <v>103</v>
      </c>
      <c r="U49" s="127" t="s">
        <v>474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59.337499999999999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58.75</v>
      </c>
      <c r="Q51" s="2"/>
      <c r="T51" s="91" t="s">
        <v>104</v>
      </c>
      <c r="U51" s="127" t="s">
        <v>575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58.162500000000001</v>
      </c>
      <c r="Q52" s="2"/>
      <c r="T52" s="91" t="s">
        <v>105</v>
      </c>
      <c r="U52" s="127" t="s">
        <v>361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57.574999999999996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56.987499999999997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56.4</v>
      </c>
      <c r="T55" s="91" t="s">
        <v>107</v>
      </c>
      <c r="U55" s="127" t="s">
        <v>576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55.8125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55.224999999999994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54.637500000000003</v>
      </c>
      <c r="T58" s="91" t="s">
        <v>108</v>
      </c>
      <c r="U58" s="127" t="s">
        <v>534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54.050000000000004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53.462499999999999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52.875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331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341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358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358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381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416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432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449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07" priority="29">
      <formula>F25&gt;0</formula>
    </cfRule>
    <cfRule type="expression" dxfId="2306" priority="30">
      <formula>F25&lt;0</formula>
    </cfRule>
  </conditionalFormatting>
  <conditionalFormatting sqref="Q7">
    <cfRule type="expression" dxfId="2305" priority="27">
      <formula>Q7&gt;0</formula>
    </cfRule>
    <cfRule type="expression" dxfId="2304" priority="28">
      <formula>Q7&lt;0</formula>
    </cfRule>
  </conditionalFormatting>
  <conditionalFormatting sqref="Q8">
    <cfRule type="expression" dxfId="2303" priority="25">
      <formula>Q8&gt;0</formula>
    </cfRule>
    <cfRule type="expression" dxfId="2302" priority="26">
      <formula>Q8&lt;0</formula>
    </cfRule>
  </conditionalFormatting>
  <conditionalFormatting sqref="Q10">
    <cfRule type="expression" dxfId="2301" priority="13">
      <formula>Q10&gt;0</formula>
    </cfRule>
    <cfRule type="expression" dxfId="2300" priority="14">
      <formula>Q10&lt;0</formula>
    </cfRule>
  </conditionalFormatting>
  <conditionalFormatting sqref="M46">
    <cfRule type="expression" dxfId="2299" priority="11">
      <formula>M46&gt;0</formula>
    </cfRule>
    <cfRule type="expression" dxfId="2298" priority="12">
      <formula>M46&lt;0</formula>
    </cfRule>
  </conditionalFormatting>
  <conditionalFormatting sqref="F80:F88 H80:H88">
    <cfRule type="expression" dxfId="2297" priority="9">
      <formula>F80&gt;0</formula>
    </cfRule>
    <cfRule type="expression" dxfId="2296" priority="10">
      <formula>F80&lt;0</formula>
    </cfRule>
  </conditionalFormatting>
  <conditionalFormatting sqref="F75:F79">
    <cfRule type="expression" dxfId="2295" priority="7">
      <formula>F75&gt;0</formula>
    </cfRule>
    <cfRule type="expression" dxfId="2294" priority="8">
      <formula>F75&lt;0</formula>
    </cfRule>
  </conditionalFormatting>
  <conditionalFormatting sqref="H75:H79">
    <cfRule type="expression" dxfId="2293" priority="5">
      <formula>H75&gt;0</formula>
    </cfRule>
    <cfRule type="expression" dxfId="2292" priority="6">
      <formula>H75&lt;0</formula>
    </cfRule>
  </conditionalFormatting>
  <conditionalFormatting sqref="F71:F74">
    <cfRule type="expression" dxfId="2291" priority="3">
      <formula>F71&gt;0</formula>
    </cfRule>
    <cfRule type="expression" dxfId="2290" priority="4">
      <formula>F71&lt;0</formula>
    </cfRule>
  </conditionalFormatting>
  <conditionalFormatting sqref="H71:H74">
    <cfRule type="expression" dxfId="2289" priority="1">
      <formula>H71&gt;0</formula>
    </cfRule>
    <cfRule type="expression" dxfId="228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686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30.17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30.17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33.187000000000005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32.885300000000001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32.583600000000004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32.2819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31.980200000000004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31.678500000000003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31.376800000000003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31.075100000000003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30.773400000000002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30.471700000000002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30.17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29.868300000000001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29.566600000000001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29.264900000000001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28.963200000000001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28.6615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28.3598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28.058100000000003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27.756400000000003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27.454700000000003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27.153000000000002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686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87" priority="21">
      <formula>F47&gt;0</formula>
    </cfRule>
    <cfRule type="expression" dxfId="2286" priority="22">
      <formula>F47&lt;0</formula>
    </cfRule>
  </conditionalFormatting>
  <conditionalFormatting sqref="Q7">
    <cfRule type="expression" dxfId="2285" priority="19">
      <formula>Q7&gt;0</formula>
    </cfRule>
    <cfRule type="expression" dxfId="2284" priority="20">
      <formula>Q7&lt;0</formula>
    </cfRule>
  </conditionalFormatting>
  <conditionalFormatting sqref="Q8">
    <cfRule type="expression" dxfId="2283" priority="17">
      <formula>Q8&gt;0</formula>
    </cfRule>
    <cfRule type="expression" dxfId="2282" priority="18">
      <formula>Q8&lt;0</formula>
    </cfRule>
  </conditionalFormatting>
  <conditionalFormatting sqref="F25:F46">
    <cfRule type="expression" dxfId="2281" priority="15">
      <formula>F25&gt;0</formula>
    </cfRule>
    <cfRule type="expression" dxfId="2280" priority="16">
      <formula>F25&lt;0</formula>
    </cfRule>
  </conditionalFormatting>
  <conditionalFormatting sqref="H25:H46">
    <cfRule type="expression" dxfId="2279" priority="13">
      <formula>H25&gt;0</formula>
    </cfRule>
    <cfRule type="expression" dxfId="2278" priority="14">
      <formula>H25&lt;0</formula>
    </cfRule>
  </conditionalFormatting>
  <conditionalFormatting sqref="F89:F110">
    <cfRule type="expression" dxfId="2277" priority="11">
      <formula>F89&gt;0</formula>
    </cfRule>
    <cfRule type="expression" dxfId="2276" priority="12">
      <formula>F89&lt;0</formula>
    </cfRule>
  </conditionalFormatting>
  <conditionalFormatting sqref="H89:H110">
    <cfRule type="expression" dxfId="2275" priority="9">
      <formula>H89&gt;0</formula>
    </cfRule>
    <cfRule type="expression" dxfId="2274" priority="10">
      <formula>H89&lt;0</formula>
    </cfRule>
  </conditionalFormatting>
  <conditionalFormatting sqref="Q10">
    <cfRule type="expression" dxfId="2273" priority="7">
      <formula>Q10&gt;0</formula>
    </cfRule>
    <cfRule type="expression" dxfId="2272" priority="8">
      <formula>Q10&lt;0</formula>
    </cfRule>
  </conditionalFormatting>
  <conditionalFormatting sqref="J25:J38">
    <cfRule type="expression" dxfId="2271" priority="5">
      <formula>J25&gt;0</formula>
    </cfRule>
    <cfRule type="expression" dxfId="2270" priority="6">
      <formula>J25&lt;0</formula>
    </cfRule>
  </conditionalFormatting>
  <conditionalFormatting sqref="K25:K38">
    <cfRule type="expression" dxfId="2269" priority="3">
      <formula>K25&gt;0</formula>
    </cfRule>
    <cfRule type="expression" dxfId="2268" priority="4">
      <formula>K25&lt;0</formula>
    </cfRule>
  </conditionalFormatting>
  <conditionalFormatting sqref="L25:L38">
    <cfRule type="expression" dxfId="2267" priority="1">
      <formula>L25&gt;0</formula>
    </cfRule>
    <cfRule type="expression" dxfId="22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75.260000000000005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75.260000000000005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82.786000000000016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82.033400000000015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81.280800000000013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80.528200000000012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79.775600000000011</v>
      </c>
      <c r="Q45" s="2"/>
      <c r="T45" s="91" t="s">
        <v>99</v>
      </c>
      <c r="U45" s="127" t="s">
        <v>577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79.02300000000001</v>
      </c>
      <c r="Q46" s="2"/>
      <c r="T46" s="91" t="s">
        <v>100</v>
      </c>
      <c r="U46" s="127" t="s">
        <v>578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78.270400000000009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245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77.517800000000008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76.765200000000007</v>
      </c>
      <c r="Q49" s="2"/>
      <c r="T49" s="91" t="s">
        <v>121</v>
      </c>
      <c r="U49" s="127" t="s">
        <v>383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76.012600000000006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75.260000000000005</v>
      </c>
      <c r="Q51" s="2"/>
      <c r="T51" s="91" t="s">
        <v>104</v>
      </c>
      <c r="U51" s="127" t="s">
        <v>579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74.507400000000004</v>
      </c>
      <c r="Q52" s="2"/>
      <c r="T52" s="91" t="s">
        <v>105</v>
      </c>
      <c r="U52" s="127" t="s">
        <v>413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73.754800000000003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73.002200000000002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72.249600000000001</v>
      </c>
      <c r="T55" s="91" t="s">
        <v>107</v>
      </c>
      <c r="U55" s="127" t="s">
        <v>580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71.497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70.744399999999999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69.991800000000012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69.239200000000011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68.48660000000001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67.734000000000009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246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249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65" priority="23">
      <formula>F34&gt;0</formula>
    </cfRule>
    <cfRule type="expression" dxfId="2264" priority="24">
      <formula>F34&lt;0</formula>
    </cfRule>
  </conditionalFormatting>
  <conditionalFormatting sqref="Q7">
    <cfRule type="expression" dxfId="2263" priority="21">
      <formula>Q7&gt;0</formula>
    </cfRule>
    <cfRule type="expression" dxfId="2262" priority="22">
      <formula>Q7&lt;0</formula>
    </cfRule>
  </conditionalFormatting>
  <conditionalFormatting sqref="Q8">
    <cfRule type="expression" dxfId="2261" priority="19">
      <formula>Q8&gt;0</formula>
    </cfRule>
    <cfRule type="expression" dxfId="2260" priority="20">
      <formula>Q8&lt;0</formula>
    </cfRule>
  </conditionalFormatting>
  <conditionalFormatting sqref="F25:F33">
    <cfRule type="expression" dxfId="2259" priority="17">
      <formula>F25&gt;0</formula>
    </cfRule>
    <cfRule type="expression" dxfId="2258" priority="18">
      <formula>F25&lt;0</formula>
    </cfRule>
  </conditionalFormatting>
  <conditionalFormatting sqref="H25:H33">
    <cfRule type="expression" dxfId="2257" priority="15">
      <formula>H25&gt;0</formula>
    </cfRule>
    <cfRule type="expression" dxfId="2256" priority="16">
      <formula>H25&lt;0</formula>
    </cfRule>
  </conditionalFormatting>
  <conditionalFormatting sqref="M46">
    <cfRule type="expression" dxfId="2255" priority="13">
      <formula>M46&gt;0</formula>
    </cfRule>
    <cfRule type="expression" dxfId="2254" priority="14">
      <formula>M46&lt;0</formula>
    </cfRule>
  </conditionalFormatting>
  <conditionalFormatting sqref="F79:F87 H79:H87">
    <cfRule type="expression" dxfId="2253" priority="11">
      <formula>F79&gt;0</formula>
    </cfRule>
    <cfRule type="expression" dxfId="2252" priority="12">
      <formula>F79&lt;0</formula>
    </cfRule>
  </conditionalFormatting>
  <conditionalFormatting sqref="F70:F78">
    <cfRule type="expression" dxfId="2251" priority="9">
      <formula>F70&gt;0</formula>
    </cfRule>
    <cfRule type="expression" dxfId="2250" priority="10">
      <formula>F70&lt;0</formula>
    </cfRule>
  </conditionalFormatting>
  <conditionalFormatting sqref="H70:H78">
    <cfRule type="expression" dxfId="2249" priority="7">
      <formula>H70&gt;0</formula>
    </cfRule>
    <cfRule type="expression" dxfId="2248" priority="8">
      <formula>H70&lt;0</formula>
    </cfRule>
  </conditionalFormatting>
  <conditionalFormatting sqref="J27:K27 J30:K30 J33:K33 J36:K36 J39:K39 J42:K42">
    <cfRule type="expression" dxfId="2247" priority="5">
      <formula>J27&gt;0</formula>
    </cfRule>
    <cfRule type="expression" dxfId="2246" priority="6">
      <formula>J27&lt;0</formula>
    </cfRule>
  </conditionalFormatting>
  <conditionalFormatting sqref="J28:K29 J31:K32 J34:K35 J37:K38 J40:K41">
    <cfRule type="expression" dxfId="2245" priority="3">
      <formula>J28&gt;0</formula>
    </cfRule>
    <cfRule type="expression" dxfId="2244" priority="4">
      <formula>J28&lt;0</formula>
    </cfRule>
  </conditionalFormatting>
  <conditionalFormatting sqref="L27:L42">
    <cfRule type="expression" dxfId="2243" priority="1">
      <formula>L27&gt;0</formula>
    </cfRule>
    <cfRule type="expression" dxfId="224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21.69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21.69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23.859000000000002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23.642100000000003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23.425200000000004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23.208300000000001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22.991400000000002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22.774500000000003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22.557600000000001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22.340700000000002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22.123800000000003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21.9069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21.69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21.473100000000002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21.2562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21.039300000000001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20.822400000000002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20.605499999999999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20.3886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20.171700000000001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19.954800000000002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19.737900000000003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19.521000000000001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665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41" priority="9">
      <formula>F57&gt;0</formula>
    </cfRule>
    <cfRule type="expression" dxfId="2240" priority="10">
      <formula>F57&lt;0</formula>
    </cfRule>
  </conditionalFormatting>
  <conditionalFormatting sqref="Q7">
    <cfRule type="expression" dxfId="2239" priority="7">
      <formula>Q7&gt;0</formula>
    </cfRule>
    <cfRule type="expression" dxfId="2238" priority="8">
      <formula>Q7&lt;0</formula>
    </cfRule>
  </conditionalFormatting>
  <conditionalFormatting sqref="Q8">
    <cfRule type="expression" dxfId="2237" priority="5">
      <formula>Q8&gt;0</formula>
    </cfRule>
    <cfRule type="expression" dxfId="2236" priority="6">
      <formula>Q8&lt;0</formula>
    </cfRule>
  </conditionalFormatting>
  <conditionalFormatting sqref="F25:F56">
    <cfRule type="expression" dxfId="2235" priority="3">
      <formula>F25&gt;0</formula>
    </cfRule>
    <cfRule type="expression" dxfId="2234" priority="4">
      <formula>F25&lt;0</formula>
    </cfRule>
  </conditionalFormatting>
  <conditionalFormatting sqref="H25:H56">
    <cfRule type="expression" dxfId="2233" priority="1">
      <formula>H25&gt;0</formula>
    </cfRule>
    <cfRule type="expression" dxfId="223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1138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53.059899999999999</v>
      </c>
      <c r="R4" s="495">
        <v>-1.2800000000000001E-2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5305.99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187.98999999999978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187.98999999999978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3.6731144978507185E-2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3.3170058744927906E-2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6.1554408352668215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>C26*(E26-D26)</f>
        <v>292.00000000000017</v>
      </c>
      <c r="G26" s="39">
        <f>D26*C26</f>
        <v>5118</v>
      </c>
      <c r="H26" s="222">
        <f>(E26-D26)/D26</f>
        <v>5.705353653771008E-2</v>
      </c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58.36589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57.835291000000005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57.304692000000003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56.774093000000001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56.243493999999998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55.712895000000003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55.182296000000001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54.651696999999999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54.121097999999996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53.590499000000001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53.059899999999999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52.529300999999997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51.998702000000002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51.468102999999999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50.937503999999997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50.406904999999995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49.876306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49.345707000000004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48.815108000000002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48.284509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47.753909999999998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1" priority="35">
      <formula>F47&gt;0</formula>
    </cfRule>
    <cfRule type="expression" dxfId="2230" priority="36">
      <formula>F47&lt;0</formula>
    </cfRule>
  </conditionalFormatting>
  <conditionalFormatting sqref="Q7">
    <cfRule type="expression" dxfId="2229" priority="33">
      <formula>Q7&gt;0</formula>
    </cfRule>
    <cfRule type="expression" dxfId="2228" priority="34">
      <formula>Q7&lt;0</formula>
    </cfRule>
  </conditionalFormatting>
  <conditionalFormatting sqref="Q8">
    <cfRule type="expression" dxfId="2227" priority="31">
      <formula>Q8&gt;0</formula>
    </cfRule>
    <cfRule type="expression" dxfId="2226" priority="32">
      <formula>Q8&lt;0</formula>
    </cfRule>
  </conditionalFormatting>
  <conditionalFormatting sqref="F30:F46">
    <cfRule type="expression" dxfId="2225" priority="29">
      <formula>F30&gt;0</formula>
    </cfRule>
    <cfRule type="expression" dxfId="2224" priority="30">
      <formula>F30&lt;0</formula>
    </cfRule>
  </conditionalFormatting>
  <conditionalFormatting sqref="H30:H46">
    <cfRule type="expression" dxfId="2223" priority="27">
      <formula>H30&gt;0</formula>
    </cfRule>
    <cfRule type="expression" dxfId="2222" priority="28">
      <formula>H30&lt;0</formula>
    </cfRule>
  </conditionalFormatting>
  <conditionalFormatting sqref="Q10">
    <cfRule type="expression" dxfId="2221" priority="25">
      <formula>Q10&gt;0</formula>
    </cfRule>
    <cfRule type="expression" dxfId="2220" priority="26">
      <formula>Q10&lt;0</formula>
    </cfRule>
  </conditionalFormatting>
  <conditionalFormatting sqref="J27:J38">
    <cfRule type="expression" dxfId="2219" priority="23">
      <formula>J27&gt;0</formula>
    </cfRule>
    <cfRule type="expression" dxfId="2218" priority="24">
      <formula>J27&lt;0</formula>
    </cfRule>
  </conditionalFormatting>
  <conditionalFormatting sqref="K27:K38">
    <cfRule type="expression" dxfId="2217" priority="21">
      <formula>K27&gt;0</formula>
    </cfRule>
    <cfRule type="expression" dxfId="2216" priority="22">
      <formula>K27&lt;0</formula>
    </cfRule>
  </conditionalFormatting>
  <conditionalFormatting sqref="L27:L38">
    <cfRule type="expression" dxfId="2215" priority="19">
      <formula>L27&gt;0</formula>
    </cfRule>
    <cfRule type="expression" dxfId="2214" priority="20">
      <formula>L27&lt;0</formula>
    </cfRule>
  </conditionalFormatting>
  <conditionalFormatting sqref="F89:F110">
    <cfRule type="expression" dxfId="2213" priority="17">
      <formula>F89&gt;0</formula>
    </cfRule>
    <cfRule type="expression" dxfId="2212" priority="18">
      <formula>F89&lt;0</formula>
    </cfRule>
  </conditionalFormatting>
  <conditionalFormatting sqref="H89:H110">
    <cfRule type="expression" dxfId="2211" priority="15">
      <formula>H89&gt;0</formula>
    </cfRule>
    <cfRule type="expression" dxfId="2210" priority="16">
      <formula>H89&lt;0</formula>
    </cfRule>
  </conditionalFormatting>
  <conditionalFormatting sqref="J89:J102">
    <cfRule type="expression" dxfId="2209" priority="13">
      <formula>J89&gt;0</formula>
    </cfRule>
    <cfRule type="expression" dxfId="2208" priority="14">
      <formula>J89&lt;0</formula>
    </cfRule>
  </conditionalFormatting>
  <conditionalFormatting sqref="K89:K102">
    <cfRule type="expression" dxfId="2207" priority="11">
      <formula>K89&gt;0</formula>
    </cfRule>
    <cfRule type="expression" dxfId="2206" priority="12">
      <formula>K89&lt;0</formula>
    </cfRule>
  </conditionalFormatting>
  <conditionalFormatting sqref="L89:L102">
    <cfRule type="expression" dxfId="2205" priority="9">
      <formula>L89&gt;0</formula>
    </cfRule>
    <cfRule type="expression" dxfId="2204" priority="10">
      <formula>L89&lt;0</formula>
    </cfRule>
  </conditionalFormatting>
  <conditionalFormatting sqref="F27:F29">
    <cfRule type="expression" dxfId="2203" priority="7">
      <formula>F27&gt;0</formula>
    </cfRule>
    <cfRule type="expression" dxfId="2202" priority="8">
      <formula>F27&lt;0</formula>
    </cfRule>
  </conditionalFormatting>
  <conditionalFormatting sqref="H27:H29">
    <cfRule type="expression" dxfId="2201" priority="5">
      <formula>H27&gt;0</formula>
    </cfRule>
    <cfRule type="expression" dxfId="2200" priority="6">
      <formula>H27&lt;0</formula>
    </cfRule>
  </conditionalFormatting>
  <conditionalFormatting sqref="F25:F26 H25:H26">
    <cfRule type="expression" dxfId="2199" priority="1">
      <formula>F25&gt;0</formula>
    </cfRule>
    <cfRule type="expression" dxfId="219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455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63.779899999999998</v>
      </c>
      <c r="R4" s="475">
        <v>-4.7999999999999996E-3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9566.9850000000006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117.19499999999607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-80.014999999999418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-8.294288379807134E-3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  <c r="O12" s="11" t="s">
        <v>938</v>
      </c>
      <c r="Q12" s="1" t="s">
        <v>1229</v>
      </c>
    </row>
    <row r="13" spans="1:21" x14ac:dyDescent="0.25">
      <c r="H13" s="70"/>
      <c r="O13" s="11" t="s">
        <v>965</v>
      </c>
      <c r="Q13" s="2">
        <f>Q4/(6.87+7.08)*2</f>
        <v>9.1440716845878143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965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0">C25*(E25-D25)</f>
        <v>0</v>
      </c>
      <c r="G25" s="39">
        <f t="shared" ref="G25" si="1">D25*C25</f>
        <v>6488</v>
      </c>
      <c r="H25" s="222">
        <f t="shared" ref="H25" si="2">(E25-D25)/D25</f>
        <v>0</v>
      </c>
      <c r="I25" s="39"/>
      <c r="J25" s="39"/>
      <c r="K25" s="39"/>
      <c r="L25" s="39">
        <v>9.48</v>
      </c>
    </row>
    <row r="26" spans="1:13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ref="F26" si="3">C26*(E26-D26)</f>
        <v>-1.9999999999996021</v>
      </c>
      <c r="G26" s="39">
        <f t="shared" ref="G26" si="4">D26*C26</f>
        <v>6488</v>
      </c>
      <c r="H26" s="222">
        <f t="shared" ref="H26" si="5">(E26-D26)/D26</f>
        <v>-3.0826140567194856E-4</v>
      </c>
      <c r="I26" s="39"/>
      <c r="J26" s="39"/>
      <c r="K26" s="39"/>
      <c r="L26" s="39"/>
    </row>
    <row r="27" spans="1:13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ref="F27" si="6">C27*(E27-D27)</f>
        <v>-33.499499999998505</v>
      </c>
      <c r="G27" s="39">
        <f t="shared" ref="G27" si="7">D27*C27</f>
        <v>9646.9994999999999</v>
      </c>
      <c r="H27" s="222">
        <f t="shared" ref="H27" si="8">(E27-D27)/D27</f>
        <v>-3.472530500286489E-3</v>
      </c>
      <c r="I27" s="39"/>
      <c r="J27" s="39" t="s">
        <v>185</v>
      </c>
      <c r="K27" s="39">
        <v>163.71</v>
      </c>
      <c r="L27" s="39">
        <v>9.19</v>
      </c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70.157890000000009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69.520091000000008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68.882292000000007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68.244493000000006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67.606694000000005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66.968895000000003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66.331096000000002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65.693297000000001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65.055498</v>
      </c>
      <c r="Q49" s="2"/>
      <c r="T49" s="91" t="s">
        <v>103</v>
      </c>
      <c r="U49" s="127" t="s">
        <v>467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64.417698999999999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63.779899999999998</v>
      </c>
      <c r="Q51" s="2"/>
      <c r="T51" s="91" t="s">
        <v>104</v>
      </c>
      <c r="U51" s="127" t="s">
        <v>581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63.142100999999997</v>
      </c>
      <c r="Q52" s="2"/>
      <c r="T52" s="91" t="s">
        <v>105</v>
      </c>
      <c r="U52" s="127" t="s">
        <v>303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62.504301999999996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9"/>
        <v>61.866502999999994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9"/>
        <v>61.228703999999993</v>
      </c>
      <c r="T55" s="91" t="s">
        <v>107</v>
      </c>
      <c r="U55" s="127" t="s">
        <v>582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9"/>
        <v>60.590904999999992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59.953105999999991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9"/>
        <v>59.315307000000004</v>
      </c>
      <c r="T58" s="91" t="s">
        <v>108</v>
      </c>
      <c r="U58" s="127" t="s">
        <v>518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9"/>
        <v>58.677508000000003</v>
      </c>
    </row>
    <row r="60" spans="1:21" x14ac:dyDescent="0.25">
      <c r="A60" s="371" t="s">
        <v>272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9"/>
        <v>58.039709000000002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9"/>
        <v>57.401910000000001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365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380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380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434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436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436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465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97" priority="19">
      <formula>F57&gt;0</formula>
    </cfRule>
    <cfRule type="expression" dxfId="2196" priority="20">
      <formula>F57&lt;0</formula>
    </cfRule>
  </conditionalFormatting>
  <conditionalFormatting sqref="Q7">
    <cfRule type="expression" dxfId="2195" priority="17">
      <formula>Q7&gt;0</formula>
    </cfRule>
    <cfRule type="expression" dxfId="2194" priority="18">
      <formula>Q7&lt;0</formula>
    </cfRule>
  </conditionalFormatting>
  <conditionalFormatting sqref="Q8">
    <cfRule type="expression" dxfId="2193" priority="15">
      <formula>Q8&gt;0</formula>
    </cfRule>
    <cfRule type="expression" dxfId="2192" priority="16">
      <formula>Q8&lt;0</formula>
    </cfRule>
  </conditionalFormatting>
  <conditionalFormatting sqref="M58">
    <cfRule type="expression" dxfId="2191" priority="9">
      <formula>M58&gt;0</formula>
    </cfRule>
    <cfRule type="expression" dxfId="2190" priority="10">
      <formula>M58&lt;0</formula>
    </cfRule>
  </conditionalFormatting>
  <conditionalFormatting sqref="F84:F115">
    <cfRule type="expression" dxfId="2189" priority="7">
      <formula>F84&gt;0</formula>
    </cfRule>
    <cfRule type="expression" dxfId="2188" priority="8">
      <formula>F84&lt;0</formula>
    </cfRule>
  </conditionalFormatting>
  <conditionalFormatting sqref="H84:H115">
    <cfRule type="expression" dxfId="2187" priority="5">
      <formula>H84&gt;0</formula>
    </cfRule>
    <cfRule type="expression" dxfId="2186" priority="6">
      <formula>H84&lt;0</formula>
    </cfRule>
  </conditionalFormatting>
  <conditionalFormatting sqref="F25:F56 H25:H56">
    <cfRule type="expression" dxfId="2185" priority="3">
      <formula>F25&gt;0</formula>
    </cfRule>
    <cfRule type="expression" dxfId="2184" priority="4">
      <formula>F25&lt;0</formula>
    </cfRule>
  </conditionalFormatting>
  <conditionalFormatting sqref="K27">
    <cfRule type="expression" dxfId="2183" priority="1">
      <formula>K27&gt;0</formula>
    </cfRule>
    <cfRule type="expression" dxfId="2182" priority="2">
      <formula>K27&lt;0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244.68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244.68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269.14800000000002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266.70120000000003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264.25440000000003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261.80760000000004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259.36080000000004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256.91400000000004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254.46720000000002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252.02040000000002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249.5736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247.1268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244.68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242.23320000000001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239.78640000000001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237.33959999999999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234.89279999999999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232.446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229.9992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227.55240000000001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225.10560000000001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222.65880000000001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220.21200000000002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1" priority="21">
      <formula>F47&gt;0</formula>
    </cfRule>
    <cfRule type="expression" dxfId="2180" priority="22">
      <formula>F47&lt;0</formula>
    </cfRule>
  </conditionalFormatting>
  <conditionalFormatting sqref="Q7">
    <cfRule type="expression" dxfId="2179" priority="19">
      <formula>Q7&gt;0</formula>
    </cfRule>
    <cfRule type="expression" dxfId="2178" priority="20">
      <formula>Q7&lt;0</formula>
    </cfRule>
  </conditionalFormatting>
  <conditionalFormatting sqref="Q8">
    <cfRule type="expression" dxfId="2177" priority="17">
      <formula>Q8&gt;0</formula>
    </cfRule>
    <cfRule type="expression" dxfId="2176" priority="18">
      <formula>Q8&lt;0</formula>
    </cfRule>
  </conditionalFormatting>
  <conditionalFormatting sqref="F25:F46">
    <cfRule type="expression" dxfId="2175" priority="15">
      <formula>F25&gt;0</formula>
    </cfRule>
    <cfRule type="expression" dxfId="2174" priority="16">
      <formula>F25&lt;0</formula>
    </cfRule>
  </conditionalFormatting>
  <conditionalFormatting sqref="H25:H46">
    <cfRule type="expression" dxfId="2173" priority="13">
      <formula>H25&gt;0</formula>
    </cfRule>
    <cfRule type="expression" dxfId="2172" priority="14">
      <formula>H25&lt;0</formula>
    </cfRule>
  </conditionalFormatting>
  <conditionalFormatting sqref="F89:F110">
    <cfRule type="expression" dxfId="2171" priority="11">
      <formula>F89&gt;0</formula>
    </cfRule>
    <cfRule type="expression" dxfId="2170" priority="12">
      <formula>F89&lt;0</formula>
    </cfRule>
  </conditionalFormatting>
  <conditionalFormatting sqref="H89:H110">
    <cfRule type="expression" dxfId="2169" priority="9">
      <formula>H89&gt;0</formula>
    </cfRule>
    <cfRule type="expression" dxfId="2168" priority="10">
      <formula>H89&lt;0</formula>
    </cfRule>
  </conditionalFormatting>
  <conditionalFormatting sqref="Q10">
    <cfRule type="expression" dxfId="2167" priority="7">
      <formula>Q10&gt;0</formula>
    </cfRule>
    <cfRule type="expression" dxfId="2166" priority="8">
      <formula>Q10&lt;0</formula>
    </cfRule>
  </conditionalFormatting>
  <conditionalFormatting sqref="J25:J38">
    <cfRule type="expression" dxfId="2165" priority="5">
      <formula>J25&gt;0</formula>
    </cfRule>
    <cfRule type="expression" dxfId="2164" priority="6">
      <formula>J25&lt;0</formula>
    </cfRule>
  </conditionalFormatting>
  <conditionalFormatting sqref="K25:K38">
    <cfRule type="expression" dxfId="2163" priority="3">
      <formula>K25&gt;0</formula>
    </cfRule>
    <cfRule type="expression" dxfId="2162" priority="4">
      <formula>K25&lt;0</formula>
    </cfRule>
  </conditionalFormatting>
  <conditionalFormatting sqref="L25:L38">
    <cfRule type="expression" dxfId="2161" priority="1">
      <formula>L25&gt;0</formula>
    </cfRule>
    <cfRule type="expression" dxfId="216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2000</v>
      </c>
      <c r="U2" s="121">
        <v>42804</v>
      </c>
      <c r="V2" s="837" t="s">
        <v>669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3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7.4727249999999765</v>
      </c>
      <c r="U3" s="121">
        <v>42866</v>
      </c>
      <c r="V3" s="837" t="s">
        <v>670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20.83</v>
      </c>
      <c r="R4" s="475">
        <v>2.5600000000000001E-2</v>
      </c>
      <c r="U4" s="121">
        <v>43088</v>
      </c>
      <c r="V4" s="737" t="s">
        <v>770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41660</v>
      </c>
      <c r="U5" s="121">
        <v>43096</v>
      </c>
      <c r="V5" s="737" t="s">
        <v>775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14945.449999999953</v>
      </c>
      <c r="U6" s="121">
        <v>43103</v>
      </c>
      <c r="V6" s="737" t="s">
        <v>825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41330.121000001673</v>
      </c>
      <c r="R7" s="29">
        <v>43318</v>
      </c>
      <c r="V7" s="737" t="s">
        <v>826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26714.550000000047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207</v>
      </c>
      <c r="Q9" s="134">
        <f>IF(Q2=0, 0, Q8/Q6)</f>
        <v>1.7874704341455179</v>
      </c>
      <c r="U9" s="121">
        <v>43106</v>
      </c>
      <c r="V9" s="748" t="s">
        <v>846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206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9.6015362457993296E-3</v>
      </c>
      <c r="R11">
        <f>0.05</f>
        <v>0.05</v>
      </c>
      <c r="U11" s="121">
        <v>43117</v>
      </c>
      <c r="V11" s="737" t="s">
        <v>882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938</v>
      </c>
      <c r="Q12" s="1" t="s">
        <v>1113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965</v>
      </c>
      <c r="Q13" s="2">
        <f>Q4/0.63</f>
        <v>33.063492063492063</v>
      </c>
      <c r="U13" s="121">
        <v>43120</v>
      </c>
      <c r="V13" s="737" t="s">
        <v>888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1102</v>
      </c>
      <c r="Q14" s="736">
        <v>0.17199999999999999</v>
      </c>
      <c r="V14" s="737" t="s">
        <v>891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1031</v>
      </c>
      <c r="Q15" s="29">
        <v>43314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889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916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6" t="s">
        <v>78</v>
      </c>
      <c r="P23" s="856"/>
      <c r="V23" s="737" t="s">
        <v>939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25.412599999999998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25.204299999999996</v>
      </c>
      <c r="U25" s="121">
        <v>43161</v>
      </c>
      <c r="V25" s="737" t="s">
        <v>940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24.995999999999999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24.787699999999997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24.579399999999996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24.371099999999995</v>
      </c>
      <c r="V29" s="737" t="s">
        <v>1030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24.162799999999997</v>
      </c>
      <c r="V30" s="737" t="s">
        <v>1038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23.954499999999996</v>
      </c>
      <c r="V31" s="737" t="s">
        <v>1041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23.746199999999995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23.537899999999997</v>
      </c>
      <c r="U33" s="121">
        <v>43238</v>
      </c>
      <c r="V33" s="748" t="s">
        <v>1083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23.329599999999999</v>
      </c>
      <c r="V34" s="737" t="s">
        <v>1084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23.121300000000002</v>
      </c>
      <c r="V35" s="737" t="s">
        <v>1085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22.913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22.704699999999999</v>
      </c>
      <c r="U37" s="121">
        <v>43285</v>
      </c>
      <c r="V37" s="737" t="s">
        <v>1148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22.496400000000001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22.2881</v>
      </c>
      <c r="U39" s="121">
        <v>43297</v>
      </c>
      <c r="V39" s="737" t="s">
        <v>1206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22.079799999999999</v>
      </c>
      <c r="U40" s="121">
        <v>43299</v>
      </c>
      <c r="V40" s="737" t="s">
        <v>1212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21.871499999999997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21.6632</v>
      </c>
      <c r="U42" s="824">
        <v>43306</v>
      </c>
      <c r="V42" s="737" t="s">
        <v>889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21.454899999999999</v>
      </c>
      <c r="U43" s="824">
        <v>43313</v>
      </c>
      <c r="V43" s="737" t="s">
        <v>1236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21.246599999999997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21.0383</v>
      </c>
      <c r="U45" s="849">
        <v>43319</v>
      </c>
      <c r="V45" s="737" t="s">
        <v>1176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20.83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20.621699999999997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20.413399999999999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20.205099999999998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19.996799999999997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19.788499999999999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19.580199999999998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19.3719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19.163599999999999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18.955299999999998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18.747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18.538699999999999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18.330399999999997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18.1221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17.913799999999998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17.705499999999997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1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7" t="s">
        <v>1125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7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7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1235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8" t="s">
        <v>1205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8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8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27700</v>
      </c>
      <c r="D96" s="18"/>
      <c r="E96" s="18"/>
      <c r="F96" s="18">
        <f>SUM(F2:F95)</f>
        <v>450676.05</v>
      </c>
      <c r="G96" s="14"/>
      <c r="H96" s="71">
        <f>SUM(H2:H95)</f>
        <v>25700</v>
      </c>
      <c r="I96" s="79"/>
      <c r="J96" s="18"/>
      <c r="K96" s="18">
        <f>SUM(K2:K95)</f>
        <v>434017.35000000003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25500</v>
      </c>
      <c r="D97" s="343"/>
      <c r="E97" s="343"/>
      <c r="F97" s="344">
        <f>SumByColor($A$97, F2:F95)</f>
        <v>405672</v>
      </c>
      <c r="G97" s="343"/>
      <c r="H97" s="343">
        <f>SumByColor($A$97, H2:H95)</f>
        <v>25500</v>
      </c>
      <c r="I97" s="343"/>
      <c r="J97" s="344"/>
      <c r="K97" s="344">
        <f>SumByColor($A$97, K2:K95)</f>
        <v>429851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494</v>
      </c>
      <c r="K100" s="220" t="s">
        <v>150</v>
      </c>
      <c r="L100" s="220" t="s">
        <v>915</v>
      </c>
    </row>
    <row r="101" spans="1:13" x14ac:dyDescent="0.25">
      <c r="A101" t="s">
        <v>426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438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757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764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934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5" si="44">C252*(E252-D252)</f>
        <v>26345.999999999996</v>
      </c>
      <c r="G252" s="39">
        <f t="shared" ref="G252:G256" si="45">D252*C252</f>
        <v>15314</v>
      </c>
      <c r="H252" s="222">
        <f t="shared" ref="H252:H255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A254">
        <v>0</v>
      </c>
      <c r="B254" s="150">
        <v>43312</v>
      </c>
      <c r="C254" s="423">
        <v>2000</v>
      </c>
      <c r="D254" s="847">
        <v>7.5896999999999997</v>
      </c>
      <c r="E254" s="39">
        <v>21.12</v>
      </c>
      <c r="F254" s="39">
        <f t="shared" si="44"/>
        <v>27060.600000000002</v>
      </c>
      <c r="G254" s="39">
        <f t="shared" si="45"/>
        <v>15179.4</v>
      </c>
      <c r="H254" s="222">
        <f t="shared" si="46"/>
        <v>1.7827186845329857</v>
      </c>
      <c r="I254" s="39"/>
      <c r="J254" s="39"/>
      <c r="K254" s="39">
        <v>41676</v>
      </c>
      <c r="L254" s="39">
        <v>68.41</v>
      </c>
    </row>
    <row r="255" spans="1:12" x14ac:dyDescent="0.25">
      <c r="B255" s="150">
        <v>43314</v>
      </c>
      <c r="C255" s="10">
        <v>2200</v>
      </c>
      <c r="D255" s="233">
        <v>8.2899999999999991</v>
      </c>
      <c r="E255" s="39">
        <v>20.63</v>
      </c>
      <c r="F255" s="39">
        <f t="shared" si="44"/>
        <v>27148</v>
      </c>
      <c r="G255" s="39">
        <f t="shared" si="45"/>
        <v>18237.999999999996</v>
      </c>
      <c r="H255" s="222">
        <f t="shared" si="46"/>
        <v>1.4885404101326902</v>
      </c>
      <c r="I255" s="39"/>
      <c r="J255" s="39"/>
      <c r="K255" s="39">
        <v>40882</v>
      </c>
      <c r="L255" s="39">
        <v>68.16</v>
      </c>
    </row>
    <row r="256" spans="1:12" x14ac:dyDescent="0.25">
      <c r="A256">
        <v>0</v>
      </c>
      <c r="B256" s="150">
        <v>43314</v>
      </c>
      <c r="C256" s="423">
        <v>2000</v>
      </c>
      <c r="D256" s="847">
        <v>7.4726999999999997</v>
      </c>
      <c r="E256" s="39">
        <v>20.88</v>
      </c>
      <c r="F256" s="39">
        <f t="shared" ref="F256" si="47">C256*(E256-D256)</f>
        <v>26814.6</v>
      </c>
      <c r="G256" s="39">
        <f t="shared" ref="G256" si="48">D256*C256</f>
        <v>14945.4</v>
      </c>
      <c r="H256" s="222">
        <f t="shared" ref="H256" si="49">(E256-D256)/D256</f>
        <v>1.7941707816451884</v>
      </c>
      <c r="I256" s="39"/>
      <c r="J256" s="39"/>
      <c r="K256" s="39">
        <v>41430</v>
      </c>
      <c r="L256" s="39">
        <v>69.11</v>
      </c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50">IF(C267=0, 0,D267*C267)</f>
        <v>68120</v>
      </c>
      <c r="H267" s="365">
        <f t="shared" ref="H267:H273" si="51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50"/>
        <v>0</v>
      </c>
      <c r="H268" s="365" t="str">
        <f t="shared" si="51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50"/>
        <v>0</v>
      </c>
      <c r="H269" s="365" t="str">
        <f t="shared" si="51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50"/>
        <v>75600</v>
      </c>
      <c r="H270" s="365">
        <f t="shared" si="51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50"/>
        <v>0</v>
      </c>
      <c r="H271" s="365" t="str">
        <f t="shared" si="51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50"/>
        <v>82367.28</v>
      </c>
      <c r="H272" s="365">
        <f t="shared" si="51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50"/>
        <v>0</v>
      </c>
      <c r="H273" s="365" t="str">
        <f t="shared" si="51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52">C275*(E275-D275)</f>
        <v>-29017.579999999998</v>
      </c>
      <c r="G275" s="363">
        <f t="shared" ref="G275:G304" si="53">D275*C275</f>
        <v>91417.900000000009</v>
      </c>
      <c r="H275" s="364">
        <f t="shared" ref="H275:H304" si="54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52"/>
        <v>-31836.35999999999</v>
      </c>
      <c r="G276" s="363">
        <f t="shared" si="53"/>
        <v>101483.62</v>
      </c>
      <c r="H276" s="364">
        <f t="shared" si="54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52"/>
        <v>-34009.06</v>
      </c>
      <c r="G277" s="363">
        <f t="shared" si="53"/>
        <v>109418.42</v>
      </c>
      <c r="H277" s="364">
        <f t="shared" si="54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52"/>
        <v>-34008.920000000006</v>
      </c>
      <c r="G278" s="363">
        <f t="shared" si="53"/>
        <v>101358.28000000001</v>
      </c>
      <c r="H278" s="364">
        <f t="shared" si="54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52"/>
        <v>-39575.879999999997</v>
      </c>
      <c r="G279" s="363">
        <f t="shared" si="53"/>
        <v>108716.71999999999</v>
      </c>
      <c r="H279" s="364">
        <f t="shared" si="54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52"/>
        <v>-38892.919999999991</v>
      </c>
      <c r="G280" s="363">
        <f t="shared" si="53"/>
        <v>110180.68</v>
      </c>
      <c r="H280" s="364">
        <f t="shared" si="54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52"/>
        <v>-39649.22</v>
      </c>
      <c r="G281" s="363">
        <f t="shared" si="53"/>
        <v>101232.94</v>
      </c>
      <c r="H281" s="364">
        <f t="shared" si="54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52"/>
        <v>-41303.94</v>
      </c>
      <c r="G282" s="363">
        <f t="shared" si="53"/>
        <v>94046.46</v>
      </c>
      <c r="H282" s="364">
        <f t="shared" si="54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52"/>
        <v>-42699.159999999996</v>
      </c>
      <c r="G283" s="363">
        <f t="shared" si="53"/>
        <v>101024.04</v>
      </c>
      <c r="H283" s="364">
        <f t="shared" si="54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52"/>
        <v>-47715.600000000006</v>
      </c>
      <c r="G284" s="363">
        <f t="shared" si="53"/>
        <v>107500.44</v>
      </c>
      <c r="H284" s="364">
        <f t="shared" si="54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52"/>
        <v>-46809.119999999995</v>
      </c>
      <c r="G285" s="363">
        <f t="shared" si="53"/>
        <v>113864.21999999999</v>
      </c>
      <c r="H285" s="364">
        <f t="shared" si="54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52"/>
        <v>-47694.16</v>
      </c>
      <c r="G286" s="363">
        <f t="shared" si="53"/>
        <v>126525.44</v>
      </c>
      <c r="H286" s="364">
        <f t="shared" si="54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52"/>
        <v>-48128</v>
      </c>
      <c r="G287" s="363">
        <f t="shared" si="53"/>
        <v>129280</v>
      </c>
      <c r="H287" s="364">
        <f t="shared" si="54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52"/>
        <v>-48155.4</v>
      </c>
      <c r="G288" s="363">
        <f t="shared" si="53"/>
        <v>113708.88</v>
      </c>
      <c r="H288" s="364">
        <f t="shared" si="54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52"/>
        <v>-42239.579999999994</v>
      </c>
      <c r="G289" s="363">
        <f t="shared" si="53"/>
        <v>100564.46</v>
      </c>
      <c r="H289" s="364">
        <f t="shared" si="54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52"/>
        <v>-42072.46</v>
      </c>
      <c r="G290" s="363">
        <f t="shared" si="53"/>
        <v>100397.34000000001</v>
      </c>
      <c r="H290" s="364">
        <f t="shared" si="54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52"/>
        <v>-45543.96</v>
      </c>
      <c r="G291" s="363">
        <f t="shared" si="53"/>
        <v>132958.98000000001</v>
      </c>
      <c r="H291" s="364">
        <f t="shared" si="54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52"/>
        <v>-45906.62000000001</v>
      </c>
      <c r="G292" s="363">
        <f t="shared" si="53"/>
        <v>158980.96</v>
      </c>
      <c r="H292" s="364">
        <f t="shared" si="54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52"/>
        <v>-51777.299999999996</v>
      </c>
      <c r="G293" s="363">
        <f t="shared" si="53"/>
        <v>171590.94</v>
      </c>
      <c r="H293" s="365">
        <f t="shared" si="54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52"/>
        <v>-49664.193999999989</v>
      </c>
      <c r="G294" s="363">
        <f t="shared" si="53"/>
        <v>158920.21399999998</v>
      </c>
      <c r="H294" s="365">
        <f t="shared" si="54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52"/>
        <v>-47987.500000000015</v>
      </c>
      <c r="G295" s="363">
        <f t="shared" si="53"/>
        <v>145958.78</v>
      </c>
      <c r="H295" s="365">
        <f t="shared" si="54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52"/>
        <v>-47702.966000000015</v>
      </c>
      <c r="G296" s="363">
        <f t="shared" si="53"/>
        <v>158434.24600000001</v>
      </c>
      <c r="H296" s="365">
        <f t="shared" si="54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52"/>
        <v>-60971.399999999987</v>
      </c>
      <c r="G297" s="363">
        <f t="shared" si="53"/>
        <v>170139.24</v>
      </c>
      <c r="H297" s="365">
        <f t="shared" si="54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52"/>
        <v>-77656.859999999986</v>
      </c>
      <c r="G298" s="363">
        <f t="shared" si="53"/>
        <v>166354.54</v>
      </c>
      <c r="H298" s="365">
        <f t="shared" si="54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52"/>
        <v>-85359.959999999992</v>
      </c>
      <c r="G299" s="363">
        <f t="shared" si="53"/>
        <v>169945.68</v>
      </c>
      <c r="H299" s="365">
        <f t="shared" si="54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52"/>
        <v>-100883.47199999999</v>
      </c>
      <c r="G300" s="363">
        <f t="shared" si="53"/>
        <v>169887.61199999999</v>
      </c>
      <c r="H300" s="364">
        <f t="shared" si="54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52"/>
        <v>-97651.02</v>
      </c>
      <c r="G301" s="363">
        <f t="shared" si="53"/>
        <v>169848.9</v>
      </c>
      <c r="H301" s="364">
        <f t="shared" si="54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52"/>
        <v>-97231.731999999989</v>
      </c>
      <c r="G302" s="363">
        <f t="shared" si="53"/>
        <v>165974.95199999999</v>
      </c>
      <c r="H302" s="364">
        <f t="shared" si="54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52"/>
        <v>-97234.865999999995</v>
      </c>
      <c r="G303" s="363">
        <f t="shared" si="53"/>
        <v>169723.08599999998</v>
      </c>
      <c r="H303" s="364">
        <f t="shared" si="54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52"/>
        <v>-104373.632</v>
      </c>
      <c r="G304" s="363">
        <f t="shared" si="53"/>
        <v>197776.17199999999</v>
      </c>
      <c r="H304" s="364">
        <f t="shared" si="54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52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52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55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55"/>
        <v>-94166.28</v>
      </c>
      <c r="G308" s="363">
        <f t="shared" ref="G308:G315" si="56">IF(C308=0, 0,D308*C308)</f>
        <v>165387.56</v>
      </c>
      <c r="H308" s="364">
        <f t="shared" ref="H308:H315" si="57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55"/>
        <v>-91969.787999999986</v>
      </c>
      <c r="G309" s="363">
        <f t="shared" si="56"/>
        <v>157393.788</v>
      </c>
      <c r="H309" s="364">
        <f t="shared" si="57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55"/>
        <v>-91154.7</v>
      </c>
      <c r="G310" s="363">
        <f t="shared" si="56"/>
        <v>145246.5</v>
      </c>
      <c r="H310" s="364">
        <f t="shared" si="57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55"/>
        <v>-92238.461999999985</v>
      </c>
      <c r="G311" s="363">
        <f t="shared" si="56"/>
        <v>161141.78199999998</v>
      </c>
      <c r="H311" s="364">
        <f t="shared" si="57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55"/>
        <v>-89571.54800000001</v>
      </c>
      <c r="G312" s="363">
        <f t="shared" si="56"/>
        <v>152607.92800000001</v>
      </c>
      <c r="H312" s="364">
        <f t="shared" si="57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55"/>
        <v>-89550.534</v>
      </c>
      <c r="G313" s="363">
        <f t="shared" si="56"/>
        <v>169006.91400000002</v>
      </c>
      <c r="H313" s="364">
        <f t="shared" si="57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55"/>
        <v>-89678.238000000012</v>
      </c>
      <c r="G314" s="363">
        <f t="shared" si="56"/>
        <v>165029.61800000002</v>
      </c>
      <c r="H314" s="364">
        <f t="shared" si="57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55"/>
        <v>-89511.821999999986</v>
      </c>
      <c r="G315" s="363">
        <f t="shared" si="56"/>
        <v>168968.20199999999</v>
      </c>
      <c r="H315" s="364">
        <f t="shared" si="57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58">C316*(E316-D316)</f>
        <v>-89632.347999999984</v>
      </c>
      <c r="G316" s="363">
        <f t="shared" ref="G316:G327" si="59">IF(C316=0, 0,D316*C316)</f>
        <v>164983.728</v>
      </c>
      <c r="H316" s="364">
        <f t="shared" ref="H316:H367" si="60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58"/>
        <v>-93372.971999999994</v>
      </c>
      <c r="G317" s="363">
        <f t="shared" si="59"/>
        <v>172761.372</v>
      </c>
      <c r="H317" s="364">
        <f t="shared" si="60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58"/>
        <v>-91747.44</v>
      </c>
      <c r="G318" s="363">
        <f t="shared" si="59"/>
        <v>168784.32</v>
      </c>
      <c r="H318" s="364">
        <f t="shared" si="60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58"/>
        <v>-80757.467999999993</v>
      </c>
      <c r="G319" s="363">
        <f t="shared" si="59"/>
        <v>159727.26799999998</v>
      </c>
      <c r="H319" s="365">
        <f t="shared" si="60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58"/>
        <v>-72386.955999999976</v>
      </c>
      <c r="G320" s="363">
        <f t="shared" si="59"/>
        <v>164888.61599999998</v>
      </c>
      <c r="H320" s="365">
        <f t="shared" si="60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58"/>
        <v>-62830.615999999987</v>
      </c>
      <c r="G321" s="363">
        <f t="shared" si="59"/>
        <v>164888.61599999998</v>
      </c>
      <c r="H321" s="365">
        <f t="shared" si="60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58"/>
        <v>-66133.584000000003</v>
      </c>
      <c r="G322" s="363">
        <f t="shared" si="59"/>
        <v>164387.60399999999</v>
      </c>
      <c r="H322" s="365">
        <f t="shared" si="60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58"/>
        <v>-61160.576000000008</v>
      </c>
      <c r="G323" s="363">
        <f t="shared" si="59"/>
        <v>164331.93599999999</v>
      </c>
      <c r="H323" s="365">
        <f t="shared" si="60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58"/>
        <v>-58033.889999999992</v>
      </c>
      <c r="G324" s="363">
        <f t="shared" si="59"/>
        <v>164266.99</v>
      </c>
      <c r="H324" s="365">
        <f t="shared" si="60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58"/>
        <v>-56328.439999999988</v>
      </c>
      <c r="G325" s="363">
        <f t="shared" si="59"/>
        <v>148531.07999999999</v>
      </c>
      <c r="H325" s="365">
        <f t="shared" si="60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58"/>
        <v>-57894.720000000016</v>
      </c>
      <c r="G326" s="363">
        <f t="shared" si="59"/>
        <v>163942.26</v>
      </c>
      <c r="H326" s="364">
        <f t="shared" si="60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58"/>
        <v>-58904.104000000007</v>
      </c>
      <c r="G327" s="363">
        <f t="shared" si="59"/>
        <v>167796.78400000001</v>
      </c>
      <c r="H327" s="364">
        <f t="shared" si="60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61">C328*(E328-D328)</f>
        <v>-69928.587000000014</v>
      </c>
      <c r="G328" s="363">
        <f t="shared" ref="G328:G367" si="62">IF(C328=0, 0,D328*C328)</f>
        <v>206559.20699999999</v>
      </c>
      <c r="H328" s="364">
        <f t="shared" si="60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61"/>
        <v>-66302.234199999992</v>
      </c>
      <c r="G329" s="363">
        <f t="shared" si="62"/>
        <v>185059.5742</v>
      </c>
      <c r="H329" s="364">
        <f t="shared" si="60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61"/>
        <v>-59729.712599999977</v>
      </c>
      <c r="G330" s="363">
        <f t="shared" si="62"/>
        <v>167542.63259999998</v>
      </c>
      <c r="H330" s="364">
        <f t="shared" si="60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61"/>
        <v>-65233.308000000005</v>
      </c>
      <c r="G331" s="363">
        <f t="shared" si="62"/>
        <v>188202.64799999999</v>
      </c>
      <c r="H331" s="364">
        <f t="shared" si="60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61"/>
        <v>-64902.603600000009</v>
      </c>
      <c r="G332" s="363">
        <f t="shared" si="62"/>
        <v>167102.28360000002</v>
      </c>
      <c r="H332" s="364">
        <f t="shared" si="60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61"/>
        <v>-66452.265800000008</v>
      </c>
      <c r="G333" s="363">
        <f t="shared" si="62"/>
        <v>168143.46580000001</v>
      </c>
      <c r="H333" s="364">
        <f t="shared" si="60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61"/>
        <v>-64191.270599999982</v>
      </c>
      <c r="G334" s="363">
        <f t="shared" si="62"/>
        <v>167068.4106</v>
      </c>
      <c r="H334" s="364">
        <f t="shared" si="60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61"/>
        <v>-53072.044600000016</v>
      </c>
      <c r="G335" s="363">
        <f t="shared" si="62"/>
        <v>155298.88460000002</v>
      </c>
      <c r="H335" s="364">
        <f t="shared" si="60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61"/>
        <v>-54016.789200000007</v>
      </c>
      <c r="G336" s="363">
        <f t="shared" si="62"/>
        <v>166959.04920000001</v>
      </c>
      <c r="H336" s="364">
        <f t="shared" si="60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61"/>
        <v>-40694.080000000002</v>
      </c>
      <c r="G337" s="363">
        <f t="shared" si="62"/>
        <v>148852.48000000001</v>
      </c>
      <c r="H337" s="364">
        <f t="shared" si="60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61"/>
        <v>-41622.116400000006</v>
      </c>
      <c r="G338" s="363">
        <f t="shared" si="62"/>
        <v>161235.47640000001</v>
      </c>
      <c r="H338" s="364">
        <f t="shared" si="60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61"/>
        <v>-39713.673000000003</v>
      </c>
      <c r="G339" s="363">
        <f t="shared" si="62"/>
        <v>166592.253</v>
      </c>
      <c r="H339" s="364">
        <f t="shared" si="60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61"/>
        <v>-39679.2474</v>
      </c>
      <c r="G340" s="363">
        <f t="shared" si="62"/>
        <v>160002.82739999998</v>
      </c>
      <c r="H340" s="364">
        <f t="shared" si="60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61"/>
        <v>-40600.177800000019</v>
      </c>
      <c r="G341" s="363">
        <f t="shared" si="62"/>
        <v>166510.9578</v>
      </c>
      <c r="H341" s="364">
        <f t="shared" si="60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61"/>
        <v>-37192.92720000002</v>
      </c>
      <c r="G342" s="363">
        <f t="shared" si="62"/>
        <v>159811.00720000002</v>
      </c>
      <c r="H342" s="364">
        <f t="shared" si="60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61"/>
        <v>-28198.487200000018</v>
      </c>
      <c r="G343" s="363">
        <f t="shared" si="62"/>
        <v>159811.00720000002</v>
      </c>
      <c r="H343" s="364">
        <f t="shared" si="60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61"/>
        <v>-32939.072999999997</v>
      </c>
      <c r="G344" s="363">
        <f t="shared" si="62"/>
        <v>166785.81299999999</v>
      </c>
      <c r="H344" s="364">
        <f t="shared" si="60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61"/>
        <v>-27080.606799999998</v>
      </c>
      <c r="G345" s="363">
        <f t="shared" si="62"/>
        <v>159610.92679999999</v>
      </c>
      <c r="H345" s="365">
        <f t="shared" si="60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61"/>
        <v>-23278.161400000005</v>
      </c>
      <c r="G346" s="363">
        <f t="shared" si="62"/>
        <v>159479.6814</v>
      </c>
      <c r="H346" s="365">
        <f t="shared" si="60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61"/>
        <v>-27860.058600000004</v>
      </c>
      <c r="G347" s="363">
        <f t="shared" si="62"/>
        <v>166739.35860000001</v>
      </c>
      <c r="H347" s="365">
        <f t="shared" si="60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61"/>
        <v>-29897.277600000016</v>
      </c>
      <c r="G348" s="363">
        <f t="shared" si="62"/>
        <v>166260.29760000002</v>
      </c>
      <c r="H348" s="365">
        <f t="shared" si="60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61"/>
        <v>-34709.179199999977</v>
      </c>
      <c r="G349" s="363">
        <f t="shared" si="62"/>
        <v>165846.07919999998</v>
      </c>
      <c r="H349" s="365">
        <f t="shared" si="60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61"/>
        <v>-41926.063800000004</v>
      </c>
      <c r="G350" s="363">
        <f t="shared" si="62"/>
        <v>165707.6838</v>
      </c>
      <c r="H350" s="365">
        <f t="shared" si="60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61"/>
        <v>-48426.330400000006</v>
      </c>
      <c r="G351" s="363">
        <f t="shared" si="62"/>
        <v>190547.59040000002</v>
      </c>
      <c r="H351" s="365">
        <f t="shared" si="60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61"/>
        <v>-48374.515200000002</v>
      </c>
      <c r="G352" s="363">
        <f t="shared" si="62"/>
        <v>165187.97520000002</v>
      </c>
      <c r="H352" s="364">
        <f t="shared" si="60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61"/>
        <v>-54432.172800000015</v>
      </c>
      <c r="G353" s="363">
        <f t="shared" si="62"/>
        <v>176588.49280000001</v>
      </c>
      <c r="H353" s="364">
        <f t="shared" si="60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61"/>
        <v>-49378.123800000016</v>
      </c>
      <c r="G354" s="363">
        <f t="shared" si="62"/>
        <v>164933.44380000001</v>
      </c>
      <c r="H354" s="364">
        <f t="shared" si="60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61"/>
        <v>-45614.280400000011</v>
      </c>
      <c r="G355" s="363">
        <f t="shared" si="62"/>
        <v>177274.02040000001</v>
      </c>
      <c r="H355" s="364">
        <f t="shared" si="60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61"/>
        <v>-45519.5052</v>
      </c>
      <c r="G356" s="363">
        <f t="shared" si="62"/>
        <v>164849.2452</v>
      </c>
      <c r="H356" s="364">
        <f t="shared" si="60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61"/>
        <v>-45770.165399999983</v>
      </c>
      <c r="G357" s="363">
        <f t="shared" si="62"/>
        <v>164809.56539999999</v>
      </c>
      <c r="H357" s="364">
        <f t="shared" si="60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61"/>
        <v>-41109.240599999997</v>
      </c>
      <c r="G358" s="363">
        <f t="shared" si="62"/>
        <v>164794.08059999999</v>
      </c>
      <c r="H358" s="364">
        <f t="shared" si="60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61"/>
        <v>-37211.283199999991</v>
      </c>
      <c r="G359" s="363">
        <f t="shared" si="62"/>
        <v>158269.10319999998</v>
      </c>
      <c r="H359" s="364">
        <f t="shared" si="60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61"/>
        <v>-38770.067999999999</v>
      </c>
      <c r="G360" s="363">
        <f t="shared" si="62"/>
        <v>164777.628</v>
      </c>
      <c r="H360" s="364">
        <f t="shared" si="60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61"/>
        <v>-33653.890400000018</v>
      </c>
      <c r="G361" s="363">
        <f t="shared" si="62"/>
        <v>157924.0104</v>
      </c>
      <c r="H361" s="364">
        <f t="shared" si="60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61"/>
        <v>-37103.516399999986</v>
      </c>
      <c r="G362" s="363">
        <f t="shared" si="62"/>
        <v>164562.77639999997</v>
      </c>
      <c r="H362" s="364">
        <f t="shared" si="60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61"/>
        <v>-39676.8966</v>
      </c>
      <c r="G363" s="363">
        <f t="shared" si="62"/>
        <v>164523.09660000002</v>
      </c>
      <c r="H363" s="364">
        <f t="shared" si="60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61"/>
        <v>-35572.456799999993</v>
      </c>
      <c r="G364" s="363">
        <f t="shared" si="62"/>
        <v>164483.41680000001</v>
      </c>
      <c r="H364" s="364">
        <f t="shared" si="60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61"/>
        <v>-29514.401999999984</v>
      </c>
      <c r="G365" s="363">
        <f t="shared" si="62"/>
        <v>143679.28200000001</v>
      </c>
      <c r="H365" s="364">
        <f t="shared" si="60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61"/>
        <v>-24105.848799999996</v>
      </c>
      <c r="G366" s="363">
        <f t="shared" si="62"/>
        <v>136358.20879999999</v>
      </c>
      <c r="H366" s="364">
        <f t="shared" si="60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61"/>
        <v>-24823.50120000001</v>
      </c>
      <c r="G367" s="363">
        <f t="shared" si="62"/>
        <v>143649.8412</v>
      </c>
      <c r="H367" s="364">
        <f t="shared" si="60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3">C368*(E368-D368)</f>
        <v>-33713.287800000006</v>
      </c>
      <c r="G368" s="363">
        <f t="shared" ref="G368:G376" si="64">IF(C368=0, 0,D368*C368)</f>
        <v>154198.0478</v>
      </c>
      <c r="H368" s="364">
        <f t="shared" ref="H368:H376" si="65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3"/>
        <v>-34191.285600000003</v>
      </c>
      <c r="G369" s="363">
        <f t="shared" si="64"/>
        <v>158702.04560000001</v>
      </c>
      <c r="H369" s="364">
        <f t="shared" si="65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3"/>
        <v>-33706.974000000009</v>
      </c>
      <c r="G370" s="363">
        <f t="shared" si="64"/>
        <v>158217.734</v>
      </c>
      <c r="H370" s="364">
        <f t="shared" si="65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3"/>
        <v>-35317.9254</v>
      </c>
      <c r="G371" s="363">
        <f t="shared" si="64"/>
        <v>163357.86540000001</v>
      </c>
      <c r="H371" s="364">
        <f t="shared" si="65"/>
        <v>-0.21619972392220058</v>
      </c>
      <c r="I371" s="363" t="s">
        <v>216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3"/>
        <v>-36815.103999999985</v>
      </c>
      <c r="G372" s="363">
        <f t="shared" si="64"/>
        <v>157985.78399999999</v>
      </c>
      <c r="H372" s="364">
        <f t="shared" si="65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3"/>
        <v>-40329.610399999998</v>
      </c>
      <c r="G373" s="363">
        <f t="shared" si="64"/>
        <v>157881.87039999999</v>
      </c>
      <c r="H373" s="364">
        <f t="shared" si="65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3"/>
        <v>-35684.1158</v>
      </c>
      <c r="G374" s="363">
        <f t="shared" si="64"/>
        <v>157782.59580000001</v>
      </c>
      <c r="H374" s="364">
        <f t="shared" si="65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3"/>
        <v>-23709.664000000008</v>
      </c>
      <c r="G375" s="363">
        <f t="shared" si="64"/>
        <v>134887.10400000002</v>
      </c>
      <c r="H375" s="365">
        <f t="shared" si="65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3"/>
        <v>-19054.279999999995</v>
      </c>
      <c r="G376" s="363">
        <f t="shared" si="64"/>
        <v>121666.28</v>
      </c>
      <c r="H376" s="365">
        <f t="shared" si="65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66">C377*(E377-D377)</f>
        <v>-21366.37</v>
      </c>
      <c r="G377" s="363">
        <f t="shared" ref="G377:G385" si="67">IF(C377=0, 0,D377*C377)</f>
        <v>129041.37</v>
      </c>
      <c r="H377" s="365">
        <f t="shared" ref="H377:H385" si="68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66"/>
        <v>-17585.480000000014</v>
      </c>
      <c r="G378" s="363">
        <f t="shared" si="67"/>
        <v>121421.48000000001</v>
      </c>
      <c r="H378" s="365">
        <f t="shared" si="68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66"/>
        <v>-23433.255999999998</v>
      </c>
      <c r="G379" s="363">
        <f t="shared" si="67"/>
        <v>134073.236</v>
      </c>
      <c r="H379" s="365">
        <f t="shared" si="68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66"/>
        <v>-21154.320000000003</v>
      </c>
      <c r="G380" s="363">
        <f t="shared" si="67"/>
        <v>138785.16</v>
      </c>
      <c r="H380" s="365">
        <f t="shared" si="68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66"/>
        <v>-29477.467400000005</v>
      </c>
      <c r="G381" s="363">
        <f t="shared" si="67"/>
        <v>152116.9474</v>
      </c>
      <c r="H381" s="365">
        <f t="shared" si="68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66"/>
        <v>-29453.938799999982</v>
      </c>
      <c r="G382" s="363">
        <f t="shared" si="67"/>
        <v>156191.41879999998</v>
      </c>
      <c r="H382" s="364">
        <f t="shared" si="68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66"/>
        <v>-19172.503200000017</v>
      </c>
      <c r="G383" s="363">
        <f t="shared" si="67"/>
        <v>140043.3432</v>
      </c>
      <c r="H383" s="364">
        <f t="shared" si="68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66"/>
        <v>-13448.017</v>
      </c>
      <c r="G384" s="363">
        <f t="shared" si="67"/>
        <v>132303.45699999999</v>
      </c>
      <c r="H384" s="364">
        <f t="shared" si="68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66"/>
        <v>-12142.820000000009</v>
      </c>
      <c r="G385" s="363">
        <f t="shared" si="67"/>
        <v>126387.82</v>
      </c>
      <c r="H385" s="364">
        <f t="shared" si="68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9">C386*(E386-D386)</f>
        <v>-11873.480000000014</v>
      </c>
      <c r="G386" s="363">
        <f t="shared" ref="G386:G407" si="70">IF(C386=0, 0,D386*C386)</f>
        <v>118633.48000000001</v>
      </c>
      <c r="H386" s="364">
        <f t="shared" ref="H386:H407" si="71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9"/>
        <v>-11929.199999999995</v>
      </c>
      <c r="G387" s="363">
        <f t="shared" si="70"/>
        <v>106009.2</v>
      </c>
      <c r="H387" s="364">
        <f t="shared" si="71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9"/>
        <v>-18473.284199999991</v>
      </c>
      <c r="G388" s="363">
        <f t="shared" si="70"/>
        <v>138853.4442</v>
      </c>
      <c r="H388" s="364">
        <f t="shared" si="71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9"/>
        <v>-18423.393999999993</v>
      </c>
      <c r="G389" s="363">
        <f t="shared" si="70"/>
        <v>146163.554</v>
      </c>
      <c r="H389" s="364">
        <f t="shared" si="71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9"/>
        <v>-17342.266799999998</v>
      </c>
      <c r="G390" s="363">
        <f t="shared" si="70"/>
        <v>138703.7868</v>
      </c>
      <c r="H390" s="364">
        <f t="shared" si="71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9"/>
        <v>-17312.610000000008</v>
      </c>
      <c r="G391" s="363">
        <f t="shared" si="70"/>
        <v>146094.13</v>
      </c>
      <c r="H391" s="364">
        <f t="shared" si="71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9"/>
        <v>-16618.370000000006</v>
      </c>
      <c r="G392" s="363">
        <f t="shared" si="70"/>
        <v>146094.13</v>
      </c>
      <c r="H392" s="364">
        <f t="shared" si="71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9"/>
        <v>-18614.310000000012</v>
      </c>
      <c r="G393" s="363">
        <f t="shared" si="70"/>
        <v>146094.13</v>
      </c>
      <c r="H393" s="364">
        <f t="shared" si="71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9"/>
        <v>-10717.330000000011</v>
      </c>
      <c r="G394" s="363">
        <f t="shared" si="70"/>
        <v>146094.13</v>
      </c>
      <c r="H394" s="364">
        <f t="shared" si="71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9"/>
        <v>-13335.061799999996</v>
      </c>
      <c r="G395" s="363">
        <f t="shared" si="70"/>
        <v>146939.08179999999</v>
      </c>
      <c r="H395" s="364">
        <f t="shared" si="71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9"/>
        <v>-14034.101799999982</v>
      </c>
      <c r="G396" s="363">
        <f t="shared" si="70"/>
        <v>146939.08179999999</v>
      </c>
      <c r="H396" s="364">
        <f t="shared" si="71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9"/>
        <v>-18125.222999999994</v>
      </c>
      <c r="G397" s="363">
        <f t="shared" si="70"/>
        <v>152910.723</v>
      </c>
      <c r="H397" s="364">
        <f t="shared" si="71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9"/>
        <v>-17204.112599999997</v>
      </c>
      <c r="G398" s="363">
        <f t="shared" si="70"/>
        <v>152812.03260000001</v>
      </c>
      <c r="H398" s="364">
        <f t="shared" si="71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9"/>
        <v>-21007.348200000015</v>
      </c>
      <c r="G399" s="363">
        <f t="shared" si="70"/>
        <v>152777.3082</v>
      </c>
      <c r="H399" s="364">
        <f t="shared" si="71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9"/>
        <v>-23836.109799999987</v>
      </c>
      <c r="G400" s="363">
        <f t="shared" si="70"/>
        <v>154748.68979999999</v>
      </c>
      <c r="H400" s="364">
        <f t="shared" si="71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9"/>
        <v>-28747.721799999992</v>
      </c>
      <c r="G401" s="363">
        <f t="shared" si="70"/>
        <v>157458.96179999999</v>
      </c>
      <c r="H401" s="364">
        <f t="shared" si="71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9"/>
        <v>-26852.387599999998</v>
      </c>
      <c r="G402" s="363">
        <f t="shared" si="70"/>
        <v>154703.22759999998</v>
      </c>
      <c r="H402" s="364">
        <f t="shared" si="71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9"/>
        <v>-32892.451199999996</v>
      </c>
      <c r="G403" s="363">
        <f t="shared" si="70"/>
        <v>157338.5912</v>
      </c>
      <c r="H403" s="364">
        <f t="shared" si="71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9"/>
        <v>-28045.401999999998</v>
      </c>
      <c r="G404" s="363">
        <f t="shared" si="70"/>
        <v>157325.32200000001</v>
      </c>
      <c r="H404" s="365">
        <f t="shared" si="71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9"/>
        <v>-28056.67200000001</v>
      </c>
      <c r="G405" s="363">
        <f t="shared" si="70"/>
        <v>154608.592</v>
      </c>
      <c r="H405" s="365">
        <f t="shared" si="71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9"/>
        <v>-34756.773799999995</v>
      </c>
      <c r="G406" s="363">
        <f t="shared" si="70"/>
        <v>157212.5338</v>
      </c>
      <c r="H406" s="365">
        <f t="shared" si="71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9"/>
        <v>-34901.771399999991</v>
      </c>
      <c r="G407" s="363">
        <f t="shared" si="70"/>
        <v>159747.97140000001</v>
      </c>
      <c r="H407" s="365">
        <f t="shared" si="71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72">C408*(E408-D408)</f>
        <v>-36344.291399999995</v>
      </c>
      <c r="G408" s="363">
        <f t="shared" ref="G408:G423" si="73">IF(C408=0, 0,D408*C408)</f>
        <v>166350.4914</v>
      </c>
      <c r="H408" s="365">
        <f t="shared" ref="H408:H423" si="74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72"/>
        <v>-29806.304399999986</v>
      </c>
      <c r="G409" s="363">
        <f t="shared" si="73"/>
        <v>159588.28439999997</v>
      </c>
      <c r="H409" s="365">
        <f t="shared" si="74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72"/>
        <v>-27362.67760000001</v>
      </c>
      <c r="G410" s="363">
        <f t="shared" si="73"/>
        <v>154100.15760000001</v>
      </c>
      <c r="H410" s="365">
        <f t="shared" si="74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72"/>
        <v>-25413.691800000004</v>
      </c>
      <c r="G411" s="363">
        <f t="shared" si="73"/>
        <v>152157.7518</v>
      </c>
      <c r="H411" s="364">
        <f t="shared" si="74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72"/>
        <v>-18660.303400000012</v>
      </c>
      <c r="G412" s="363">
        <f t="shared" si="73"/>
        <v>145445.88340000002</v>
      </c>
      <c r="H412" s="364">
        <f t="shared" si="74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72"/>
        <v>-16029.133799999994</v>
      </c>
      <c r="G413" s="363">
        <f t="shared" si="73"/>
        <v>145331.33379999999</v>
      </c>
      <c r="H413" s="364">
        <f t="shared" si="74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72"/>
        <v>-13680.976200000003</v>
      </c>
      <c r="G414" s="363">
        <f t="shared" si="73"/>
        <v>137741.23620000001</v>
      </c>
      <c r="H414" s="364">
        <f t="shared" si="74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72"/>
        <v>-9402.4621999999927</v>
      </c>
      <c r="G415" s="363">
        <f t="shared" si="73"/>
        <v>122097.06219999999</v>
      </c>
      <c r="H415" s="364">
        <f t="shared" si="74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72"/>
        <v>-2780.8000000000065</v>
      </c>
      <c r="G416" s="363">
        <f t="shared" si="73"/>
        <v>94520.8</v>
      </c>
      <c r="H416" s="364">
        <f t="shared" si="74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72"/>
        <v>-2111.0000000000005</v>
      </c>
      <c r="G417" s="363">
        <f t="shared" si="73"/>
        <v>86111</v>
      </c>
      <c r="H417" s="364">
        <f t="shared" si="74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72"/>
        <v>-7950.599999999994</v>
      </c>
      <c r="G418" s="363">
        <f t="shared" si="73"/>
        <v>101790.59999999999</v>
      </c>
      <c r="H418" s="364">
        <f t="shared" si="74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72"/>
        <v>-7870.8499999999922</v>
      </c>
      <c r="G419" s="363">
        <f t="shared" si="73"/>
        <v>109530.84999999999</v>
      </c>
      <c r="H419" s="364">
        <f t="shared" si="74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72"/>
        <v>-2961.0000000000055</v>
      </c>
      <c r="G420" s="363">
        <f t="shared" si="73"/>
        <v>101541</v>
      </c>
      <c r="H420" s="364">
        <f t="shared" si="74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72"/>
        <v>-3051.400000000001</v>
      </c>
      <c r="G421" s="363">
        <f t="shared" si="73"/>
        <v>93416.4</v>
      </c>
      <c r="H421" s="364">
        <f t="shared" si="74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72"/>
        <v>-3026.4999999999986</v>
      </c>
      <c r="G422" s="363">
        <f t="shared" si="73"/>
        <v>85176.5</v>
      </c>
      <c r="H422" s="364">
        <f t="shared" si="74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72"/>
        <v>-4876.1226000000042</v>
      </c>
      <c r="G423" s="363">
        <f t="shared" si="73"/>
        <v>88034.802599999995</v>
      </c>
      <c r="H423" s="364">
        <f t="shared" si="74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75">C426*(E426-D426)</f>
        <v>-5163.5724000000046</v>
      </c>
      <c r="G426" s="363">
        <f t="shared" ref="G426:G431" si="76">IF(C426=0, 0,D426*C426)</f>
        <v>103949.79240000001</v>
      </c>
      <c r="H426" s="364">
        <f t="shared" ref="H426:H431" si="77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75"/>
        <v>-7946.8199999999852</v>
      </c>
      <c r="G427" s="363">
        <f t="shared" si="76"/>
        <v>111789.71999999999</v>
      </c>
      <c r="H427" s="365">
        <f t="shared" si="77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75"/>
        <v>-7946.7637999999934</v>
      </c>
      <c r="G428" s="363">
        <f t="shared" si="76"/>
        <v>119564.66379999999</v>
      </c>
      <c r="H428" s="364">
        <f t="shared" si="77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75"/>
        <v>-11864.04560000001</v>
      </c>
      <c r="G429" s="363">
        <f t="shared" si="76"/>
        <v>127187.60560000001</v>
      </c>
      <c r="H429" s="364">
        <f t="shared" si="77"/>
        <v>-9.3279887957887692E-2</v>
      </c>
      <c r="I429" s="363" t="s">
        <v>255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75"/>
        <v>-11894.083199999997</v>
      </c>
      <c r="G430" s="363">
        <f t="shared" si="76"/>
        <v>134727.64319999999</v>
      </c>
      <c r="H430" s="364">
        <f t="shared" si="77"/>
        <v>-8.8282426067110162E-2</v>
      </c>
      <c r="I430" s="363" t="s">
        <v>256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75"/>
        <v>-7970.5317999999861</v>
      </c>
      <c r="G431" s="363">
        <f t="shared" si="76"/>
        <v>126902.75179999998</v>
      </c>
      <c r="H431" s="364">
        <f t="shared" si="77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78">C437*(E437-D437)</f>
        <v>-5839.4414759999936</v>
      </c>
      <c r="G437" s="363">
        <f t="shared" ref="G437:G443" si="79">IF(C437=0, 0,D437*C437)</f>
        <v>126153.70147599999</v>
      </c>
      <c r="H437" s="364">
        <f t="shared" ref="H437:H443" si="80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78"/>
        <v>-7235.2097400000011</v>
      </c>
      <c r="G438" s="363">
        <f t="shared" si="79"/>
        <v>126013.86974000001</v>
      </c>
      <c r="H438" s="364">
        <f t="shared" si="80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78"/>
        <v>-6801.3106039999893</v>
      </c>
      <c r="G439" s="363">
        <f t="shared" si="79"/>
        <v>125579.970604</v>
      </c>
      <c r="H439" s="364">
        <f t="shared" si="80"/>
        <v>-5.4159198885680847E-2</v>
      </c>
      <c r="I439" s="363" t="s">
        <v>270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78"/>
        <v>-15816.44348</v>
      </c>
      <c r="G440" s="363">
        <f t="shared" si="79"/>
        <v>134522.96348000001</v>
      </c>
      <c r="H440" s="365">
        <f t="shared" si="80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78"/>
        <v>-15980.450220000002</v>
      </c>
      <c r="G441" s="363">
        <f t="shared" si="79"/>
        <v>140422.97021999999</v>
      </c>
      <c r="H441" s="365">
        <f t="shared" si="80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78"/>
        <v>-16022.453030000013</v>
      </c>
      <c r="G442" s="363">
        <f t="shared" si="79"/>
        <v>144766.97303000002</v>
      </c>
      <c r="H442" s="365">
        <f t="shared" si="80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78"/>
        <v>-15995.457559999995</v>
      </c>
      <c r="G443" s="363">
        <f t="shared" si="79"/>
        <v>149041.97756</v>
      </c>
      <c r="H443" s="365">
        <f t="shared" si="80"/>
        <v>-0.10732182853357998</v>
      </c>
      <c r="I443" s="363" t="s">
        <v>271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81">C444*(E444-D444)</f>
        <v>-19058.277097999995</v>
      </c>
      <c r="G444" s="363">
        <f t="shared" ref="G444:G451" si="82">IF(C444=0, 0,D444*C444)</f>
        <v>151845.05709799999</v>
      </c>
      <c r="H444" s="365">
        <f t="shared" ref="H444:H451" si="83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81"/>
        <v>-16640.780505999985</v>
      </c>
      <c r="G445" s="363">
        <f t="shared" si="82"/>
        <v>151797.06050599998</v>
      </c>
      <c r="H445" s="365">
        <f t="shared" si="83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81"/>
        <v>-16830.340505999982</v>
      </c>
      <c r="G446" s="363">
        <f t="shared" si="82"/>
        <v>151797.06050599998</v>
      </c>
      <c r="H446" s="365">
        <f t="shared" si="83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81"/>
        <v>-18246.039857999996</v>
      </c>
      <c r="G447" s="363">
        <f t="shared" si="82"/>
        <v>154609.05985799999</v>
      </c>
      <c r="H447" s="364">
        <f t="shared" si="83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81"/>
        <v>-20423.199632000014</v>
      </c>
      <c r="G448" s="363">
        <f t="shared" si="82"/>
        <v>157431.05963200002</v>
      </c>
      <c r="H448" s="364">
        <f t="shared" si="83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81"/>
        <v>-20451.260000000017</v>
      </c>
      <c r="G449" s="363">
        <f t="shared" si="82"/>
        <v>159151.26</v>
      </c>
      <c r="H449" s="364">
        <f t="shared" si="83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81"/>
        <v>-12770.498441999989</v>
      </c>
      <c r="G450" s="363">
        <f t="shared" si="82"/>
        <v>154553.19844199999</v>
      </c>
      <c r="H450" s="364">
        <f t="shared" si="83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81"/>
        <v>-12774.627693999981</v>
      </c>
      <c r="G451" s="363">
        <f t="shared" si="82"/>
        <v>148697.32769399998</v>
      </c>
      <c r="H451" s="364">
        <f t="shared" si="83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84">C452*(E452-D452)</f>
        <v>-10733.467693999992</v>
      </c>
      <c r="G452" s="363">
        <f t="shared" ref="G452:G463" si="85">IF(C452=0, 0,D452*C452)</f>
        <v>148697.32769399998</v>
      </c>
      <c r="H452" s="364">
        <f t="shared" ref="H452:H463" si="86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84"/>
        <v>-14237.112315999999</v>
      </c>
      <c r="G453" s="363">
        <f t="shared" si="85"/>
        <v>151573.33231600001</v>
      </c>
      <c r="H453" s="364">
        <f t="shared" si="86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84"/>
        <v>-14933.404899999989</v>
      </c>
      <c r="G454" s="363">
        <f t="shared" si="85"/>
        <v>148629.38489999998</v>
      </c>
      <c r="H454" s="364">
        <f t="shared" si="86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84"/>
        <v>-14951.241703999996</v>
      </c>
      <c r="G455" s="363">
        <f t="shared" si="85"/>
        <v>151529.221704</v>
      </c>
      <c r="H455" s="364">
        <f t="shared" si="86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84"/>
        <v>-14945.406348000004</v>
      </c>
      <c r="G456" s="363">
        <f t="shared" si="85"/>
        <v>154405.386348</v>
      </c>
      <c r="H456" s="364">
        <f t="shared" si="86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84"/>
        <v>-18303.73</v>
      </c>
      <c r="G457" s="363">
        <f t="shared" si="85"/>
        <v>158903.73000000001</v>
      </c>
      <c r="H457" s="364">
        <f t="shared" si="86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84"/>
        <v>-7311.0640000000021</v>
      </c>
      <c r="G458" s="363">
        <f t="shared" si="85"/>
        <v>148151.10399999999</v>
      </c>
      <c r="H458" s="364">
        <f t="shared" si="86"/>
        <v>-4.9348697394789594E-2</v>
      </c>
      <c r="I458" s="363" t="s">
        <v>283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84"/>
        <v>-7285.3417480000098</v>
      </c>
      <c r="G459" s="363">
        <f t="shared" si="85"/>
        <v>143571.38174800001</v>
      </c>
      <c r="H459" s="364">
        <f t="shared" si="86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84"/>
        <v>-1007.5158000000105</v>
      </c>
      <c r="G460" s="363">
        <f t="shared" si="85"/>
        <v>138987.71580000001</v>
      </c>
      <c r="H460" s="364">
        <f t="shared" si="86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84"/>
        <v>-1091.5898499999998</v>
      </c>
      <c r="G461" s="363">
        <f t="shared" si="85"/>
        <v>127941.78985</v>
      </c>
      <c r="H461" s="364">
        <f t="shared" si="86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84"/>
        <v>-1074.5375999999919</v>
      </c>
      <c r="G462" s="363">
        <f t="shared" si="85"/>
        <v>124522.1376</v>
      </c>
      <c r="H462" s="364">
        <f t="shared" si="86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84"/>
        <v>-975.11200799999187</v>
      </c>
      <c r="G463" s="363">
        <f t="shared" si="85"/>
        <v>131005.31200799999</v>
      </c>
      <c r="H463" s="364">
        <f t="shared" si="86"/>
        <v>-7.4433012910228059E-3</v>
      </c>
      <c r="I463" s="363" t="s">
        <v>284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87">C465*(E465-D465)</f>
        <v>-320.8720079999913</v>
      </c>
      <c r="G465" s="363">
        <f t="shared" ref="G465:G474" si="88">IF(C465=0, 0,D465*C465)</f>
        <v>131005.31200799999</v>
      </c>
      <c r="H465" s="364">
        <f t="shared" ref="H465:H474" si="89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87"/>
        <v>-3298.169357999996</v>
      </c>
      <c r="G466" s="363">
        <f t="shared" si="88"/>
        <v>138935.309358</v>
      </c>
      <c r="H466" s="364">
        <f t="shared" si="89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87"/>
        <v>-3293.1673579999938</v>
      </c>
      <c r="G467" s="363">
        <f t="shared" si="88"/>
        <v>146745.30735799999</v>
      </c>
      <c r="H467" s="364">
        <f t="shared" si="89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87"/>
        <v>1163.524950000012</v>
      </c>
      <c r="G468" s="363">
        <f t="shared" si="88"/>
        <v>130665.83504999999</v>
      </c>
      <c r="H468" s="364">
        <f t="shared" si="89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87"/>
        <v>1293.5203380000021</v>
      </c>
      <c r="G469" s="363">
        <f t="shared" si="88"/>
        <v>122475.839662</v>
      </c>
      <c r="H469" s="364">
        <f t="shared" si="89"/>
        <v>1.0561432700275958E-2</v>
      </c>
      <c r="I469" s="363" t="s">
        <v>288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87"/>
        <v>1201.2174379999781</v>
      </c>
      <c r="G470" s="363">
        <f t="shared" si="88"/>
        <v>138341.022562</v>
      </c>
      <c r="H470" s="364">
        <f t="shared" si="89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87"/>
        <v>-3368.3391059999908</v>
      </c>
      <c r="G471" s="363">
        <f t="shared" si="88"/>
        <v>143066.01910599999</v>
      </c>
      <c r="H471" s="364">
        <f t="shared" si="89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87"/>
        <v>-3374.3343760000034</v>
      </c>
      <c r="G472" s="363">
        <f t="shared" si="88"/>
        <v>147740.01437600001</v>
      </c>
      <c r="H472" s="364">
        <f t="shared" si="89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87"/>
        <v>-1890.1133999999961</v>
      </c>
      <c r="G473" s="363">
        <f t="shared" si="88"/>
        <v>154028.27340000001</v>
      </c>
      <c r="H473" s="364">
        <f t="shared" si="89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87"/>
        <v>-17012.580000000009</v>
      </c>
      <c r="G474" s="363">
        <f t="shared" si="88"/>
        <v>159012.58000000002</v>
      </c>
      <c r="H474" s="364">
        <f t="shared" si="89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90">C478*(E478-D478)</f>
        <v>-19935.600000000009</v>
      </c>
      <c r="G478" s="363">
        <f t="shared" ref="G478:G485" si="91">IF(C478=0, 0,D478*C478)</f>
        <v>187335.6</v>
      </c>
      <c r="H478" s="365">
        <f t="shared" ref="H478:H485" si="92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90"/>
        <v>-19900.075000000015</v>
      </c>
      <c r="G479" s="363">
        <f t="shared" si="91"/>
        <v>194275.07500000001</v>
      </c>
      <c r="H479" s="365">
        <f t="shared" si="92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90"/>
        <v>-22705.387499999997</v>
      </c>
      <c r="G480" s="363">
        <f t="shared" si="91"/>
        <v>194205.38750000001</v>
      </c>
      <c r="H480" s="365">
        <f t="shared" si="92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90"/>
        <v>-29391.250000000004</v>
      </c>
      <c r="G481" s="363">
        <f t="shared" si="91"/>
        <v>194141.25</v>
      </c>
      <c r="H481" s="365">
        <f t="shared" si="92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90"/>
        <v>-34359.325000000004</v>
      </c>
      <c r="G482" s="363">
        <f t="shared" si="91"/>
        <v>194109.32500000001</v>
      </c>
      <c r="H482" s="364">
        <f t="shared" si="92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90"/>
        <v>-16630.000000000004</v>
      </c>
      <c r="G483" s="363">
        <f t="shared" si="91"/>
        <v>158130</v>
      </c>
      <c r="H483" s="364">
        <f t="shared" si="92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90"/>
        <v>-21229.999999999996</v>
      </c>
      <c r="G484" s="363">
        <f t="shared" si="91"/>
        <v>171820</v>
      </c>
      <c r="H484" s="364">
        <f t="shared" si="92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90"/>
        <v>6109.9988400000047</v>
      </c>
      <c r="G485" s="363">
        <f t="shared" si="91"/>
        <v>118887.84116000001</v>
      </c>
      <c r="H485" s="364">
        <f t="shared" si="92"/>
        <v>5.1392966516879801E-2</v>
      </c>
      <c r="I485" s="363" t="s">
        <v>299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3">C486*(E486-D486)</f>
        <v>822.70680000000016</v>
      </c>
      <c r="G486" s="363">
        <f t="shared" ref="G486:G503" si="94">IF(C486=0, 0,D486*C486)</f>
        <v>126917.6532</v>
      </c>
      <c r="H486" s="364">
        <f t="shared" ref="H486:H503" si="95">IF(C486=0, D486, (E486-D486)/D486)</f>
        <v>6.4822093637640649E-3</v>
      </c>
      <c r="I486" s="363" t="s">
        <v>304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3"/>
        <v>83.308799999990825</v>
      </c>
      <c r="G487" s="363">
        <f t="shared" si="94"/>
        <v>134772.8112</v>
      </c>
      <c r="H487" s="364">
        <f t="shared" si="95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3"/>
        <v>-4985.4834000000074</v>
      </c>
      <c r="G488" s="363">
        <f t="shared" si="94"/>
        <v>139206.5834</v>
      </c>
      <c r="H488" s="364">
        <f t="shared" si="95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3"/>
        <v>18978.923399999992</v>
      </c>
      <c r="G489" s="363">
        <f t="shared" si="94"/>
        <v>74535.756600000008</v>
      </c>
      <c r="H489" s="364">
        <f t="shared" si="95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3"/>
        <v>18638.087600000006</v>
      </c>
      <c r="G490" s="363">
        <f t="shared" si="94"/>
        <v>65051.332399999999</v>
      </c>
      <c r="H490" s="364">
        <f t="shared" si="95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3"/>
        <v>18627.5</v>
      </c>
      <c r="G491" s="363">
        <f t="shared" si="94"/>
        <v>70822.5</v>
      </c>
      <c r="H491" s="364">
        <f t="shared" si="95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3"/>
        <v>20177.499999999996</v>
      </c>
      <c r="G492" s="363">
        <f t="shared" si="94"/>
        <v>70822.5</v>
      </c>
      <c r="H492" s="364">
        <f t="shared" si="95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3"/>
        <v>21382.430000000011</v>
      </c>
      <c r="G493" s="363">
        <f t="shared" si="94"/>
        <v>70717.569999999992</v>
      </c>
      <c r="H493" s="364">
        <f t="shared" si="95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3"/>
        <v>20612.23</v>
      </c>
      <c r="G494" s="363">
        <f t="shared" si="94"/>
        <v>70637.77</v>
      </c>
      <c r="H494" s="364">
        <f t="shared" si="95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3"/>
        <v>22311.999999999993</v>
      </c>
      <c r="G495" s="363">
        <f t="shared" si="94"/>
        <v>70138</v>
      </c>
      <c r="H495" s="364">
        <f t="shared" si="95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3"/>
        <v>20873</v>
      </c>
      <c r="G496" s="363">
        <f t="shared" si="94"/>
        <v>70127</v>
      </c>
      <c r="H496" s="364">
        <f t="shared" si="95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3"/>
        <v>20073</v>
      </c>
      <c r="G497" s="363">
        <f t="shared" si="94"/>
        <v>70127</v>
      </c>
      <c r="H497" s="364">
        <f t="shared" si="95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3"/>
        <v>17654.651999999998</v>
      </c>
      <c r="G498" s="363">
        <f t="shared" si="94"/>
        <v>87765.347999999998</v>
      </c>
      <c r="H498" s="365">
        <f t="shared" si="95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3"/>
        <v>16484.261999999992</v>
      </c>
      <c r="G499" s="363">
        <f t="shared" si="94"/>
        <v>87375.737999999998</v>
      </c>
      <c r="H499" s="365">
        <f t="shared" si="95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3"/>
        <v>20939.061000000002</v>
      </c>
      <c r="G500" s="363">
        <f t="shared" si="94"/>
        <v>78335.938999999998</v>
      </c>
      <c r="H500" s="365">
        <f t="shared" si="95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3"/>
        <v>20604.060000000005</v>
      </c>
      <c r="G501" s="363">
        <f t="shared" si="94"/>
        <v>87275.94</v>
      </c>
      <c r="H501" s="365">
        <f t="shared" si="95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3"/>
        <v>17593.872000000007</v>
      </c>
      <c r="G502" s="363">
        <f t="shared" si="94"/>
        <v>87166.127999999997</v>
      </c>
      <c r="H502" s="365">
        <f t="shared" si="95"/>
        <v>0.20184299112150547</v>
      </c>
      <c r="I502" s="363"/>
    </row>
    <row r="503" spans="1:10" x14ac:dyDescent="0.25">
      <c r="A503" s="226" t="s">
        <v>327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3"/>
        <v>16453.871999999999</v>
      </c>
      <c r="G503" s="363">
        <f t="shared" si="94"/>
        <v>87166.127999999997</v>
      </c>
      <c r="H503" s="365">
        <f t="shared" si="95"/>
        <v>0.1887645164185795</v>
      </c>
      <c r="I503" s="363"/>
    </row>
    <row r="504" spans="1:10" x14ac:dyDescent="0.25">
      <c r="A504" t="s">
        <v>327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96">C504*(E504-D504)</f>
        <v>19333.872000000003</v>
      </c>
      <c r="G504" s="363">
        <f t="shared" ref="G504:G518" si="97">IF(C504=0, 0,D504*C504)</f>
        <v>87166.127999999997</v>
      </c>
      <c r="H504" s="365">
        <f t="shared" ref="H504:H518" si="98">IF(C504=0, D504, (E504-D504)/D504)</f>
        <v>0.22180487356281334</v>
      </c>
      <c r="I504" s="363"/>
    </row>
    <row r="505" spans="1:10" x14ac:dyDescent="0.25">
      <c r="A505" t="s">
        <v>359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96"/>
        <v>19450.98</v>
      </c>
      <c r="G505" s="363">
        <f t="shared" si="97"/>
        <v>87049.02</v>
      </c>
      <c r="H505" s="365">
        <f t="shared" si="98"/>
        <v>0.22344858104088938</v>
      </c>
      <c r="I505" s="363"/>
    </row>
    <row r="506" spans="1:10" x14ac:dyDescent="0.25">
      <c r="A506" t="s">
        <v>362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96"/>
        <v>17423.978999999996</v>
      </c>
      <c r="G506" s="363">
        <f t="shared" si="97"/>
        <v>88777.021000000008</v>
      </c>
      <c r="H506" s="365">
        <f t="shared" si="98"/>
        <v>0.19626676817641803</v>
      </c>
      <c r="I506" s="363"/>
    </row>
    <row r="507" spans="1:10" x14ac:dyDescent="0.25">
      <c r="A507" t="s">
        <v>372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96"/>
        <v>11978.979600000011</v>
      </c>
      <c r="G507" s="363">
        <f t="shared" si="97"/>
        <v>102078.02039999999</v>
      </c>
      <c r="H507" s="365">
        <f t="shared" si="98"/>
        <v>0.11735121383682331</v>
      </c>
      <c r="I507" s="363"/>
    </row>
    <row r="508" spans="1:10" x14ac:dyDescent="0.25">
      <c r="A508" t="s">
        <v>373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96"/>
        <v>13568.870699999996</v>
      </c>
      <c r="G508" s="363">
        <f t="shared" si="97"/>
        <v>102006.1293</v>
      </c>
      <c r="H508" s="365">
        <f t="shared" si="98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96"/>
        <v>12886.949999999995</v>
      </c>
      <c r="G509" s="363">
        <f t="shared" si="97"/>
        <v>86653.05</v>
      </c>
      <c r="H509" s="365">
        <f t="shared" si="98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96"/>
        <v>13051.947999999999</v>
      </c>
      <c r="G510" s="363">
        <f t="shared" si="97"/>
        <v>103078.052</v>
      </c>
      <c r="H510" s="365">
        <f t="shared" si="98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96"/>
        <v>13089.952800000001</v>
      </c>
      <c r="G511" s="363">
        <f t="shared" si="97"/>
        <v>106358.0472</v>
      </c>
      <c r="H511" s="365">
        <f t="shared" si="98"/>
        <v>0.12307439958337259</v>
      </c>
      <c r="I511" s="363"/>
    </row>
    <row r="512" spans="1:10" ht="15" customHeight="1" x14ac:dyDescent="0.25">
      <c r="A512" t="s">
        <v>377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96"/>
        <v>13075.699000000004</v>
      </c>
      <c r="G512" s="363">
        <f t="shared" si="97"/>
        <v>94759.300999999992</v>
      </c>
      <c r="H512" s="365">
        <f t="shared" si="98"/>
        <v>0.13798855481215511</v>
      </c>
      <c r="I512" s="363"/>
    </row>
    <row r="513" spans="1:13" x14ac:dyDescent="0.25">
      <c r="A513" t="s">
        <v>379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96"/>
        <v>13867.271999999995</v>
      </c>
      <c r="G513" s="363">
        <f>IF(C513=0, 0,D513*C513)</f>
        <v>86212.728000000003</v>
      </c>
      <c r="H513" s="365">
        <f t="shared" si="98"/>
        <v>0.16084947456946261</v>
      </c>
      <c r="I513" s="363"/>
    </row>
    <row r="514" spans="1:13" x14ac:dyDescent="0.25">
      <c r="A514" t="s">
        <v>386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96"/>
        <v>17083.611900000004</v>
      </c>
      <c r="G514" s="363">
        <f t="shared" si="97"/>
        <v>74235.388099999996</v>
      </c>
      <c r="H514" s="365">
        <f t="shared" si="98"/>
        <v>0.2301276027140485</v>
      </c>
      <c r="I514" s="363"/>
    </row>
    <row r="515" spans="1:13" x14ac:dyDescent="0.25">
      <c r="A515" t="s">
        <v>396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96"/>
        <v>13252.614000000001</v>
      </c>
      <c r="G515" s="363">
        <f t="shared" si="97"/>
        <v>85867.385999999999</v>
      </c>
      <c r="H515" s="365">
        <f t="shared" si="98"/>
        <v>0.15433815581622576</v>
      </c>
      <c r="I515" s="363"/>
    </row>
    <row r="516" spans="1:13" x14ac:dyDescent="0.25">
      <c r="A516" t="s">
        <v>401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96"/>
        <v>10351.611600000004</v>
      </c>
      <c r="G516" s="363">
        <f t="shared" si="97"/>
        <v>95446.388400000011</v>
      </c>
      <c r="H516" s="365">
        <f t="shared" si="98"/>
        <v>0.10845472283998965</v>
      </c>
      <c r="I516" s="363"/>
    </row>
    <row r="517" spans="1:13" x14ac:dyDescent="0.25">
      <c r="A517" t="s">
        <v>424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96"/>
        <v>12307.2804</v>
      </c>
      <c r="G517" s="363">
        <f t="shared" si="97"/>
        <v>80602.719600000011</v>
      </c>
      <c r="H517" s="365">
        <f t="shared" si="98"/>
        <v>0.1526906345229572</v>
      </c>
      <c r="I517" s="363"/>
    </row>
    <row r="518" spans="1:13" x14ac:dyDescent="0.25">
      <c r="A518" t="s">
        <v>426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96"/>
        <v>11781.900000000011</v>
      </c>
      <c r="G518" s="363">
        <f t="shared" si="97"/>
        <v>80387.100000000006</v>
      </c>
      <c r="H518" s="365">
        <f t="shared" si="98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9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100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9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100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9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100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9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100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9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100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9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100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9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100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9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100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9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100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9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100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9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100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9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100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9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100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9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100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9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100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9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100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9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100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9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100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9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100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9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100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9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100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9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100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9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100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9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100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9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100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9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100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9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100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9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100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9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9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9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101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9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101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9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101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9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101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9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101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9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101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9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101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9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101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9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101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9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101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9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101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9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101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9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101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9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9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9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102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9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102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9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102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9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102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9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102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9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102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9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102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9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102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9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102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9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102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9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102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9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102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9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102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9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102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9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102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9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102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9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102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9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102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9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102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3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102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3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102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3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102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3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102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3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102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3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102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3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102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3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102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3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102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3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102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3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102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3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102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3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102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3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102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3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102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3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102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3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102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3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102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3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102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3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102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3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102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3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102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3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102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3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102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3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102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3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102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3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102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3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102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3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102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3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102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3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102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3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102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3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102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3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102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3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102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3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102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3"/>
        <v>1040</v>
      </c>
      <c r="G629" s="614" t="s">
        <v>217</v>
      </c>
      <c r="H629" s="513">
        <v>500</v>
      </c>
      <c r="I629" s="498">
        <v>13.91</v>
      </c>
      <c r="J629" s="499">
        <v>0.15</v>
      </c>
      <c r="K629" s="499">
        <f t="shared" si="102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3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102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3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102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3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102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3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102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3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3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3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3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3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3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3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3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3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3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3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3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3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3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3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3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3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3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3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3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3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3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3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04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04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04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04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04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04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04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04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04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04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04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04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04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04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04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04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05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04"/>
        <v>32844.239999999998</v>
      </c>
      <c r="G673" s="611" t="s">
        <v>225</v>
      </c>
      <c r="H673" s="513">
        <v>500</v>
      </c>
      <c r="I673" s="498">
        <v>15.48</v>
      </c>
      <c r="J673" s="499">
        <v>0.17</v>
      </c>
      <c r="K673" s="499">
        <f t="shared" si="105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04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05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04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05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04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05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04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05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04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05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04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05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04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05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04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05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04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05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04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05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04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05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04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05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04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05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04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05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04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05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04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05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04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05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04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05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04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05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04"/>
        <v>7325</v>
      </c>
      <c r="G693" s="616" t="s">
        <v>253</v>
      </c>
      <c r="H693" s="513">
        <v>500</v>
      </c>
      <c r="I693" s="498">
        <v>16.18</v>
      </c>
      <c r="J693" s="499">
        <v>0.18</v>
      </c>
      <c r="K693" s="499">
        <f t="shared" si="105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04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05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04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05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04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05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04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05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04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05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04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05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04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05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04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05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04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05"/>
        <v>8359.82</v>
      </c>
      <c r="L702" s="617" t="s">
        <v>266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04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05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04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05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04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05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04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05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04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05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04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05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04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05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04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05"/>
        <v>4583.8999999999996</v>
      </c>
      <c r="L710" s="497"/>
      <c r="M710" s="499"/>
    </row>
    <row r="711" spans="1:13" ht="30" x14ac:dyDescent="0.25">
      <c r="A711" s="599" t="s">
        <v>275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04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05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04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05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04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05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04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05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04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05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04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05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04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05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04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05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04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05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04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05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06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05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06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05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06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05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06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05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06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05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06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05"/>
        <v>14279.69</v>
      </c>
      <c r="L726" s="497"/>
      <c r="M726" s="499"/>
    </row>
    <row r="727" spans="1:13" ht="30" x14ac:dyDescent="0.25">
      <c r="A727" s="599" t="s">
        <v>290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06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05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06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05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06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05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06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05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06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05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06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05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06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05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06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05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06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05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05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05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07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05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07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05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07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05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07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05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07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05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07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05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07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05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07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05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07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05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07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05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05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08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05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08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05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08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05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08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05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08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05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08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05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08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05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08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05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08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05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08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08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08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08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08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08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08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08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59" priority="163">
      <formula>F109&gt;0</formula>
    </cfRule>
    <cfRule type="expression" dxfId="2158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57" priority="156">
      <formula>F267&gt;0</formula>
    </cfRule>
    <cfRule type="expression" dxfId="2156" priority="157">
      <formula>F267&lt;0</formula>
    </cfRule>
  </conditionalFormatting>
  <conditionalFormatting sqref="H267:H273">
    <cfRule type="expression" dxfId="2155" priority="152">
      <formula>H267&gt;0</formula>
    </cfRule>
    <cfRule type="expression" dxfId="2154" priority="153">
      <formula>H267&lt;0</formula>
    </cfRule>
  </conditionalFormatting>
  <conditionalFormatting sqref="Q8">
    <cfRule type="expression" dxfId="2153" priority="138">
      <formula>Q8&gt;0</formula>
    </cfRule>
    <cfRule type="expression" dxfId="2152" priority="139">
      <formula>Q8&lt;0</formula>
    </cfRule>
  </conditionalFormatting>
  <conditionalFormatting sqref="Q7">
    <cfRule type="expression" dxfId="2151" priority="140">
      <formula>Q7&gt;0</formula>
    </cfRule>
    <cfRule type="expression" dxfId="2150" priority="141">
      <formula>Q7&lt;0</formula>
    </cfRule>
  </conditionalFormatting>
  <conditionalFormatting sqref="F375:F381">
    <cfRule type="expression" dxfId="2149" priority="112">
      <formula>F375&gt;0</formula>
    </cfRule>
    <cfRule type="expression" dxfId="2148" priority="113">
      <formula>F375&lt;0</formula>
    </cfRule>
  </conditionalFormatting>
  <conditionalFormatting sqref="F300:F318 H300:H318">
    <cfRule type="expression" dxfId="2147" priority="134">
      <formula>F300&gt;0</formula>
    </cfRule>
    <cfRule type="expression" dxfId="2146" priority="135">
      <formula>F300&lt;0</formula>
    </cfRule>
  </conditionalFormatting>
  <conditionalFormatting sqref="F293:F299">
    <cfRule type="expression" dxfId="2145" priority="132">
      <formula>F293&gt;0</formula>
    </cfRule>
    <cfRule type="expression" dxfId="2144" priority="133">
      <formula>F293&lt;0</formula>
    </cfRule>
  </conditionalFormatting>
  <conditionalFormatting sqref="H293:H299">
    <cfRule type="expression" dxfId="2143" priority="130">
      <formula>H293&gt;0</formula>
    </cfRule>
    <cfRule type="expression" dxfId="2142" priority="131">
      <formula>H293&lt;0</formula>
    </cfRule>
  </conditionalFormatting>
  <conditionalFormatting sqref="F326:F344 H326:H344">
    <cfRule type="expression" dxfId="2141" priority="128">
      <formula>F326&gt;0</formula>
    </cfRule>
    <cfRule type="expression" dxfId="2140" priority="129">
      <formula>F326&lt;0</formula>
    </cfRule>
  </conditionalFormatting>
  <conditionalFormatting sqref="F319:F325">
    <cfRule type="expression" dxfId="2139" priority="126">
      <formula>F319&gt;0</formula>
    </cfRule>
    <cfRule type="expression" dxfId="2138" priority="127">
      <formula>F319&lt;0</formula>
    </cfRule>
  </conditionalFormatting>
  <conditionalFormatting sqref="H319:H325">
    <cfRule type="expression" dxfId="2137" priority="124">
      <formula>H319&gt;0</formula>
    </cfRule>
    <cfRule type="expression" dxfId="2136" priority="125">
      <formula>H319&lt;0</formula>
    </cfRule>
  </conditionalFormatting>
  <conditionalFormatting sqref="F352:F369 H352:H369">
    <cfRule type="expression" dxfId="2135" priority="122">
      <formula>F352&gt;0</formula>
    </cfRule>
    <cfRule type="expression" dxfId="2134" priority="123">
      <formula>F352&lt;0</formula>
    </cfRule>
  </conditionalFormatting>
  <conditionalFormatting sqref="F345:F351">
    <cfRule type="expression" dxfId="2133" priority="120">
      <formula>F345&gt;0</formula>
    </cfRule>
    <cfRule type="expression" dxfId="2132" priority="121">
      <formula>F345&lt;0</formula>
    </cfRule>
  </conditionalFormatting>
  <conditionalFormatting sqref="H345:H351">
    <cfRule type="expression" dxfId="2131" priority="118">
      <formula>H345&gt;0</formula>
    </cfRule>
    <cfRule type="expression" dxfId="2130" priority="119">
      <formula>H345&lt;0</formula>
    </cfRule>
  </conditionalFormatting>
  <conditionalFormatting sqref="F370:F374 H370:H374">
    <cfRule type="expression" dxfId="2129" priority="116">
      <formula>F370&gt;0</formula>
    </cfRule>
    <cfRule type="expression" dxfId="2128" priority="117">
      <formula>F370&lt;0</formula>
    </cfRule>
  </conditionalFormatting>
  <conditionalFormatting sqref="F382:F397 H382:H397">
    <cfRule type="expression" dxfId="2127" priority="114">
      <formula>F382&gt;0</formula>
    </cfRule>
    <cfRule type="expression" dxfId="2126" priority="115">
      <formula>F382&lt;0</formula>
    </cfRule>
  </conditionalFormatting>
  <conditionalFormatting sqref="H375:H381">
    <cfRule type="expression" dxfId="2125" priority="110">
      <formula>H375&gt;0</formula>
    </cfRule>
    <cfRule type="expression" dxfId="2124" priority="111">
      <formula>H375&lt;0</formula>
    </cfRule>
  </conditionalFormatting>
  <conditionalFormatting sqref="F398 H398">
    <cfRule type="expression" dxfId="2123" priority="108">
      <formula>F398&gt;0</formula>
    </cfRule>
    <cfRule type="expression" dxfId="2122" priority="109">
      <formula>F398&lt;0</formula>
    </cfRule>
  </conditionalFormatting>
  <conditionalFormatting sqref="F399:F403 H399:H403">
    <cfRule type="expression" dxfId="2121" priority="106">
      <formula>F399&gt;0</formula>
    </cfRule>
    <cfRule type="expression" dxfId="2120" priority="107">
      <formula>F399&lt;0</formula>
    </cfRule>
  </conditionalFormatting>
  <conditionalFormatting sqref="F411:F426 H411:H426">
    <cfRule type="expression" dxfId="2119" priority="104">
      <formula>F411&gt;0</formula>
    </cfRule>
    <cfRule type="expression" dxfId="2118" priority="105">
      <formula>F411&lt;0</formula>
    </cfRule>
  </conditionalFormatting>
  <conditionalFormatting sqref="F404:F410">
    <cfRule type="expression" dxfId="2117" priority="102">
      <formula>F404&gt;0</formula>
    </cfRule>
    <cfRule type="expression" dxfId="2116" priority="103">
      <formula>F404&lt;0</formula>
    </cfRule>
  </conditionalFormatting>
  <conditionalFormatting sqref="H404:H410">
    <cfRule type="expression" dxfId="2115" priority="100">
      <formula>H404&gt;0</formula>
    </cfRule>
    <cfRule type="expression" dxfId="2114" priority="101">
      <formula>H404&lt;0</formula>
    </cfRule>
  </conditionalFormatting>
  <conditionalFormatting sqref="F428:F433 H428:H433">
    <cfRule type="expression" dxfId="2113" priority="98">
      <formula>F428&gt;0</formula>
    </cfRule>
    <cfRule type="expression" dxfId="2112" priority="99">
      <formula>F428&lt;0</formula>
    </cfRule>
  </conditionalFormatting>
  <conditionalFormatting sqref="F434 H434">
    <cfRule type="expression" dxfId="2111" priority="96">
      <formula>F434&gt;0</formula>
    </cfRule>
    <cfRule type="expression" dxfId="2110" priority="97">
      <formula>F434&lt;0</formula>
    </cfRule>
  </conditionalFormatting>
  <conditionalFormatting sqref="F435:F439 H435:H439">
    <cfRule type="expression" dxfId="2109" priority="94">
      <formula>F435&gt;0</formula>
    </cfRule>
    <cfRule type="expression" dxfId="2108" priority="95">
      <formula>F435&lt;0</formula>
    </cfRule>
  </conditionalFormatting>
  <conditionalFormatting sqref="F447:F462 H447:H462">
    <cfRule type="expression" dxfId="2107" priority="92">
      <formula>F447&gt;0</formula>
    </cfRule>
    <cfRule type="expression" dxfId="2106" priority="93">
      <formula>F447&lt;0</formula>
    </cfRule>
  </conditionalFormatting>
  <conditionalFormatting sqref="F440:F446">
    <cfRule type="expression" dxfId="2105" priority="90">
      <formula>F440&gt;0</formula>
    </cfRule>
    <cfRule type="expression" dxfId="2104" priority="91">
      <formula>F440&lt;0</formula>
    </cfRule>
  </conditionalFormatting>
  <conditionalFormatting sqref="H440:H446">
    <cfRule type="expression" dxfId="2103" priority="88">
      <formula>H440&gt;0</formula>
    </cfRule>
    <cfRule type="expression" dxfId="2102" priority="89">
      <formula>H440&lt;0</formula>
    </cfRule>
  </conditionalFormatting>
  <conditionalFormatting sqref="F463:F468 H463:H468">
    <cfRule type="expression" dxfId="2101" priority="86">
      <formula>F463&gt;0</formula>
    </cfRule>
    <cfRule type="expression" dxfId="2100" priority="87">
      <formula>F463&lt;0</formula>
    </cfRule>
  </conditionalFormatting>
  <conditionalFormatting sqref="F469 H469">
    <cfRule type="expression" dxfId="2099" priority="84">
      <formula>F469&gt;0</formula>
    </cfRule>
    <cfRule type="expression" dxfId="2098" priority="85">
      <formula>F469&lt;0</formula>
    </cfRule>
  </conditionalFormatting>
  <conditionalFormatting sqref="F470:F474 H470:H474">
    <cfRule type="expression" dxfId="2097" priority="82">
      <formula>F470&gt;0</formula>
    </cfRule>
    <cfRule type="expression" dxfId="2096" priority="83">
      <formula>F470&lt;0</formula>
    </cfRule>
  </conditionalFormatting>
  <conditionalFormatting sqref="F482:F497 H482:H497">
    <cfRule type="expression" dxfId="2095" priority="80">
      <formula>F482&gt;0</formula>
    </cfRule>
    <cfRule type="expression" dxfId="2094" priority="81">
      <formula>F482&lt;0</formula>
    </cfRule>
  </conditionalFormatting>
  <conditionalFormatting sqref="F475:F481">
    <cfRule type="expression" dxfId="2093" priority="78">
      <formula>F475&gt;0</formula>
    </cfRule>
    <cfRule type="expression" dxfId="2092" priority="79">
      <formula>F475&lt;0</formula>
    </cfRule>
  </conditionalFormatting>
  <conditionalFormatting sqref="H475:H481">
    <cfRule type="expression" dxfId="2091" priority="76">
      <formula>H475&gt;0</formula>
    </cfRule>
    <cfRule type="expression" dxfId="2090" priority="77">
      <formula>H475&lt;0</formula>
    </cfRule>
  </conditionalFormatting>
  <conditionalFormatting sqref="M526">
    <cfRule type="expression" dxfId="2089" priority="74">
      <formula>M526&gt;0</formula>
    </cfRule>
    <cfRule type="expression" dxfId="2088" priority="75">
      <formula>M526&lt;0</formula>
    </cfRule>
  </conditionalFormatting>
  <conditionalFormatting sqref="F107:F118">
    <cfRule type="expression" dxfId="2087" priority="70">
      <formula>F107&gt;0</formula>
    </cfRule>
    <cfRule type="expression" dxfId="2086" priority="71">
      <formula>F107&lt;0</formula>
    </cfRule>
  </conditionalFormatting>
  <conditionalFormatting sqref="H107:H118">
    <cfRule type="expression" dxfId="2085" priority="68">
      <formula>H107&gt;0</formula>
    </cfRule>
    <cfRule type="expression" dxfId="2084" priority="69">
      <formula>H107&lt;0</formula>
    </cfRule>
  </conditionalFormatting>
  <conditionalFormatting sqref="F101:F106 H101:H106">
    <cfRule type="expression" dxfId="2083" priority="66">
      <formula>F101&gt;0</formula>
    </cfRule>
    <cfRule type="expression" dxfId="2082" priority="67">
      <formula>F101&lt;0</formula>
    </cfRule>
  </conditionalFormatting>
  <conditionalFormatting sqref="J103:K103">
    <cfRule type="expression" dxfId="2081" priority="64">
      <formula>J103&gt;0</formula>
    </cfRule>
    <cfRule type="expression" dxfId="2080" priority="65">
      <formula>J103&lt;0</formula>
    </cfRule>
  </conditionalFormatting>
  <conditionalFormatting sqref="J104:K110">
    <cfRule type="expression" dxfId="2079" priority="62">
      <formula>J104&gt;0</formula>
    </cfRule>
    <cfRule type="expression" dxfId="2078" priority="63">
      <formula>J104&lt;0</formula>
    </cfRule>
  </conditionalFormatting>
  <conditionalFormatting sqref="L103:L185 L192 L194">
    <cfRule type="expression" dxfId="2077" priority="58">
      <formula>L103&gt;0</formula>
    </cfRule>
    <cfRule type="expression" dxfId="2076" priority="59">
      <formula>L103&lt;0</formula>
    </cfRule>
  </conditionalFormatting>
  <conditionalFormatting sqref="Q10">
    <cfRule type="expression" dxfId="2075" priority="56">
      <formula>Q10&gt;0</formula>
    </cfRule>
    <cfRule type="expression" dxfId="2074" priority="57">
      <formula>Q10&lt;0</formula>
    </cfRule>
  </conditionalFormatting>
  <conditionalFormatting sqref="K214:K215 H214:H216 F214:F216">
    <cfRule type="expression" dxfId="2073" priority="53">
      <formula>F214&gt;0</formula>
    </cfRule>
    <cfRule type="expression" dxfId="2072" priority="54">
      <formula>F214&lt;0</formula>
    </cfRule>
  </conditionalFormatting>
  <conditionalFormatting sqref="K210:K212 H210:H212 F210:F212">
    <cfRule type="expression" dxfId="2071" priority="51">
      <formula>F210&gt;0</formula>
    </cfRule>
    <cfRule type="expression" dxfId="2070" priority="52">
      <formula>F210&lt;0</formula>
    </cfRule>
  </conditionalFormatting>
  <conditionalFormatting sqref="K208:K209 H209 F209">
    <cfRule type="expression" dxfId="2069" priority="49">
      <formula>F208&gt;0</formula>
    </cfRule>
    <cfRule type="expression" dxfId="2068" priority="50">
      <formula>F208&lt;0</formula>
    </cfRule>
  </conditionalFormatting>
  <conditionalFormatting sqref="K213 H213 F213">
    <cfRule type="expression" dxfId="2067" priority="47">
      <formula>F213&gt;0</formula>
    </cfRule>
    <cfRule type="expression" dxfId="2066" priority="48">
      <formula>F213&lt;0</formula>
    </cfRule>
  </conditionalFormatting>
  <conditionalFormatting sqref="K221:K222">
    <cfRule type="expression" dxfId="2065" priority="45">
      <formula>K221&gt;0</formula>
    </cfRule>
    <cfRule type="expression" dxfId="2064" priority="46">
      <formula>K221&lt;0</formula>
    </cfRule>
  </conditionalFormatting>
  <conditionalFormatting sqref="K219:K220 H219:H222 F219:F222">
    <cfRule type="expression" dxfId="2063" priority="43">
      <formula>F219&gt;0</formula>
    </cfRule>
    <cfRule type="expression" dxfId="2062" priority="44">
      <formula>F219&lt;0</formula>
    </cfRule>
  </conditionalFormatting>
  <conditionalFormatting sqref="H217:H218 F217:F218 K217:K218">
    <cfRule type="expression" dxfId="2061" priority="41">
      <formula>F217&gt;0</formula>
    </cfRule>
    <cfRule type="expression" dxfId="2060" priority="42">
      <formula>F217&lt;0</formula>
    </cfRule>
  </conditionalFormatting>
  <conditionalFormatting sqref="K243:K244 H244 F244">
    <cfRule type="expression" dxfId="2059" priority="39">
      <formula>F243&gt;0</formula>
    </cfRule>
    <cfRule type="expression" dxfId="2058" priority="40">
      <formula>F243&lt;0</formula>
    </cfRule>
  </conditionalFormatting>
  <conditionalFormatting sqref="K225:K226 H225:H227 F225:F227">
    <cfRule type="expression" dxfId="2057" priority="37">
      <formula>F225&gt;0</formula>
    </cfRule>
    <cfRule type="expression" dxfId="2056" priority="38">
      <formula>F225&lt;0</formula>
    </cfRule>
  </conditionalFormatting>
  <conditionalFormatting sqref="K223:K224 H223:H224 F223:F224">
    <cfRule type="expression" dxfId="2055" priority="35">
      <formula>F223&gt;0</formula>
    </cfRule>
    <cfRule type="expression" dxfId="2054" priority="36">
      <formula>F223&lt;0</formula>
    </cfRule>
  </conditionalFormatting>
  <conditionalFormatting sqref="K237:K238 H237:H239 F237:F239">
    <cfRule type="expression" dxfId="2053" priority="33">
      <formula>F237&gt;0</formula>
    </cfRule>
    <cfRule type="expression" dxfId="2052" priority="34">
      <formula>F237&lt;0</formula>
    </cfRule>
  </conditionalFormatting>
  <conditionalFormatting sqref="K235:K236 H236 F236">
    <cfRule type="expression" dxfId="2051" priority="31">
      <formula>F235&gt;0</formula>
    </cfRule>
    <cfRule type="expression" dxfId="2050" priority="32">
      <formula>F235&lt;0</formula>
    </cfRule>
  </conditionalFormatting>
  <conditionalFormatting sqref="K233:K234 H233:H235 F233:F235">
    <cfRule type="expression" dxfId="2049" priority="29">
      <formula>F233&gt;0</formula>
    </cfRule>
    <cfRule type="expression" dxfId="2048" priority="30">
      <formula>F233&lt;0</formula>
    </cfRule>
  </conditionalFormatting>
  <conditionalFormatting sqref="K231:K232 H232 F232">
    <cfRule type="expression" dxfId="2047" priority="27">
      <formula>F231&gt;0</formula>
    </cfRule>
    <cfRule type="expression" dxfId="2046" priority="28">
      <formula>F231&lt;0</formula>
    </cfRule>
  </conditionalFormatting>
  <conditionalFormatting sqref="K229:K230 H229:H231 F229:F231">
    <cfRule type="expression" dxfId="2045" priority="25">
      <formula>F229&gt;0</formula>
    </cfRule>
    <cfRule type="expression" dxfId="2044" priority="26">
      <formula>F229&lt;0</formula>
    </cfRule>
  </conditionalFormatting>
  <conditionalFormatting sqref="K227:K228 H228 F228">
    <cfRule type="expression" dxfId="2043" priority="23">
      <formula>F227&gt;0</formula>
    </cfRule>
    <cfRule type="expression" dxfId="2042" priority="24">
      <formula>F227&lt;0</formula>
    </cfRule>
  </conditionalFormatting>
  <conditionalFormatting sqref="K241:K242 H241:H243 F241:F243">
    <cfRule type="expression" dxfId="2041" priority="21">
      <formula>F241&gt;0</formula>
    </cfRule>
    <cfRule type="expression" dxfId="2040" priority="22">
      <formula>F241&lt;0</formula>
    </cfRule>
  </conditionalFormatting>
  <conditionalFormatting sqref="K239:K240 H240 F240">
    <cfRule type="expression" dxfId="2039" priority="19">
      <formula>F239&gt;0</formula>
    </cfRule>
    <cfRule type="expression" dxfId="2038" priority="20">
      <formula>F239&lt;0</formula>
    </cfRule>
  </conditionalFormatting>
  <conditionalFormatting sqref="K261:K262 H261:H262 F261:F262">
    <cfRule type="expression" dxfId="2037" priority="17">
      <formula>F261&gt;0</formula>
    </cfRule>
    <cfRule type="expression" dxfId="2036" priority="18">
      <formula>F261&lt;0</formula>
    </cfRule>
  </conditionalFormatting>
  <conditionalFormatting sqref="K247:K248 H248 F248">
    <cfRule type="expression" dxfId="2035" priority="15">
      <formula>F247&gt;0</formula>
    </cfRule>
    <cfRule type="expression" dxfId="2034" priority="16">
      <formula>F247&lt;0</formula>
    </cfRule>
  </conditionalFormatting>
  <conditionalFormatting sqref="K245:K246 H245:H247 F245:F247">
    <cfRule type="expression" dxfId="2033" priority="13">
      <formula>F245&gt;0</formula>
    </cfRule>
    <cfRule type="expression" dxfId="2032" priority="14">
      <formula>F245&lt;0</formula>
    </cfRule>
  </conditionalFormatting>
  <conditionalFormatting sqref="K259:K260 H259:H260 F259:F260">
    <cfRule type="expression" dxfId="2031" priority="11">
      <formula>F259&gt;0</formula>
    </cfRule>
    <cfRule type="expression" dxfId="2030" priority="12">
      <formula>F259&lt;0</formula>
    </cfRule>
  </conditionalFormatting>
  <conditionalFormatting sqref="K257:K258 H257:H258 F257:F258">
    <cfRule type="expression" dxfId="2029" priority="9">
      <formula>F257&gt;0</formula>
    </cfRule>
    <cfRule type="expression" dxfId="2028" priority="10">
      <formula>F257&lt;0</formula>
    </cfRule>
  </conditionalFormatting>
  <conditionalFormatting sqref="K255:K256 H255:H256 F255:F256">
    <cfRule type="expression" dxfId="2027" priority="7">
      <formula>F255&gt;0</formula>
    </cfRule>
    <cfRule type="expression" dxfId="2026" priority="8">
      <formula>F255&lt;0</formula>
    </cfRule>
  </conditionalFormatting>
  <conditionalFormatting sqref="K253:K254 H253:H254 F253:F254">
    <cfRule type="expression" dxfId="2025" priority="5">
      <formula>F253&gt;0</formula>
    </cfRule>
    <cfRule type="expression" dxfId="2024" priority="6">
      <formula>F253&lt;0</formula>
    </cfRule>
  </conditionalFormatting>
  <conditionalFormatting sqref="K251:K252">
    <cfRule type="expression" dxfId="2023" priority="3">
      <formula>K251&gt;0</formula>
    </cfRule>
    <cfRule type="expression" dxfId="2022" priority="4">
      <formula>K251&lt;0</formula>
    </cfRule>
  </conditionalFormatting>
  <conditionalFormatting sqref="K249:K250 H249:H252 F249:F252">
    <cfRule type="expression" dxfId="2021" priority="1">
      <formula>F249&gt;0</formula>
    </cfRule>
    <cfRule type="expression" dxfId="2020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17" activePane="bottomLeft" state="frozen"/>
      <selection activeCell="A2" sqref="A2"/>
      <selection pane="bottomLeft" activeCell="C9" sqref="C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773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8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834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219</v>
      </c>
      <c r="AJ2">
        <f>$Q$2*$Q$4</f>
        <v>3950.9700000000003</v>
      </c>
      <c r="AK2">
        <f ca="1">AJ2*EXP(-$X$2 * AI2/365.25)</f>
        <v>3950.9700000000003</v>
      </c>
      <c r="AM2" s="2">
        <f>Q10</f>
        <v>0</v>
      </c>
      <c r="AO2">
        <f ca="1" xml:space="preserve"> (SUM(AB:AB) - SUM(AE:AE) - SUM(AH:AH) - SUM(AK:AK))/SUM(AB:AB)</f>
        <v>5.3011340532236981E-2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15.125400000000003</v>
      </c>
      <c r="T3" s="1"/>
      <c r="U3" t="s">
        <v>835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13.1699</v>
      </c>
      <c r="R4" s="495">
        <v>-5.3E-3</v>
      </c>
      <c r="T4" s="156"/>
      <c r="U4" s="1" t="s">
        <v>881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3950.9700000000003</v>
      </c>
      <c r="T5" s="1">
        <v>43112</v>
      </c>
      <c r="U5" t="s">
        <v>879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4537.6200000000008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-586.65000000000055</v>
      </c>
      <c r="R7">
        <v>200</v>
      </c>
      <c r="T7" s="1">
        <v>43117</v>
      </c>
      <c r="U7" t="s">
        <v>886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-586.65000000000055</v>
      </c>
      <c r="U8" t="s">
        <v>887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-0.12928583706877184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206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3.6446745988959674E-2</v>
      </c>
      <c r="R11">
        <f>0.12</f>
        <v>0.12</v>
      </c>
      <c r="T11" s="817">
        <v>43124</v>
      </c>
      <c r="U11" t="s">
        <v>880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965</v>
      </c>
      <c r="Q13">
        <f>Q4/0.95</f>
        <v>13.863052631578949</v>
      </c>
      <c r="T13" s="1">
        <v>43210</v>
      </c>
      <c r="U13" t="s">
        <v>1001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1102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1106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SUM(C2:C8)</f>
        <v>750</v>
      </c>
      <c r="D18" s="18"/>
      <c r="E18" s="18"/>
      <c r="F18" s="18">
        <f>SUM(F2:F8)</f>
        <v>11066.5</v>
      </c>
      <c r="G18" s="14"/>
      <c r="H18" s="71">
        <f>SUM(H2:H5)</f>
        <v>450</v>
      </c>
      <c r="I18" s="18"/>
      <c r="J18" s="18"/>
      <c r="K18" s="18">
        <f>SUM(K2:K5)</f>
        <v>6468.8799999999992</v>
      </c>
      <c r="L18" s="14"/>
      <c r="M18" s="18">
        <f>SUM(M2:M10)</f>
        <v>60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56" t="s">
        <v>78</v>
      </c>
      <c r="P20" s="856"/>
      <c r="W20" s="134"/>
    </row>
    <row r="21" spans="1:34" ht="15.75" thickTop="1" x14ac:dyDescent="0.25">
      <c r="O21" s="81">
        <v>1.1000000000000001</v>
      </c>
      <c r="P21" s="81">
        <f>O21*$Q$4</f>
        <v>14.486890000000001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14.355191000000001</v>
      </c>
      <c r="W22" s="134"/>
    </row>
    <row r="23" spans="1:34" x14ac:dyDescent="0.25">
      <c r="O23" s="81">
        <v>1.08</v>
      </c>
      <c r="P23" s="81">
        <f t="shared" si="10"/>
        <v>14.223492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1.07</v>
      </c>
      <c r="P24" s="81">
        <f t="shared" si="10"/>
        <v>14.091793000000001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13.960094000000002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13.828395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13.696696000000001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13.564997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13.433298000000001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13.301599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13.1699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13.038201000000001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1" si="14">C33*(E33-D33)</f>
        <v>-920.00000000000023</v>
      </c>
      <c r="G33" s="39">
        <f t="shared" ref="G33:G41" si="15">D33*C33</f>
        <v>6296</v>
      </c>
      <c r="H33" s="222">
        <f t="shared" ref="H33:H41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12.906502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12.774803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12.643103999999999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12.511405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12.379705999999999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12.248007000000001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12.116308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11.984609000000001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11.85291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773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9" priority="25">
      <formula>F47&gt;0</formula>
    </cfRule>
    <cfRule type="expression" dxfId="2018" priority="26">
      <formula>F47&lt;0</formula>
    </cfRule>
  </conditionalFormatting>
  <conditionalFormatting sqref="Q7">
    <cfRule type="expression" dxfId="2017" priority="23">
      <formula>Q7&gt;0</formula>
    </cfRule>
    <cfRule type="expression" dxfId="2016" priority="24">
      <formula>Q7&lt;0</formula>
    </cfRule>
  </conditionalFormatting>
  <conditionalFormatting sqref="Q8">
    <cfRule type="expression" dxfId="2015" priority="21">
      <formula>Q8&gt;0</formula>
    </cfRule>
    <cfRule type="expression" dxfId="2014" priority="22">
      <formula>Q8&lt;0</formula>
    </cfRule>
  </conditionalFormatting>
  <conditionalFormatting sqref="F25:F30 F34:F46">
    <cfRule type="expression" dxfId="2013" priority="19">
      <formula>F25&gt;0</formula>
    </cfRule>
    <cfRule type="expression" dxfId="2012" priority="20">
      <formula>F25&lt;0</formula>
    </cfRule>
  </conditionalFormatting>
  <conditionalFormatting sqref="H25:H30 H34:H46">
    <cfRule type="expression" dxfId="2011" priority="17">
      <formula>H25&gt;0</formula>
    </cfRule>
    <cfRule type="expression" dxfId="2010" priority="18">
      <formula>H25&lt;0</formula>
    </cfRule>
  </conditionalFormatting>
  <conditionalFormatting sqref="F89:F110">
    <cfRule type="expression" dxfId="2009" priority="15">
      <formula>F89&gt;0</formula>
    </cfRule>
    <cfRule type="expression" dxfId="2008" priority="16">
      <formula>F89&lt;0</formula>
    </cfRule>
  </conditionalFormatting>
  <conditionalFormatting sqref="H89:H110">
    <cfRule type="expression" dxfId="2007" priority="13">
      <formula>H89&gt;0</formula>
    </cfRule>
    <cfRule type="expression" dxfId="2006" priority="14">
      <formula>H89&lt;0</formula>
    </cfRule>
  </conditionalFormatting>
  <conditionalFormatting sqref="Q10">
    <cfRule type="expression" dxfId="2005" priority="11">
      <formula>Q10&gt;0</formula>
    </cfRule>
    <cfRule type="expression" dxfId="2004" priority="12">
      <formula>Q10&lt;0</formula>
    </cfRule>
  </conditionalFormatting>
  <conditionalFormatting sqref="J25:J38">
    <cfRule type="expression" dxfId="2003" priority="9">
      <formula>J25&gt;0</formula>
    </cfRule>
    <cfRule type="expression" dxfId="2002" priority="10">
      <formula>J25&lt;0</formula>
    </cfRule>
  </conditionalFormatting>
  <conditionalFormatting sqref="K25:K38">
    <cfRule type="expression" dxfId="2001" priority="7">
      <formula>K25&gt;0</formula>
    </cfRule>
    <cfRule type="expression" dxfId="2000" priority="8">
      <formula>K25&lt;0</formula>
    </cfRule>
  </conditionalFormatting>
  <conditionalFormatting sqref="L25:L38">
    <cfRule type="expression" dxfId="1999" priority="5">
      <formula>L25&gt;0</formula>
    </cfRule>
    <cfRule type="expression" dxfId="199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97" priority="3">
      <formula>F31&gt;0</formula>
    </cfRule>
    <cfRule type="expression" dxfId="1996" priority="4">
      <formula>F31&lt;0</formula>
    </cfRule>
  </conditionalFormatting>
  <conditionalFormatting sqref="H31:H33">
    <cfRule type="expression" dxfId="1995" priority="1">
      <formula>H31&gt;0</formula>
    </cfRule>
    <cfRule type="expression" dxfId="199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48.9039</v>
      </c>
      <c r="T3" s="1">
        <v>43160</v>
      </c>
      <c r="U3" t="s">
        <v>986</v>
      </c>
    </row>
    <row r="4" spans="1:21" x14ac:dyDescent="0.25">
      <c r="B4" s="72">
        <v>43228</v>
      </c>
      <c r="C4" s="4">
        <v>100</v>
      </c>
      <c r="D4" s="3">
        <v>46.08</v>
      </c>
      <c r="E4" s="3">
        <v>0</v>
      </c>
      <c r="F4" s="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47.239899999999999</v>
      </c>
      <c r="R4" s="495">
        <v>1.5E-3</v>
      </c>
      <c r="T4" s="770"/>
      <c r="U4" s="30"/>
    </row>
    <row r="5" spans="1:21" x14ac:dyDescent="0.25">
      <c r="B5" s="474">
        <v>43299</v>
      </c>
      <c r="C5" s="7">
        <v>50</v>
      </c>
      <c r="D5" s="43">
        <v>43.98</v>
      </c>
      <c r="E5" s="43">
        <v>0</v>
      </c>
      <c r="F5" s="4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9447.98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9780.7800000000007</v>
      </c>
      <c r="T6" s="1">
        <v>43227</v>
      </c>
      <c r="U6" t="s">
        <v>1055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-332.80000000000109</v>
      </c>
      <c r="R7">
        <v>150</v>
      </c>
      <c r="U7" t="s">
        <v>1061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-332.80000000000109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-3.4025916133478218E-2</v>
      </c>
      <c r="T9" s="770">
        <v>43285</v>
      </c>
      <c r="U9" t="s">
        <v>1160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1199</v>
      </c>
    </row>
    <row r="13" spans="1:21" x14ac:dyDescent="0.25">
      <c r="H13" s="70"/>
      <c r="O13" s="11" t="s">
        <v>965</v>
      </c>
      <c r="Q13" s="2">
        <f>Q4/2.6</f>
        <v>18.169192307692306</v>
      </c>
    </row>
    <row r="14" spans="1:21" x14ac:dyDescent="0.25">
      <c r="H14" s="70"/>
      <c r="O14" s="11" t="s">
        <v>1053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12087</v>
      </c>
      <c r="G18" s="14"/>
      <c r="H18" s="71">
        <f>SUM(H2:H5)</f>
        <v>50</v>
      </c>
      <c r="I18" s="18"/>
      <c r="J18" s="18"/>
      <c r="K18" s="18">
        <f>SUM(K2:K5)</f>
        <v>2279.9699999999998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2199</v>
      </c>
      <c r="G19" s="343"/>
      <c r="H19" s="343">
        <f>SumByColor($A$19,H2:H17)</f>
        <v>50</v>
      </c>
      <c r="I19" s="343"/>
      <c r="J19" s="343"/>
      <c r="K19" s="344">
        <f>SumByColor($A$19,K2:K17)</f>
        <v>2280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51.963889999999999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51.491491000000003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51.019092000000001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50.546693000000005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50.074294000000002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49.601894999999999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49.129496000000003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48.657097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48.184697999999997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47.712299000000002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47.239899999999999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46.767500999999996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46.295102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45.822702999999997</v>
      </c>
    </row>
    <row r="37" spans="1:17" x14ac:dyDescent="0.25">
      <c r="A37" s="33" t="s">
        <v>1196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45.350303999999994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44.877904999999998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44.405505999999995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43.933107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" si="4">C41*(E41-D41)</f>
        <v>-157.99999999999983</v>
      </c>
      <c r="G41" s="39">
        <f t="shared" ref="G41" si="5">D41*C41</f>
        <v>9780</v>
      </c>
      <c r="H41" s="222">
        <f t="shared" ref="H41" si="6">(E41-D41)/D41</f>
        <v>-1.615541922290387E-2</v>
      </c>
      <c r="I41" s="39"/>
      <c r="J41" s="39"/>
      <c r="K41" s="39"/>
      <c r="L41" s="39"/>
      <c r="O41" s="81">
        <v>0.92</v>
      </c>
      <c r="P41" s="81">
        <f t="shared" si="0"/>
        <v>43.460708000000004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42.988309000000001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42.515909999999998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3" priority="31">
      <formula>F47&gt;0</formula>
    </cfRule>
    <cfRule type="expression" dxfId="1992" priority="32">
      <formula>F47&lt;0</formula>
    </cfRule>
  </conditionalFormatting>
  <conditionalFormatting sqref="Q7">
    <cfRule type="expression" dxfId="1991" priority="29">
      <formula>Q7&gt;0</formula>
    </cfRule>
    <cfRule type="expression" dxfId="1990" priority="30">
      <formula>Q7&lt;0</formula>
    </cfRule>
  </conditionalFormatting>
  <conditionalFormatting sqref="Q8">
    <cfRule type="expression" dxfId="1989" priority="27">
      <formula>Q8&gt;0</formula>
    </cfRule>
    <cfRule type="expression" dxfId="1988" priority="28">
      <formula>Q8&lt;0</formula>
    </cfRule>
  </conditionalFormatting>
  <conditionalFormatting sqref="F31:F46">
    <cfRule type="expression" dxfId="1987" priority="25">
      <formula>F31&gt;0</formula>
    </cfRule>
    <cfRule type="expression" dxfId="1986" priority="26">
      <formula>F31&lt;0</formula>
    </cfRule>
  </conditionalFormatting>
  <conditionalFormatting sqref="H31:H46">
    <cfRule type="expression" dxfId="1985" priority="23">
      <formula>H31&gt;0</formula>
    </cfRule>
    <cfRule type="expression" dxfId="1984" priority="24">
      <formula>H31&lt;0</formula>
    </cfRule>
  </conditionalFormatting>
  <conditionalFormatting sqref="Q10">
    <cfRule type="expression" dxfId="1983" priority="21">
      <formula>Q10&gt;0</formula>
    </cfRule>
    <cfRule type="expression" dxfId="1982" priority="22">
      <formula>Q10&lt;0</formula>
    </cfRule>
  </conditionalFormatting>
  <conditionalFormatting sqref="J25:J38">
    <cfRule type="expression" dxfId="1981" priority="19">
      <formula>J25&gt;0</formula>
    </cfRule>
    <cfRule type="expression" dxfId="1980" priority="20">
      <formula>J25&lt;0</formula>
    </cfRule>
  </conditionalFormatting>
  <conditionalFormatting sqref="K38">
    <cfRule type="expression" dxfId="1979" priority="17">
      <formula>K38&gt;0</formula>
    </cfRule>
    <cfRule type="expression" dxfId="1978" priority="18">
      <formula>K38&lt;0</formula>
    </cfRule>
  </conditionalFormatting>
  <conditionalFormatting sqref="L25:L38">
    <cfRule type="expression" dxfId="1977" priority="15">
      <formula>L25&gt;0</formula>
    </cfRule>
    <cfRule type="expression" dxfId="1976" priority="16">
      <formula>L25&lt;0</formula>
    </cfRule>
  </conditionalFormatting>
  <conditionalFormatting sqref="F89:F110">
    <cfRule type="expression" dxfId="1975" priority="13">
      <formula>F89&gt;0</formula>
    </cfRule>
    <cfRule type="expression" dxfId="1974" priority="14">
      <formula>F89&lt;0</formula>
    </cfRule>
  </conditionalFormatting>
  <conditionalFormatting sqref="H89:H110">
    <cfRule type="expression" dxfId="1973" priority="11">
      <formula>H89&gt;0</formula>
    </cfRule>
    <cfRule type="expression" dxfId="1972" priority="12">
      <formula>H89&lt;0</formula>
    </cfRule>
  </conditionalFormatting>
  <conditionalFormatting sqref="J89:J102">
    <cfRule type="expression" dxfId="1971" priority="9">
      <formula>J89&gt;0</formula>
    </cfRule>
    <cfRule type="expression" dxfId="1970" priority="10">
      <formula>J89&lt;0</formula>
    </cfRule>
  </conditionalFormatting>
  <conditionalFormatting sqref="K89:K102">
    <cfRule type="expression" dxfId="1969" priority="7">
      <formula>K89&gt;0</formula>
    </cfRule>
    <cfRule type="expression" dxfId="1968" priority="8">
      <formula>K89&lt;0</formula>
    </cfRule>
  </conditionalFormatting>
  <conditionalFormatting sqref="L89:L102">
    <cfRule type="expression" dxfId="1967" priority="5">
      <formula>L89&gt;0</formula>
    </cfRule>
    <cfRule type="expression" dxfId="1966" priority="6">
      <formula>L89&lt;0</formula>
    </cfRule>
  </conditionalFormatting>
  <conditionalFormatting sqref="F25:F30">
    <cfRule type="expression" dxfId="1965" priority="3">
      <formula>F25&gt;0</formula>
    </cfRule>
    <cfRule type="expression" dxfId="1964" priority="4">
      <formula>F25&lt;0</formula>
    </cfRule>
  </conditionalFormatting>
  <conditionalFormatting sqref="H25:H30">
    <cfRule type="expression" dxfId="1963" priority="1">
      <formula>H25&gt;0</formula>
    </cfRule>
    <cfRule type="expression" dxfId="19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1035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1036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53.57</v>
      </c>
      <c r="T3" s="1"/>
      <c r="U3" s="22" t="s">
        <v>1070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53.57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  <c r="U9" t="s">
        <v>1069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2.8000746686578308E-2</v>
      </c>
      <c r="R11">
        <v>1.5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6" t="s">
        <v>78</v>
      </c>
      <c r="P16" s="856"/>
    </row>
    <row r="17" spans="1:21" ht="15.75" thickTop="1" x14ac:dyDescent="0.25">
      <c r="O17" s="81">
        <v>1.1000000000000001</v>
      </c>
      <c r="P17" s="81">
        <f>O17*$Q$4</f>
        <v>58.927000000000007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58.391300000000001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57.855600000000003</v>
      </c>
    </row>
    <row r="20" spans="1:21" x14ac:dyDescent="0.25">
      <c r="O20" s="81">
        <v>1.07</v>
      </c>
      <c r="P20" s="81">
        <f t="shared" si="0"/>
        <v>57.319900000000004</v>
      </c>
    </row>
    <row r="21" spans="1:21" x14ac:dyDescent="0.25">
      <c r="O21" s="81">
        <v>1.06</v>
      </c>
      <c r="P21" s="81">
        <f t="shared" si="0"/>
        <v>56.784200000000006</v>
      </c>
    </row>
    <row r="22" spans="1:21" x14ac:dyDescent="0.25">
      <c r="O22" s="81">
        <v>1.05</v>
      </c>
      <c r="P22" s="81">
        <f t="shared" si="0"/>
        <v>56.2485</v>
      </c>
    </row>
    <row r="23" spans="1:21" x14ac:dyDescent="0.25">
      <c r="O23" s="81">
        <v>1.04</v>
      </c>
      <c r="P23" s="81">
        <f t="shared" si="0"/>
        <v>55.712800000000001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55.177100000000003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54.641400000000004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54.105699999999999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53.57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53.034300000000002</v>
      </c>
      <c r="U28" t="s">
        <v>1068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52.498599999999996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51.962899999999998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51.427199999999999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50.891500000000001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50.355799999999995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49.820100000000004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49.284400000000005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48.748699999999999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48.213000000000001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1" priority="35">
      <formula>F47&gt;0</formula>
    </cfRule>
    <cfRule type="expression" dxfId="1960" priority="36">
      <formula>F47&lt;0</formula>
    </cfRule>
  </conditionalFormatting>
  <conditionalFormatting sqref="Q7">
    <cfRule type="expression" dxfId="1959" priority="33">
      <formula>Q7&gt;0</formula>
    </cfRule>
    <cfRule type="expression" dxfId="1958" priority="34">
      <formula>Q7&lt;0</formula>
    </cfRule>
  </conditionalFormatting>
  <conditionalFormatting sqref="Q8">
    <cfRule type="expression" dxfId="1957" priority="31">
      <formula>Q8&gt;0</formula>
    </cfRule>
    <cfRule type="expression" dxfId="1956" priority="32">
      <formula>Q8&lt;0</formula>
    </cfRule>
  </conditionalFormatting>
  <conditionalFormatting sqref="F30:F46">
    <cfRule type="expression" dxfId="1955" priority="29">
      <formula>F30&gt;0</formula>
    </cfRule>
    <cfRule type="expression" dxfId="1954" priority="30">
      <formula>F30&lt;0</formula>
    </cfRule>
  </conditionalFormatting>
  <conditionalFormatting sqref="H30:H46">
    <cfRule type="expression" dxfId="1953" priority="27">
      <formula>H30&gt;0</formula>
    </cfRule>
    <cfRule type="expression" dxfId="1952" priority="28">
      <formula>H30&lt;0</formula>
    </cfRule>
  </conditionalFormatting>
  <conditionalFormatting sqref="Q10">
    <cfRule type="expression" dxfId="1951" priority="25">
      <formula>Q10&gt;0</formula>
    </cfRule>
    <cfRule type="expression" dxfId="1950" priority="26">
      <formula>Q10&lt;0</formula>
    </cfRule>
  </conditionalFormatting>
  <conditionalFormatting sqref="J25:J38">
    <cfRule type="expression" dxfId="1949" priority="23">
      <formula>J25&gt;0</formula>
    </cfRule>
    <cfRule type="expression" dxfId="1948" priority="24">
      <formula>J25&lt;0</formula>
    </cfRule>
  </conditionalFormatting>
  <conditionalFormatting sqref="K25:K38">
    <cfRule type="expression" dxfId="1947" priority="21">
      <formula>K25&gt;0</formula>
    </cfRule>
    <cfRule type="expression" dxfId="1946" priority="22">
      <formula>K25&lt;0</formula>
    </cfRule>
  </conditionalFormatting>
  <conditionalFormatting sqref="L25 L38">
    <cfRule type="expression" dxfId="1945" priority="19">
      <formula>L25&gt;0</formula>
    </cfRule>
    <cfRule type="expression" dxfId="1944" priority="20">
      <formula>L25&lt;0</formula>
    </cfRule>
  </conditionalFormatting>
  <conditionalFormatting sqref="F89:F110">
    <cfRule type="expression" dxfId="1943" priority="17">
      <formula>F89&gt;0</formula>
    </cfRule>
    <cfRule type="expression" dxfId="1942" priority="18">
      <formula>F89&lt;0</formula>
    </cfRule>
  </conditionalFormatting>
  <conditionalFormatting sqref="H89:H110">
    <cfRule type="expression" dxfId="1941" priority="15">
      <formula>H89&gt;0</formula>
    </cfRule>
    <cfRule type="expression" dxfId="1940" priority="16">
      <formula>H89&lt;0</formula>
    </cfRule>
  </conditionalFormatting>
  <conditionalFormatting sqref="J89:J102">
    <cfRule type="expression" dxfId="1939" priority="13">
      <formula>J89&gt;0</formula>
    </cfRule>
    <cfRule type="expression" dxfId="1938" priority="14">
      <formula>J89&lt;0</formula>
    </cfRule>
  </conditionalFormatting>
  <conditionalFormatting sqref="K89:K102">
    <cfRule type="expression" dxfId="1937" priority="11">
      <formula>K89&gt;0</formula>
    </cfRule>
    <cfRule type="expression" dxfId="1936" priority="12">
      <formula>K89&lt;0</formula>
    </cfRule>
  </conditionalFormatting>
  <conditionalFormatting sqref="L89:L102">
    <cfRule type="expression" dxfId="1935" priority="9">
      <formula>L89&gt;0</formula>
    </cfRule>
    <cfRule type="expression" dxfId="1934" priority="10">
      <formula>L89&lt;0</formula>
    </cfRule>
  </conditionalFormatting>
  <conditionalFormatting sqref="F25 F29">
    <cfRule type="expression" dxfId="1933" priority="7">
      <formula>F25&gt;0</formula>
    </cfRule>
    <cfRule type="expression" dxfId="1932" priority="8">
      <formula>F25&lt;0</formula>
    </cfRule>
  </conditionalFormatting>
  <conditionalFormatting sqref="H29 H25:H27">
    <cfRule type="expression" dxfId="1931" priority="5">
      <formula>H25&gt;0</formula>
    </cfRule>
    <cfRule type="expression" dxfId="1930" priority="6">
      <formula>H25&lt;0</formula>
    </cfRule>
  </conditionalFormatting>
  <conditionalFormatting sqref="F26:F28">
    <cfRule type="expression" dxfId="1929" priority="3">
      <formula>F26&gt;0</formula>
    </cfRule>
    <cfRule type="expression" dxfId="1928" priority="4">
      <formula>F26&lt;0</formula>
    </cfRule>
  </conditionalFormatting>
  <conditionalFormatting sqref="H28">
    <cfRule type="expression" dxfId="1927" priority="1">
      <formula>H28&gt;0</formula>
    </cfRule>
    <cfRule type="expression" dxfId="192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344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456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29.74</v>
      </c>
      <c r="R4" s="222">
        <v>3.6600000000000001E-2</v>
      </c>
      <c r="T4" s="34" t="s">
        <v>664</v>
      </c>
      <c r="U4" s="22" t="s">
        <v>663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44610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1006</v>
      </c>
      <c r="U6" t="s">
        <v>1008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4784.2199999999648</v>
      </c>
      <c r="R7">
        <v>1500</v>
      </c>
      <c r="T7" s="813" t="s">
        <v>1136</v>
      </c>
      <c r="U7" t="s">
        <v>1137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3036.2499999999709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207</v>
      </c>
      <c r="Q9" s="222">
        <f>IF(Q2=0, 0, Q8/Q6)</f>
        <v>7.3032863285125094E-2</v>
      </c>
      <c r="T9" s="813" t="s">
        <v>513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206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1.8829858776059184E-2</v>
      </c>
      <c r="R11">
        <v>0.14000000000000001</v>
      </c>
      <c r="T11" s="813">
        <v>43095</v>
      </c>
      <c r="U11" t="s">
        <v>776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938</v>
      </c>
      <c r="Q12" s="29" t="s">
        <v>1145</v>
      </c>
      <c r="U12" t="s">
        <v>782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1007</v>
      </c>
      <c r="Q13" s="2">
        <f>Q4/(2+2.15)*2</f>
        <v>14.332530120481925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839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1031</v>
      </c>
      <c r="Q15" s="29">
        <v>43310</v>
      </c>
      <c r="U15" t="s">
        <v>827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837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838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843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851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6" t="s">
        <v>78</v>
      </c>
      <c r="P22" s="856"/>
      <c r="U22" t="s">
        <v>852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32.713999999999999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32.416600000000003</v>
      </c>
      <c r="Q24" s="2"/>
      <c r="T24" s="813">
        <v>43126</v>
      </c>
      <c r="U24" t="s">
        <v>902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32.119199999999999</v>
      </c>
      <c r="Q25" s="2"/>
      <c r="U25" t="s">
        <v>903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31.8218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31.5244</v>
      </c>
      <c r="Q27" s="2"/>
      <c r="T27" s="814">
        <v>43153</v>
      </c>
      <c r="U27" t="s">
        <v>942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31.227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30.929600000000001</v>
      </c>
      <c r="Q29" s="2"/>
      <c r="T29" s="814">
        <v>43161</v>
      </c>
      <c r="U29" t="s">
        <v>941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30.632199999999997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30.334799999999998</v>
      </c>
      <c r="Q31" s="2"/>
      <c r="T31" s="814">
        <v>43167</v>
      </c>
      <c r="U31" t="s">
        <v>968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30.037399999999998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29.74</v>
      </c>
      <c r="Q33" s="2"/>
      <c r="T33" s="813">
        <v>43196</v>
      </c>
      <c r="U33" t="s">
        <v>961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29.442599999999999</v>
      </c>
      <c r="Q34" s="2"/>
      <c r="U34" t="s">
        <v>983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29.145199999999999</v>
      </c>
      <c r="Q35" s="2"/>
      <c r="T35" s="813">
        <v>43200</v>
      </c>
      <c r="U35" t="s">
        <v>998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28.847799999999999</v>
      </c>
      <c r="T36" s="813">
        <v>43203</v>
      </c>
      <c r="U36" t="s">
        <v>997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28.550399999999996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28.252999999999997</v>
      </c>
      <c r="T38" s="813">
        <v>43210</v>
      </c>
      <c r="U38" t="s">
        <v>1003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27.955599999999997</v>
      </c>
      <c r="U39" t="s">
        <v>1004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27.658200000000001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27.360800000000001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27.063399999999998</v>
      </c>
      <c r="T42" s="813">
        <v>43214</v>
      </c>
      <c r="U42" t="s">
        <v>1009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26.765999999999998</v>
      </c>
      <c r="T43" s="813">
        <v>43221</v>
      </c>
      <c r="U43" t="s">
        <v>1049</v>
      </c>
      <c r="W43" s="134"/>
      <c r="AA43" s="2"/>
      <c r="AD43" s="2"/>
      <c r="AG43" s="2"/>
      <c r="AI43" s="2"/>
    </row>
    <row r="44" spans="1:39" x14ac:dyDescent="0.25">
      <c r="A44" t="s">
        <v>1130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1047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4">
        <v>200</v>
      </c>
      <c r="D45" s="3">
        <v>25.78</v>
      </c>
      <c r="E45" s="3">
        <v>0</v>
      </c>
      <c r="F45" s="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7">
        <v>43272</v>
      </c>
      <c r="C46" s="4">
        <v>300</v>
      </c>
      <c r="D46" s="3">
        <v>27.98</v>
      </c>
      <c r="E46" s="3">
        <v>0</v>
      </c>
      <c r="F46" s="3">
        <f t="shared" si="3"/>
        <v>8394</v>
      </c>
      <c r="G46" s="29"/>
      <c r="T46" s="813">
        <v>43224</v>
      </c>
      <c r="U46" s="475" t="s">
        <v>1048</v>
      </c>
      <c r="W46" s="134"/>
      <c r="AA46" s="2"/>
      <c r="AD46" s="2"/>
      <c r="AG46" s="2"/>
      <c r="AI46" s="2"/>
    </row>
    <row r="47" spans="1:39" x14ac:dyDescent="0.25">
      <c r="B47" s="477">
        <v>43273</v>
      </c>
      <c r="C47" s="176">
        <v>1000</v>
      </c>
      <c r="D47" s="3">
        <v>29.06</v>
      </c>
      <c r="E47" s="3">
        <v>0</v>
      </c>
      <c r="F47" s="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1073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1005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1075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1077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1088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1147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255692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1131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1132</v>
      </c>
      <c r="AA61" s="2"/>
      <c r="AD61" s="2"/>
      <c r="AG61" s="2"/>
      <c r="AI61" s="2"/>
    </row>
    <row r="62" spans="1:39" x14ac:dyDescent="0.25">
      <c r="U62" t="s">
        <v>1133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494</v>
      </c>
      <c r="K63" s="220" t="s">
        <v>150</v>
      </c>
      <c r="L63" s="220" t="s">
        <v>721</v>
      </c>
      <c r="AA63" s="2"/>
      <c r="AD63" s="2"/>
      <c r="AG63" s="2"/>
      <c r="AI63" s="2"/>
    </row>
    <row r="64" spans="1:39" x14ac:dyDescent="0.25">
      <c r="A64" t="s">
        <v>333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1143</v>
      </c>
    </row>
    <row r="65" spans="1:21" x14ac:dyDescent="0.25">
      <c r="A65" t="s">
        <v>333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1144</v>
      </c>
    </row>
    <row r="66" spans="1:21" x14ac:dyDescent="0.25">
      <c r="A66" t="s">
        <v>363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387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1231</v>
      </c>
    </row>
    <row r="68" spans="1:21" x14ac:dyDescent="0.25">
      <c r="A68" t="s">
        <v>403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364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427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435</v>
      </c>
      <c r="J70" s="39"/>
      <c r="K70" s="39"/>
      <c r="L70" s="39"/>
    </row>
    <row r="71" spans="1:21" x14ac:dyDescent="0.25">
      <c r="A71" t="s">
        <v>334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459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1178</v>
      </c>
    </row>
    <row r="73" spans="1:21" x14ac:dyDescent="0.25">
      <c r="A73" t="s">
        <v>464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766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840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1121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ref="F159" si="19">C159*(E159-D159)</f>
        <v>1920.0000000000018</v>
      </c>
      <c r="G159" s="39">
        <f t="shared" ref="G159" si="20">D159*C159</f>
        <v>41580</v>
      </c>
      <c r="H159" s="222">
        <f t="shared" ref="H159" si="21"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25" priority="107">
      <formula>F94&gt;0</formula>
    </cfRule>
    <cfRule type="expression" dxfId="1924" priority="108">
      <formula>F94&lt;0</formula>
    </cfRule>
  </conditionalFormatting>
  <conditionalFormatting sqref="F178:F191 F194:F238 F241:F242">
    <cfRule type="expression" dxfId="1923" priority="103">
      <formula>F178&gt;0</formula>
    </cfRule>
    <cfRule type="expression" dxfId="1922" priority="104">
      <formula>F178&lt;0</formula>
    </cfRule>
  </conditionalFormatting>
  <conditionalFormatting sqref="F178:F191 F194:F238 F241:F242">
    <cfRule type="expression" dxfId="1921" priority="105">
      <formula>F178&gt;0</formula>
    </cfRule>
    <cfRule type="expression" dxfId="1920" priority="106">
      <formula>F178&lt;0</formula>
    </cfRule>
  </conditionalFormatting>
  <conditionalFormatting sqref="H173:H191 H194:H238 H241:H242">
    <cfRule type="expression" dxfId="1919" priority="101">
      <formula>H173&gt;0</formula>
    </cfRule>
    <cfRule type="expression" dxfId="1918" priority="102">
      <formula>H173&lt;0</formula>
    </cfRule>
  </conditionalFormatting>
  <conditionalFormatting sqref="F169:F172">
    <cfRule type="expression" dxfId="1917" priority="95">
      <formula>F169&gt;0</formula>
    </cfRule>
    <cfRule type="expression" dxfId="1916" priority="96">
      <formula>F169&lt;0</formula>
    </cfRule>
  </conditionalFormatting>
  <conditionalFormatting sqref="H169:H172">
    <cfRule type="expression" dxfId="1915" priority="93">
      <formula>H169&gt;0</formula>
    </cfRule>
    <cfRule type="expression" dxfId="1914" priority="94">
      <formula>H169&lt;0</formula>
    </cfRule>
  </conditionalFormatting>
  <conditionalFormatting sqref="Q8">
    <cfRule type="expression" dxfId="1913" priority="89">
      <formula>Q8&gt;0</formula>
    </cfRule>
    <cfRule type="expression" dxfId="1912" priority="90">
      <formula>Q8&lt;0</formula>
    </cfRule>
  </conditionalFormatting>
  <conditionalFormatting sqref="Q7">
    <cfRule type="expression" dxfId="1911" priority="91">
      <formula>Q7&gt;0</formula>
    </cfRule>
    <cfRule type="expression" dxfId="1910" priority="92">
      <formula>Q7&lt;0</formula>
    </cfRule>
  </conditionalFormatting>
  <conditionalFormatting sqref="F192">
    <cfRule type="expression" dxfId="1909" priority="85">
      <formula>F192&gt;0</formula>
    </cfRule>
    <cfRule type="expression" dxfId="1908" priority="86">
      <formula>F192&lt;0</formula>
    </cfRule>
  </conditionalFormatting>
  <conditionalFormatting sqref="F192">
    <cfRule type="expression" dxfId="1907" priority="87">
      <formula>F192&gt;0</formula>
    </cfRule>
    <cfRule type="expression" dxfId="1906" priority="88">
      <formula>F192&lt;0</formula>
    </cfRule>
  </conditionalFormatting>
  <conditionalFormatting sqref="H192">
    <cfRule type="expression" dxfId="1905" priority="83">
      <formula>H192&gt;0</formula>
    </cfRule>
    <cfRule type="expression" dxfId="1904" priority="84">
      <formula>H192&lt;0</formula>
    </cfRule>
  </conditionalFormatting>
  <conditionalFormatting sqref="F193">
    <cfRule type="expression" dxfId="1903" priority="79">
      <formula>F193&gt;0</formula>
    </cfRule>
    <cfRule type="expression" dxfId="1902" priority="80">
      <formula>F193&lt;0</formula>
    </cfRule>
  </conditionalFormatting>
  <conditionalFormatting sqref="F193">
    <cfRule type="expression" dxfId="1901" priority="81">
      <formula>F193&gt;0</formula>
    </cfRule>
    <cfRule type="expression" dxfId="1900" priority="82">
      <formula>F193&lt;0</formula>
    </cfRule>
  </conditionalFormatting>
  <conditionalFormatting sqref="H193">
    <cfRule type="expression" dxfId="1899" priority="77">
      <formula>H193&gt;0</formula>
    </cfRule>
    <cfRule type="expression" dxfId="1898" priority="78">
      <formula>H193&lt;0</formula>
    </cfRule>
  </conditionalFormatting>
  <conditionalFormatting sqref="F239:F240">
    <cfRule type="expression" dxfId="1897" priority="73">
      <formula>F239&gt;0</formula>
    </cfRule>
    <cfRule type="expression" dxfId="1896" priority="74">
      <formula>F239&lt;0</formula>
    </cfRule>
  </conditionalFormatting>
  <conditionalFormatting sqref="F239:F240">
    <cfRule type="expression" dxfId="1895" priority="75">
      <formula>F239&gt;0</formula>
    </cfRule>
    <cfRule type="expression" dxfId="1894" priority="76">
      <formula>F239&lt;0</formula>
    </cfRule>
  </conditionalFormatting>
  <conditionalFormatting sqref="H239:H240">
    <cfRule type="expression" dxfId="1893" priority="71">
      <formula>H239&gt;0</formula>
    </cfRule>
    <cfRule type="expression" dxfId="1892" priority="72">
      <formula>H239&lt;0</formula>
    </cfRule>
  </conditionalFormatting>
  <conditionalFormatting sqref="F64:F79">
    <cfRule type="expression" dxfId="1891" priority="69">
      <formula>F64&gt;0</formula>
    </cfRule>
    <cfRule type="expression" dxfId="1890" priority="70">
      <formula>F64&lt;0</formula>
    </cfRule>
  </conditionalFormatting>
  <conditionalFormatting sqref="H64:H79">
    <cfRule type="expression" dxfId="1889" priority="67">
      <formula>H64&gt;0</formula>
    </cfRule>
    <cfRule type="expression" dxfId="1888" priority="68">
      <formula>H64&lt;0</formula>
    </cfRule>
  </conditionalFormatting>
  <conditionalFormatting sqref="Q10">
    <cfRule type="expression" dxfId="1887" priority="65">
      <formula>Q10&gt;0</formula>
    </cfRule>
    <cfRule type="expression" dxfId="1886" priority="66">
      <formula>Q10&lt;0</formula>
    </cfRule>
  </conditionalFormatting>
  <conditionalFormatting sqref="J74:K74">
    <cfRule type="expression" dxfId="1885" priority="63">
      <formula>J74&gt;0</formula>
    </cfRule>
    <cfRule type="expression" dxfId="1884" priority="64">
      <formula>J74&lt;0</formula>
    </cfRule>
  </conditionalFormatting>
  <conditionalFormatting sqref="K75">
    <cfRule type="expression" dxfId="1883" priority="61">
      <formula>K75&gt;0</formula>
    </cfRule>
    <cfRule type="expression" dxfId="1882" priority="62">
      <formula>K75&lt;0</formula>
    </cfRule>
  </conditionalFormatting>
  <conditionalFormatting sqref="K76:K89">
    <cfRule type="expression" dxfId="1881" priority="59">
      <formula>K76&gt;0</formula>
    </cfRule>
    <cfRule type="expression" dxfId="1880" priority="60">
      <formula>K76&lt;0</formula>
    </cfRule>
  </conditionalFormatting>
  <conditionalFormatting sqref="F81:F89">
    <cfRule type="expression" dxfId="1879" priority="57">
      <formula>F81&gt;0</formula>
    </cfRule>
    <cfRule type="expression" dxfId="1878" priority="58">
      <formula>F81&lt;0</formula>
    </cfRule>
  </conditionalFormatting>
  <conditionalFormatting sqref="H81:H89">
    <cfRule type="expression" dxfId="1877" priority="55">
      <formula>H81&gt;0</formula>
    </cfRule>
    <cfRule type="expression" dxfId="1876" priority="56">
      <formula>H81&lt;0</formula>
    </cfRule>
  </conditionalFormatting>
  <conditionalFormatting sqref="R4">
    <cfRule type="expression" dxfId="1875" priority="53">
      <formula>R4&gt;0</formula>
    </cfRule>
    <cfRule type="expression" dxfId="1874" priority="54">
      <formula>R4&lt;0</formula>
    </cfRule>
  </conditionalFormatting>
  <conditionalFormatting sqref="Q9">
    <cfRule type="expression" dxfId="1873" priority="51">
      <formula>Q9&gt;0</formula>
    </cfRule>
    <cfRule type="expression" dxfId="1872" priority="52">
      <formula>Q9&lt;0</formula>
    </cfRule>
  </conditionalFormatting>
  <conditionalFormatting sqref="K90:K93">
    <cfRule type="expression" dxfId="1871" priority="49">
      <formula>K90&gt;0</formula>
    </cfRule>
    <cfRule type="expression" dxfId="1870" priority="50">
      <formula>K90&lt;0</formula>
    </cfRule>
  </conditionalFormatting>
  <conditionalFormatting sqref="F90:F113">
    <cfRule type="expression" dxfId="1869" priority="47">
      <formula>F90&gt;0</formula>
    </cfRule>
    <cfRule type="expression" dxfId="1868" priority="48">
      <formula>F90&lt;0</formula>
    </cfRule>
  </conditionalFormatting>
  <conditionalFormatting sqref="H90:H113">
    <cfRule type="expression" dxfId="1867" priority="45">
      <formula>H90&gt;0</formula>
    </cfRule>
    <cfRule type="expression" dxfId="1866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65" priority="41">
      <formula>F114&gt;0</formula>
    </cfRule>
    <cfRule type="expression" dxfId="1864" priority="42">
      <formula>F114&lt;0</formula>
    </cfRule>
  </conditionalFormatting>
  <conditionalFormatting sqref="H114:H138">
    <cfRule type="expression" dxfId="1863" priority="39">
      <formula>H114&gt;0</formula>
    </cfRule>
    <cfRule type="expression" dxfId="1862" priority="40">
      <formula>H114&lt;0</formula>
    </cfRule>
  </conditionalFormatting>
  <conditionalFormatting sqref="K129:K131">
    <cfRule type="expression" dxfId="1861" priority="37">
      <formula>K129&gt;0</formula>
    </cfRule>
    <cfRule type="expression" dxfId="1860" priority="38">
      <formula>K129&lt;0</formula>
    </cfRule>
  </conditionalFormatting>
  <conditionalFormatting sqref="K133:K135">
    <cfRule type="expression" dxfId="1859" priority="35">
      <formula>K133&gt;0</formula>
    </cfRule>
    <cfRule type="expression" dxfId="1858" priority="36">
      <formula>K133&lt;0</formula>
    </cfRule>
  </conditionalFormatting>
  <conditionalFormatting sqref="K140">
    <cfRule type="expression" dxfId="1857" priority="31">
      <formula>K140&gt;0</formula>
    </cfRule>
    <cfRule type="expression" dxfId="1856" priority="32">
      <formula>K140&lt;0</formula>
    </cfRule>
  </conditionalFormatting>
  <conditionalFormatting sqref="K136:K138">
    <cfRule type="expression" dxfId="1855" priority="29">
      <formula>K136&gt;0</formula>
    </cfRule>
    <cfRule type="expression" dxfId="1854" priority="30">
      <formula>K136&lt;0</formula>
    </cfRule>
  </conditionalFormatting>
  <conditionalFormatting sqref="K139">
    <cfRule type="expression" dxfId="1853" priority="23">
      <formula>K139&gt;0</formula>
    </cfRule>
    <cfRule type="expression" dxfId="1852" priority="24">
      <formula>K139&lt;0</formula>
    </cfRule>
  </conditionalFormatting>
  <conditionalFormatting sqref="H148:H149 F148:F149 K148:K149">
    <cfRule type="expression" dxfId="1851" priority="21">
      <formula>F148&gt;0</formula>
    </cfRule>
    <cfRule type="expression" dxfId="1850" priority="22">
      <formula>F148&lt;0</formula>
    </cfRule>
  </conditionalFormatting>
  <conditionalFormatting sqref="H143:H147 F143:F147 K143:K147">
    <cfRule type="expression" dxfId="1849" priority="19">
      <formula>F143&gt;0</formula>
    </cfRule>
    <cfRule type="expression" dxfId="1848" priority="20">
      <formula>F143&lt;0</formula>
    </cfRule>
  </conditionalFormatting>
  <conditionalFormatting sqref="F80">
    <cfRule type="expression" dxfId="1847" priority="17">
      <formula>F80&gt;0</formula>
    </cfRule>
    <cfRule type="expression" dxfId="1846" priority="18">
      <formula>F80&lt;0</formula>
    </cfRule>
  </conditionalFormatting>
  <conditionalFormatting sqref="H80">
    <cfRule type="expression" dxfId="1845" priority="15">
      <formula>H80&gt;0</formula>
    </cfRule>
    <cfRule type="expression" dxfId="1844" priority="16">
      <formula>H80&lt;0</formula>
    </cfRule>
  </conditionalFormatting>
  <conditionalFormatting sqref="F164:F165 H164:H165 K164:K165">
    <cfRule type="expression" dxfId="1843" priority="13">
      <formula>F164&gt;0</formula>
    </cfRule>
    <cfRule type="expression" dxfId="1842" priority="14">
      <formula>F164&lt;0</formula>
    </cfRule>
  </conditionalFormatting>
  <conditionalFormatting sqref="F162:F163 H162:H163 K162:K163">
    <cfRule type="expression" dxfId="1841" priority="11">
      <formula>F162&gt;0</formula>
    </cfRule>
    <cfRule type="expression" dxfId="1840" priority="12">
      <formula>F162&lt;0</formula>
    </cfRule>
  </conditionalFormatting>
  <conditionalFormatting sqref="F160:F161 H160:H161 K160:K161">
    <cfRule type="expression" dxfId="1839" priority="9">
      <formula>F160&gt;0</formula>
    </cfRule>
    <cfRule type="expression" dxfId="1838" priority="10">
      <formula>F160&lt;0</formula>
    </cfRule>
  </conditionalFormatting>
  <conditionalFormatting sqref="F157:F159 H157:H159 K156:K159">
    <cfRule type="expression" dxfId="1837" priority="5">
      <formula>F156&gt;0</formula>
    </cfRule>
    <cfRule type="expression" dxfId="1836" priority="6">
      <formula>F156&lt;0</formula>
    </cfRule>
  </conditionalFormatting>
  <conditionalFormatting sqref="K154:K155 F154:F156 H154:H156">
    <cfRule type="expression" dxfId="1835" priority="3">
      <formula>F154&gt;0</formula>
    </cfRule>
    <cfRule type="expression" dxfId="1834" priority="4">
      <formula>F154&lt;0</formula>
    </cfRule>
  </conditionalFormatting>
  <conditionalFormatting sqref="F153 H153 K152:K153">
    <cfRule type="expression" dxfId="1833" priority="1">
      <formula>F152&gt;0</formula>
    </cfRule>
    <cfRule type="expression" dxfId="1832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262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10.039999999999999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10.039999999999999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11.044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10.9436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10.8432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10.742799999999999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10.6424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10.542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10.441599999999999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10.341199999999999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10.2408</v>
      </c>
      <c r="Q49" s="2"/>
      <c r="T49" s="91" t="s">
        <v>103</v>
      </c>
      <c r="U49" s="86" t="s">
        <v>367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10.1404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10.039999999999999</v>
      </c>
      <c r="Q51" s="2"/>
      <c r="T51" s="91" t="s">
        <v>104</v>
      </c>
      <c r="U51" s="86" t="s">
        <v>583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9.9395999999999987</v>
      </c>
      <c r="Q52" s="2"/>
      <c r="T52" s="91" t="s">
        <v>105</v>
      </c>
      <c r="U52" s="86" t="s">
        <v>384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9.8391999999999982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9.7387999999999995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9.638399999999999</v>
      </c>
      <c r="T55" s="91" t="s">
        <v>107</v>
      </c>
      <c r="U55" s="86" t="s">
        <v>584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9.5379999999999985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9.437599999999998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9.3371999999999993</v>
      </c>
      <c r="T58" s="91" t="s">
        <v>108</v>
      </c>
      <c r="U58" s="86" t="s">
        <v>528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9.2367999999999988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9.1364000000000001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9.0359999999999996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250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260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273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31" priority="31">
      <formula>Q7&gt;0</formula>
    </cfRule>
    <cfRule type="expression" dxfId="1830" priority="32">
      <formula>Q7&lt;0</formula>
    </cfRule>
  </conditionalFormatting>
  <conditionalFormatting sqref="Q8">
    <cfRule type="expression" dxfId="1829" priority="29">
      <formula>Q8&gt;0</formula>
    </cfRule>
    <cfRule type="expression" dxfId="1828" priority="30">
      <formula>Q8&lt;0</formula>
    </cfRule>
  </conditionalFormatting>
  <conditionalFormatting sqref="F62:F65">
    <cfRule type="expression" dxfId="1827" priority="21">
      <formula>F62&gt;0</formula>
    </cfRule>
    <cfRule type="expression" dxfId="1826" priority="22">
      <formula>F62&lt;0</formula>
    </cfRule>
  </conditionalFormatting>
  <conditionalFormatting sqref="F66:F74 F78:F98 F102:F106">
    <cfRule type="expression" dxfId="1825" priority="17">
      <formula>F66&gt;0</formula>
    </cfRule>
    <cfRule type="expression" dxfId="1824" priority="18">
      <formula>F66&lt;0</formula>
    </cfRule>
  </conditionalFormatting>
  <conditionalFormatting sqref="F66:F74 F78:F98 F102:F106">
    <cfRule type="expression" dxfId="1823" priority="19">
      <formula>F66&gt;0</formula>
    </cfRule>
    <cfRule type="expression" dxfId="1822" priority="20">
      <formula>F66&lt;0</formula>
    </cfRule>
  </conditionalFormatting>
  <conditionalFormatting sqref="H62:H74 H78:H98 H102:H106">
    <cfRule type="expression" dxfId="1821" priority="15">
      <formula>H62&gt;0</formula>
    </cfRule>
    <cfRule type="expression" dxfId="1820" priority="16">
      <formula>H62&lt;0</formula>
    </cfRule>
  </conditionalFormatting>
  <conditionalFormatting sqref="F57:F61">
    <cfRule type="expression" dxfId="1819" priority="13">
      <formula>F57&gt;0</formula>
    </cfRule>
    <cfRule type="expression" dxfId="1818" priority="14">
      <formula>F57&lt;0</formula>
    </cfRule>
  </conditionalFormatting>
  <conditionalFormatting sqref="H57:H61">
    <cfRule type="expression" dxfId="1817" priority="11">
      <formula>H57&gt;0</formula>
    </cfRule>
    <cfRule type="expression" dxfId="1816" priority="12">
      <formula>H57&lt;0</formula>
    </cfRule>
  </conditionalFormatting>
  <conditionalFormatting sqref="F75:F77">
    <cfRule type="expression" dxfId="1815" priority="7">
      <formula>F75&gt;0</formula>
    </cfRule>
    <cfRule type="expression" dxfId="1814" priority="8">
      <formula>F75&lt;0</formula>
    </cfRule>
  </conditionalFormatting>
  <conditionalFormatting sqref="F75:F77">
    <cfRule type="expression" dxfId="1813" priority="9">
      <formula>F75&gt;0</formula>
    </cfRule>
    <cfRule type="expression" dxfId="1812" priority="10">
      <formula>F75&lt;0</formula>
    </cfRule>
  </conditionalFormatting>
  <conditionalFormatting sqref="H75:H77">
    <cfRule type="expression" dxfId="1811" priority="5">
      <formula>H75&gt;0</formula>
    </cfRule>
    <cfRule type="expression" dxfId="1810" priority="6">
      <formula>H75&lt;0</formula>
    </cfRule>
  </conditionalFormatting>
  <conditionalFormatting sqref="F22:F30">
    <cfRule type="expression" dxfId="1809" priority="3">
      <formula>F22&gt;0</formula>
    </cfRule>
    <cfRule type="expression" dxfId="1808" priority="4">
      <formula>F22&lt;0</formula>
    </cfRule>
  </conditionalFormatting>
  <conditionalFormatting sqref="F99:F101">
    <cfRule type="expression" dxfId="1807" priority="1">
      <formula>F99&gt;0</formula>
    </cfRule>
    <cfRule type="expression" dxfId="180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267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131.25</v>
      </c>
      <c r="R4" s="475">
        <v>-1.0500000000000001E-2</v>
      </c>
      <c r="T4" s="817">
        <v>43288</v>
      </c>
      <c r="U4" s="1" t="s">
        <v>1190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6562.5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1214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783.19999999999982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628.42000000000007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0.10590015638481451</v>
      </c>
    </row>
    <row r="10" spans="1:21" x14ac:dyDescent="0.25">
      <c r="G10" s="29"/>
      <c r="H10" s="70"/>
      <c r="O10" s="11" t="s">
        <v>206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1002</v>
      </c>
      <c r="Q12" s="1"/>
    </row>
    <row r="13" spans="1:21" x14ac:dyDescent="0.25">
      <c r="G13" s="29"/>
      <c r="H13" s="70"/>
      <c r="O13" s="11" t="s">
        <v>965</v>
      </c>
      <c r="Q13" s="2">
        <f>Q4/8.12</f>
        <v>16.163793103448278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6" t="s">
        <v>78</v>
      </c>
      <c r="P40" s="856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144.375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9">O42*$Q$4</f>
        <v>143.0625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9"/>
        <v>141.75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9"/>
        <v>140.4375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9"/>
        <v>139.125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9"/>
        <v>137.8125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9"/>
        <v>136.5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9"/>
        <v>135.1875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9"/>
        <v>133.875</v>
      </c>
      <c r="Q49" s="2"/>
      <c r="T49" s="91" t="s">
        <v>103</v>
      </c>
      <c r="U49" s="127" t="s">
        <v>352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9"/>
        <v>132.5625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9"/>
        <v>131.25</v>
      </c>
      <c r="Q51" s="2"/>
      <c r="T51" s="91" t="s">
        <v>104</v>
      </c>
      <c r="U51" s="127" t="s">
        <v>585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9"/>
        <v>129.9375</v>
      </c>
      <c r="Q52" s="2"/>
      <c r="T52" s="91" t="s">
        <v>105</v>
      </c>
      <c r="U52" s="127" t="s">
        <v>586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9"/>
        <v>128.625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9"/>
        <v>127.3125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9"/>
        <v>126</v>
      </c>
      <c r="T55" s="91" t="s">
        <v>107</v>
      </c>
      <c r="U55" s="127" t="s">
        <v>587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9"/>
        <v>124.6875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9"/>
        <v>123.375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9"/>
        <v>122.0625</v>
      </c>
      <c r="T58" s="91" t="s">
        <v>108</v>
      </c>
      <c r="U58" s="127" t="s">
        <v>535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9"/>
        <v>120.75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9"/>
        <v>119.4375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9"/>
        <v>118.125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267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0">C105*(E105-D105)</f>
        <v>-5.3999999999999204</v>
      </c>
      <c r="G105" s="363">
        <f t="shared" ref="G105:G117" si="11">D105*C105</f>
        <v>2370</v>
      </c>
      <c r="H105" s="364">
        <f t="shared" ref="H105:H117" si="12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0"/>
        <v>-12.800000000000011</v>
      </c>
      <c r="G106" s="363">
        <f t="shared" si="11"/>
        <v>2370</v>
      </c>
      <c r="H106" s="364">
        <f t="shared" si="12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0"/>
        <v>8.1999999999999318</v>
      </c>
      <c r="G107" s="363">
        <f t="shared" si="11"/>
        <v>2370</v>
      </c>
      <c r="H107" s="364">
        <f t="shared" si="12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0"/>
        <v>14.799999999999898</v>
      </c>
      <c r="G108" s="363">
        <f t="shared" si="11"/>
        <v>2370</v>
      </c>
      <c r="H108" s="364">
        <f t="shared" si="12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0"/>
        <v>-101.20000000000005</v>
      </c>
      <c r="G109" s="363">
        <f t="shared" si="11"/>
        <v>2370</v>
      </c>
      <c r="H109" s="364">
        <f t="shared" si="12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0"/>
        <v>-50.200000000000102</v>
      </c>
      <c r="G110" s="363">
        <f t="shared" si="11"/>
        <v>2370</v>
      </c>
      <c r="H110" s="364">
        <f t="shared" si="12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0"/>
        <v>-87.400000000000091</v>
      </c>
      <c r="G111" s="363">
        <f t="shared" si="11"/>
        <v>2370</v>
      </c>
      <c r="H111" s="364">
        <f t="shared" si="12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0"/>
        <v>-145.79999999999998</v>
      </c>
      <c r="G112" s="363">
        <f t="shared" si="11"/>
        <v>3484.7999999999997</v>
      </c>
      <c r="H112" s="364">
        <f t="shared" si="12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0"/>
        <v>-135.80100000000016</v>
      </c>
      <c r="G113" s="363">
        <f t="shared" si="11"/>
        <v>3468.8009999999999</v>
      </c>
      <c r="H113" s="364">
        <f t="shared" si="12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0"/>
        <v>-101.48850000000024</v>
      </c>
      <c r="G114" s="363">
        <f t="shared" si="11"/>
        <v>5136.5385000000006</v>
      </c>
      <c r="H114" s="364">
        <f t="shared" si="12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356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0"/>
        <v>-62.039999999999935</v>
      </c>
      <c r="G115" s="363">
        <f t="shared" si="11"/>
        <v>3446.04</v>
      </c>
      <c r="H115" s="364">
        <f t="shared" si="12"/>
        <v>-1.8003273322422242E-2</v>
      </c>
      <c r="I115" s="363"/>
      <c r="J115" s="363"/>
      <c r="K115" s="363"/>
      <c r="L115" s="362"/>
    </row>
    <row r="116" spans="1:12" x14ac:dyDescent="0.25">
      <c r="A116" s="362" t="s">
        <v>394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0"/>
        <v>-36.839999999999833</v>
      </c>
      <c r="G116" s="363">
        <f t="shared" si="11"/>
        <v>3446.04</v>
      </c>
      <c r="H116" s="364">
        <f t="shared" si="12"/>
        <v>-1.0690531740780674E-2</v>
      </c>
      <c r="I116" s="363"/>
      <c r="J116" s="363"/>
      <c r="K116" s="363"/>
      <c r="L116" s="362"/>
    </row>
    <row r="117" spans="1:12" x14ac:dyDescent="0.25">
      <c r="A117" s="362" t="s">
        <v>411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0"/>
        <v>10.219499999999897</v>
      </c>
      <c r="G117" s="363">
        <f t="shared" si="11"/>
        <v>1718.3805</v>
      </c>
      <c r="H117" s="364">
        <f t="shared" si="12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69 F29:F69">
    <cfRule type="expression" dxfId="1805" priority="25">
      <formula>F29&gt;0</formula>
    </cfRule>
    <cfRule type="expression" dxfId="1804" priority="26">
      <formula>F29&lt;0</formula>
    </cfRule>
  </conditionalFormatting>
  <conditionalFormatting sqref="Q7">
    <cfRule type="expression" dxfId="1803" priority="23">
      <formula>Q7&gt;0</formula>
    </cfRule>
    <cfRule type="expression" dxfId="1802" priority="24">
      <formula>Q7&lt;0</formula>
    </cfRule>
  </conditionalFormatting>
  <conditionalFormatting sqref="Q8">
    <cfRule type="expression" dxfId="1801" priority="21">
      <formula>Q8&gt;0</formula>
    </cfRule>
    <cfRule type="expression" dxfId="1800" priority="22">
      <formula>Q8&lt;0</formula>
    </cfRule>
  </conditionalFormatting>
  <conditionalFormatting sqref="M74">
    <cfRule type="expression" dxfId="1799" priority="15">
      <formula>M74&gt;0</formula>
    </cfRule>
    <cfRule type="expression" dxfId="1798" priority="16">
      <formula>M74&lt;0</formula>
    </cfRule>
  </conditionalFormatting>
  <conditionalFormatting sqref="F113:F149 H113:H149">
    <cfRule type="expression" dxfId="1797" priority="13">
      <formula>F113&gt;0</formula>
    </cfRule>
    <cfRule type="expression" dxfId="1796" priority="14">
      <formula>F113&lt;0</formula>
    </cfRule>
  </conditionalFormatting>
  <conditionalFormatting sqref="F105:F112">
    <cfRule type="expression" dxfId="1795" priority="11">
      <formula>F105&gt;0</formula>
    </cfRule>
    <cfRule type="expression" dxfId="1794" priority="12">
      <formula>F105&lt;0</formula>
    </cfRule>
  </conditionalFormatting>
  <conditionalFormatting sqref="H105:H112">
    <cfRule type="expression" dxfId="1793" priority="9">
      <formula>H105&gt;0</formula>
    </cfRule>
    <cfRule type="expression" dxfId="1792" priority="10">
      <formula>H105&lt;0</formula>
    </cfRule>
  </conditionalFormatting>
  <conditionalFormatting sqref="Q10">
    <cfRule type="expression" dxfId="1791" priority="7">
      <formula>Q10&gt;0</formula>
    </cfRule>
    <cfRule type="expression" dxfId="1790" priority="8">
      <formula>Q10&lt;0</formula>
    </cfRule>
  </conditionalFormatting>
  <conditionalFormatting sqref="F25:F28">
    <cfRule type="expression" dxfId="1789" priority="5">
      <formula>F25&gt;0</formula>
    </cfRule>
    <cfRule type="expression" dxfId="1788" priority="6">
      <formula>F25&lt;0</formula>
    </cfRule>
  </conditionalFormatting>
  <conditionalFormatting sqref="H25:H28">
    <cfRule type="expression" dxfId="1787" priority="3">
      <formula>H25&gt;0</formula>
    </cfRule>
    <cfRule type="expression" dxfId="1786" priority="4">
      <formula>H25&lt;0</formula>
    </cfRule>
  </conditionalFormatting>
  <conditionalFormatting sqref="J26:J35">
    <cfRule type="expression" dxfId="1785" priority="1">
      <formula>J26&gt;0</formula>
    </cfRule>
    <cfRule type="expression" dxfId="178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687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234.81</v>
      </c>
      <c r="R4" s="495">
        <v>-1.34E-2</v>
      </c>
      <c r="T4" s="770">
        <v>43103</v>
      </c>
      <c r="U4" s="30" t="s">
        <v>1029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10566.45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919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3931.0199999999895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3706.2499999999891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207</v>
      </c>
      <c r="Q9" s="134">
        <f>IF(Q2=0, 0, Q8/Q6)</f>
        <v>0.54025392845689379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206</v>
      </c>
      <c r="P10" s="33"/>
      <c r="Q10" s="2">
        <f>M88</f>
        <v>224.77000000000044</v>
      </c>
      <c r="U10" t="s">
        <v>974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938</v>
      </c>
      <c r="Q12" s="1" t="s">
        <v>1158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965</v>
      </c>
      <c r="Q13" s="2">
        <f>Q4/(8.16*1.2)</f>
        <v>23.979779411764707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960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4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  <c r="O16" s="856" t="s">
        <v>78</v>
      </c>
      <c r="P16" s="856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258.291</v>
      </c>
      <c r="T17" s="1">
        <v>43257</v>
      </c>
      <c r="U17" t="s">
        <v>1028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255.94290000000001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253.59480000000002</v>
      </c>
      <c r="T19" s="1">
        <v>43285</v>
      </c>
      <c r="U19" t="s">
        <v>1159</v>
      </c>
    </row>
    <row r="20" spans="1:2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1.07</v>
      </c>
      <c r="P20" s="81">
        <f t="shared" si="4"/>
        <v>251.2467</v>
      </c>
      <c r="T20" s="1">
        <v>43288</v>
      </c>
      <c r="U20" t="s">
        <v>1186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248.89860000000002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1.05</v>
      </c>
      <c r="P22" s="81">
        <f t="shared" si="4"/>
        <v>246.5505</v>
      </c>
      <c r="T22" s="156">
        <v>43314</v>
      </c>
      <c r="U22" t="s">
        <v>1184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1.04</v>
      </c>
      <c r="P23" s="81">
        <f t="shared" si="4"/>
        <v>244.20240000000001</v>
      </c>
    </row>
    <row r="24" spans="1:21" x14ac:dyDescent="0.25">
      <c r="C24" s="4"/>
      <c r="O24" s="81">
        <v>1.03</v>
      </c>
      <c r="P24" s="81">
        <f t="shared" si="4"/>
        <v>241.85429999999999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239.50620000000001</v>
      </c>
    </row>
    <row r="26" spans="1:21" x14ac:dyDescent="0.25">
      <c r="O26" s="81">
        <v>1.01</v>
      </c>
      <c r="P26" s="81">
        <f t="shared" si="4"/>
        <v>237.15809999999999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234.81</v>
      </c>
    </row>
    <row r="28" spans="1:21" x14ac:dyDescent="0.25">
      <c r="O28" s="81">
        <v>0.99</v>
      </c>
      <c r="P28" s="81">
        <f t="shared" si="4"/>
        <v>232.46190000000001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0.98</v>
      </c>
      <c r="P29" s="81">
        <f t="shared" si="4"/>
        <v>230.1138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0.97</v>
      </c>
      <c r="P30" s="81">
        <f t="shared" si="4"/>
        <v>227.76570000000001</v>
      </c>
    </row>
    <row r="31" spans="1:21" x14ac:dyDescent="0.25">
      <c r="O31" s="81">
        <v>0.96</v>
      </c>
      <c r="P31" s="81">
        <f t="shared" si="4"/>
        <v>225.41759999999999</v>
      </c>
    </row>
    <row r="32" spans="1:21" x14ac:dyDescent="0.25">
      <c r="O32" s="81">
        <v>0.95</v>
      </c>
      <c r="P32" s="81">
        <f t="shared" si="4"/>
        <v>223.06950000000001</v>
      </c>
    </row>
    <row r="33" spans="1:17" x14ac:dyDescent="0.25">
      <c r="O33" s="81">
        <v>0.94</v>
      </c>
      <c r="P33" s="81">
        <f t="shared" si="4"/>
        <v>220.72139999999999</v>
      </c>
    </row>
    <row r="34" spans="1:17" x14ac:dyDescent="0.25">
      <c r="O34" s="81">
        <v>0.93</v>
      </c>
      <c r="P34" s="81">
        <f t="shared" si="4"/>
        <v>218.3733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494</v>
      </c>
      <c r="L35" s="220" t="s">
        <v>965</v>
      </c>
      <c r="O35" s="81">
        <v>0.92</v>
      </c>
      <c r="P35" s="81">
        <f t="shared" si="4"/>
        <v>216.02520000000001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213.6771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211.32900000000001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:G79" si="22">D78*C78</f>
        <v>3239.4989999999998</v>
      </c>
      <c r="H78" s="222">
        <f t="shared" ref="H78:H79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2"/>
        <v>6860.2005000000008</v>
      </c>
      <c r="H79" s="222">
        <f t="shared" si="23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687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662</v>
      </c>
      <c r="L110" s="220" t="s">
        <v>668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783" priority="45">
      <formula>F7&gt;0</formula>
    </cfRule>
    <cfRule type="expression" dxfId="1782" priority="46">
      <formula>F7&lt;0</formula>
    </cfRule>
  </conditionalFormatting>
  <conditionalFormatting sqref="Q8">
    <cfRule type="expression" dxfId="1781" priority="43">
      <formula>Q8&gt;0</formula>
    </cfRule>
    <cfRule type="expression" dxfId="1780" priority="44">
      <formula>Q8&lt;0</formula>
    </cfRule>
  </conditionalFormatting>
  <conditionalFormatting sqref="F41:F60">
    <cfRule type="expression" dxfId="1779" priority="41">
      <formula>F41&gt;0</formula>
    </cfRule>
    <cfRule type="expression" dxfId="1778" priority="42">
      <formula>F41&lt;0</formula>
    </cfRule>
  </conditionalFormatting>
  <conditionalFormatting sqref="H41:H60">
    <cfRule type="expression" dxfId="1777" priority="39">
      <formula>H41&gt;0</formula>
    </cfRule>
    <cfRule type="expression" dxfId="1776" priority="40">
      <formula>H41&lt;0</formula>
    </cfRule>
  </conditionalFormatting>
  <conditionalFormatting sqref="Q10">
    <cfRule type="expression" dxfId="1775" priority="33">
      <formula>Q10&gt;0</formula>
    </cfRule>
    <cfRule type="expression" dxfId="1774" priority="34">
      <formula>Q10&lt;0</formula>
    </cfRule>
  </conditionalFormatting>
  <conditionalFormatting sqref="J36:J60">
    <cfRule type="expression" dxfId="1773" priority="31">
      <formula>J36&gt;0</formula>
    </cfRule>
    <cfRule type="expression" dxfId="1772" priority="32">
      <formula>J36&lt;0</formula>
    </cfRule>
  </conditionalFormatting>
  <conditionalFormatting sqref="K36:K49">
    <cfRule type="expression" dxfId="1771" priority="29">
      <formula>K36&gt;0</formula>
    </cfRule>
    <cfRule type="expression" dxfId="1770" priority="30">
      <formula>K36&lt;0</formula>
    </cfRule>
  </conditionalFormatting>
  <conditionalFormatting sqref="L36:L49">
    <cfRule type="expression" dxfId="1769" priority="27">
      <formula>L36&gt;0</formula>
    </cfRule>
    <cfRule type="expression" dxfId="1768" priority="28">
      <formula>L36&lt;0</formula>
    </cfRule>
  </conditionalFormatting>
  <conditionalFormatting sqref="F111:F132">
    <cfRule type="expression" dxfId="1767" priority="25">
      <formula>F111&gt;0</formula>
    </cfRule>
    <cfRule type="expression" dxfId="1766" priority="26">
      <formula>F111&lt;0</formula>
    </cfRule>
  </conditionalFormatting>
  <conditionalFormatting sqref="H111:H132">
    <cfRule type="expression" dxfId="1765" priority="23">
      <formula>H111&gt;0</formula>
    </cfRule>
    <cfRule type="expression" dxfId="1764" priority="24">
      <formula>H111&lt;0</formula>
    </cfRule>
  </conditionalFormatting>
  <conditionalFormatting sqref="J111:J124">
    <cfRule type="expression" dxfId="1763" priority="21">
      <formula>J111&gt;0</formula>
    </cfRule>
    <cfRule type="expression" dxfId="1762" priority="22">
      <formula>J111&lt;0</formula>
    </cfRule>
  </conditionalFormatting>
  <conditionalFormatting sqref="K111:K124">
    <cfRule type="expression" dxfId="1761" priority="19">
      <formula>K111&gt;0</formula>
    </cfRule>
    <cfRule type="expression" dxfId="1760" priority="20">
      <formula>K111&lt;0</formula>
    </cfRule>
  </conditionalFormatting>
  <conditionalFormatting sqref="L111:L124">
    <cfRule type="expression" dxfId="1759" priority="17">
      <formula>L111&gt;0</formula>
    </cfRule>
    <cfRule type="expression" dxfId="1758" priority="18">
      <formula>L111&lt;0</formula>
    </cfRule>
  </conditionalFormatting>
  <conditionalFormatting sqref="F36:F40">
    <cfRule type="expression" dxfId="1757" priority="15">
      <formula>F36&gt;0</formula>
    </cfRule>
    <cfRule type="expression" dxfId="1756" priority="16">
      <formula>F36&lt;0</formula>
    </cfRule>
  </conditionalFormatting>
  <conditionalFormatting sqref="H36:H40">
    <cfRule type="expression" dxfId="1755" priority="13">
      <formula>H36&gt;0</formula>
    </cfRule>
    <cfRule type="expression" dxfId="1754" priority="14">
      <formula>H36&lt;0</formula>
    </cfRule>
  </conditionalFormatting>
  <conditionalFormatting sqref="F61:F62">
    <cfRule type="expression" dxfId="1753" priority="11">
      <formula>F61&gt;0</formula>
    </cfRule>
    <cfRule type="expression" dxfId="1752" priority="12">
      <formula>F61&lt;0</formula>
    </cfRule>
  </conditionalFormatting>
  <conditionalFormatting sqref="H61:H62">
    <cfRule type="expression" dxfId="1751" priority="9">
      <formula>H61&gt;0</formula>
    </cfRule>
    <cfRule type="expression" dxfId="1750" priority="10">
      <formula>H61&lt;0</formula>
    </cfRule>
  </conditionalFormatting>
  <conditionalFormatting sqref="J61:J62">
    <cfRule type="expression" dxfId="1749" priority="7">
      <formula>J61&gt;0</formula>
    </cfRule>
    <cfRule type="expression" dxfId="1748" priority="8">
      <formula>J61&lt;0</formula>
    </cfRule>
  </conditionalFormatting>
  <conditionalFormatting sqref="J74:J75 H74:H75 F74:F75">
    <cfRule type="expression" dxfId="1747" priority="5">
      <formula>F74&gt;0</formula>
    </cfRule>
    <cfRule type="expression" dxfId="1746" priority="6">
      <formula>F74&lt;0</formula>
    </cfRule>
  </conditionalFormatting>
  <conditionalFormatting sqref="F79:F82 H79:H82 J79:J82">
    <cfRule type="expression" dxfId="1745" priority="1">
      <formula>F79&gt;0</formula>
    </cfRule>
    <cfRule type="expression" dxfId="1744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820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895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98.86</v>
      </c>
      <c r="T3" s="1"/>
      <c r="U3" t="s">
        <v>896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98.86</v>
      </c>
      <c r="R4" s="495">
        <v>-2.07E-2</v>
      </c>
      <c r="T4" s="1"/>
      <c r="U4" t="s">
        <v>897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">
        <v>43203</v>
      </c>
      <c r="U9" t="s">
        <v>996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995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6.8784139186728712E-3</v>
      </c>
      <c r="R11">
        <v>0.17</v>
      </c>
      <c r="W11" s="134"/>
    </row>
    <row r="12" spans="1:23" x14ac:dyDescent="0.25">
      <c r="H12" s="70"/>
      <c r="O12" s="11" t="s">
        <v>987</v>
      </c>
      <c r="Q12" s="1" t="s">
        <v>1114</v>
      </c>
      <c r="W12" s="134"/>
    </row>
    <row r="13" spans="1:23" x14ac:dyDescent="0.25">
      <c r="H13" s="70"/>
      <c r="O13" s="11" t="s">
        <v>965</v>
      </c>
      <c r="Q13">
        <f>Q4/4.75</f>
        <v>20.812631578947368</v>
      </c>
      <c r="W13" s="134"/>
    </row>
    <row r="14" spans="1:23" x14ac:dyDescent="0.25">
      <c r="H14" s="70"/>
      <c r="T14" s="1">
        <v>43294</v>
      </c>
      <c r="U14" t="s">
        <v>1193</v>
      </c>
      <c r="W14" s="134"/>
    </row>
    <row r="15" spans="1:23" ht="20.25" thickBot="1" x14ac:dyDescent="0.35">
      <c r="H15" s="70"/>
      <c r="O15" s="856" t="s">
        <v>78</v>
      </c>
      <c r="P15" s="856"/>
      <c r="W15" s="134"/>
    </row>
    <row r="16" spans="1:23" ht="15.75" thickTop="1" x14ac:dyDescent="0.25">
      <c r="H16" s="70"/>
      <c r="O16" s="81">
        <v>1.1000000000000001</v>
      </c>
      <c r="P16" s="81">
        <f>O16*$Q$4</f>
        <v>108.74600000000001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107.7574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106.76880000000001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105.78020000000001</v>
      </c>
      <c r="W19" s="134"/>
    </row>
    <row r="20" spans="1:23" x14ac:dyDescent="0.25">
      <c r="O20" s="81">
        <v>1.06</v>
      </c>
      <c r="P20" s="81">
        <f t="shared" si="0"/>
        <v>104.7916</v>
      </c>
      <c r="W20" s="134"/>
    </row>
    <row r="21" spans="1:23" x14ac:dyDescent="0.25">
      <c r="O21" s="81">
        <v>1.05</v>
      </c>
      <c r="P21" s="81">
        <f t="shared" si="0"/>
        <v>103.803</v>
      </c>
      <c r="W21" s="134"/>
    </row>
    <row r="22" spans="1:23" x14ac:dyDescent="0.25">
      <c r="O22" s="81">
        <v>1.04</v>
      </c>
      <c r="P22" s="81">
        <f t="shared" si="0"/>
        <v>102.81440000000001</v>
      </c>
      <c r="W22" s="134"/>
    </row>
    <row r="23" spans="1:23" x14ac:dyDescent="0.25">
      <c r="O23" s="81">
        <v>1.03</v>
      </c>
      <c r="P23" s="81">
        <f t="shared" si="0"/>
        <v>101.8258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O24" s="81">
        <v>1.02</v>
      </c>
      <c r="P24" s="81">
        <f t="shared" si="0"/>
        <v>100.8372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99.848600000000005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98.86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97.871399999999994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96.882800000000003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95.894199999999998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94.905599999999993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93.917000000000002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92.928399999999996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91.939800000000005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90.9512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89.962600000000009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88.974000000000004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820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43" priority="21">
      <formula>F47&gt;0</formula>
    </cfRule>
    <cfRule type="expression" dxfId="1742" priority="22">
      <formula>F47&lt;0</formula>
    </cfRule>
  </conditionalFormatting>
  <conditionalFormatting sqref="Q7">
    <cfRule type="expression" dxfId="1741" priority="19">
      <formula>Q7&gt;0</formula>
    </cfRule>
    <cfRule type="expression" dxfId="1740" priority="20">
      <formula>Q7&lt;0</formula>
    </cfRule>
  </conditionalFormatting>
  <conditionalFormatting sqref="Q8">
    <cfRule type="expression" dxfId="1739" priority="17">
      <formula>Q8&gt;0</formula>
    </cfRule>
    <cfRule type="expression" dxfId="1738" priority="18">
      <formula>Q8&lt;0</formula>
    </cfRule>
  </conditionalFormatting>
  <conditionalFormatting sqref="F25:F46">
    <cfRule type="expression" dxfId="1737" priority="15">
      <formula>F25&gt;0</formula>
    </cfRule>
    <cfRule type="expression" dxfId="1736" priority="16">
      <formula>F25&lt;0</formula>
    </cfRule>
  </conditionalFormatting>
  <conditionalFormatting sqref="H25:H46">
    <cfRule type="expression" dxfId="1735" priority="13">
      <formula>H25&gt;0</formula>
    </cfRule>
    <cfRule type="expression" dxfId="1734" priority="14">
      <formula>H25&lt;0</formula>
    </cfRule>
  </conditionalFormatting>
  <conditionalFormatting sqref="F89:F110">
    <cfRule type="expression" dxfId="1733" priority="11">
      <formula>F89&gt;0</formula>
    </cfRule>
    <cfRule type="expression" dxfId="1732" priority="12">
      <formula>F89&lt;0</formula>
    </cfRule>
  </conditionalFormatting>
  <conditionalFormatting sqref="H89:H110">
    <cfRule type="expression" dxfId="1731" priority="9">
      <formula>H89&gt;0</formula>
    </cfRule>
    <cfRule type="expression" dxfId="1730" priority="10">
      <formula>H89&lt;0</formula>
    </cfRule>
  </conditionalFormatting>
  <conditionalFormatting sqref="Q10">
    <cfRule type="expression" dxfId="1729" priority="7">
      <formula>Q10&gt;0</formula>
    </cfRule>
    <cfRule type="expression" dxfId="1728" priority="8">
      <formula>Q10&lt;0</formula>
    </cfRule>
  </conditionalFormatting>
  <conditionalFormatting sqref="J25:J38">
    <cfRule type="expression" dxfId="1727" priority="5">
      <formula>J25&gt;0</formula>
    </cfRule>
    <cfRule type="expression" dxfId="1726" priority="6">
      <formula>J25&lt;0</formula>
    </cfRule>
  </conditionalFormatting>
  <conditionalFormatting sqref="K25:K38">
    <cfRule type="expression" dxfId="1725" priority="3">
      <formula>K25&gt;0</formula>
    </cfRule>
    <cfRule type="expression" dxfId="172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672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818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-2.0999999999999999E-3</v>
      </c>
      <c r="T4" s="29">
        <v>42738</v>
      </c>
      <c r="U4" t="s">
        <v>817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844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850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207</v>
      </c>
      <c r="Q9" s="134">
        <f>IF(Q2=0, 0, Q8/Q6)</f>
        <v>0</v>
      </c>
      <c r="T9" s="29">
        <v>43114</v>
      </c>
      <c r="U9" t="s">
        <v>871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206</v>
      </c>
      <c r="P10" s="33"/>
      <c r="Q10" s="2">
        <f>M70</f>
        <v>0</v>
      </c>
      <c r="U10" t="s">
        <v>872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987</v>
      </c>
      <c r="Q12" s="29"/>
      <c r="T12" s="29">
        <v>43193</v>
      </c>
      <c r="U12" t="s">
        <v>958</v>
      </c>
    </row>
    <row r="13" spans="1:21" x14ac:dyDescent="0.25">
      <c r="C13" s="4"/>
      <c r="D13" s="3"/>
      <c r="E13" s="3"/>
      <c r="F13" s="3"/>
      <c r="H13" s="70"/>
      <c r="O13" s="11" t="s">
        <v>965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6" t="s">
        <v>78</v>
      </c>
      <c r="P17" s="856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849</v>
      </c>
      <c r="J47" s="39"/>
      <c r="K47" s="39"/>
      <c r="L47" s="39">
        <v>74.34</v>
      </c>
      <c r="M47" s="39" t="s">
        <v>870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932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963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23" priority="25">
      <formula>F7&gt;0</formula>
    </cfRule>
    <cfRule type="expression" dxfId="1722" priority="26">
      <formula>F7&lt;0</formula>
    </cfRule>
  </conditionalFormatting>
  <conditionalFormatting sqref="Q8">
    <cfRule type="expression" dxfId="1721" priority="23">
      <formula>Q8&gt;0</formula>
    </cfRule>
    <cfRule type="expression" dxfId="1720" priority="24">
      <formula>Q8&lt;0</formula>
    </cfRule>
  </conditionalFormatting>
  <conditionalFormatting sqref="F93:F114">
    <cfRule type="expression" dxfId="1719" priority="17">
      <formula>F93&gt;0</formula>
    </cfRule>
    <cfRule type="expression" dxfId="1718" priority="18">
      <formula>F93&lt;0</formula>
    </cfRule>
  </conditionalFormatting>
  <conditionalFormatting sqref="H93:H114">
    <cfRule type="expression" dxfId="1717" priority="15">
      <formula>H93&gt;0</formula>
    </cfRule>
    <cfRule type="expression" dxfId="1716" priority="16">
      <formula>H93&lt;0</formula>
    </cfRule>
  </conditionalFormatting>
  <conditionalFormatting sqref="Q10">
    <cfRule type="expression" dxfId="1715" priority="13">
      <formula>Q10&gt;0</formula>
    </cfRule>
    <cfRule type="expression" dxfId="1714" priority="14">
      <formula>Q10&lt;0</formula>
    </cfRule>
  </conditionalFormatting>
  <conditionalFormatting sqref="J25:J38">
    <cfRule type="expression" dxfId="1713" priority="11">
      <formula>J25&gt;0</formula>
    </cfRule>
    <cfRule type="expression" dxfId="1712" priority="12">
      <formula>J25&lt;0</formula>
    </cfRule>
  </conditionalFormatting>
  <conditionalFormatting sqref="K25:K38">
    <cfRule type="expression" dxfId="1711" priority="9">
      <formula>K25&gt;0</formula>
    </cfRule>
    <cfRule type="expression" dxfId="1710" priority="10">
      <formula>K25&lt;0</formula>
    </cfRule>
  </conditionalFormatting>
  <conditionalFormatting sqref="L25:L34">
    <cfRule type="expression" dxfId="1709" priority="7">
      <formula>L25&gt;0</formula>
    </cfRule>
    <cfRule type="expression" dxfId="1708" priority="8">
      <formula>L25&lt;0</formula>
    </cfRule>
  </conditionalFormatting>
  <conditionalFormatting sqref="J43">
    <cfRule type="expression" dxfId="1707" priority="5">
      <formula>J43&gt;0</formula>
    </cfRule>
    <cfRule type="expression" dxfId="1706" priority="6">
      <formula>J43&lt;0</formula>
    </cfRule>
  </conditionalFormatting>
  <conditionalFormatting sqref="M25:M34">
    <cfRule type="expression" dxfId="1705" priority="3">
      <formula>M25&gt;0</formula>
    </cfRule>
    <cfRule type="expression" dxfId="1704" priority="4">
      <formula>M25&lt;0</formula>
    </cfRule>
  </conditionalFormatting>
  <conditionalFormatting sqref="H61:H64 F61:F64">
    <cfRule type="expression" dxfId="1703" priority="1">
      <formula>F61&gt;0</formula>
    </cfRule>
    <cfRule type="expression" dxfId="170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1019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34.64</v>
      </c>
      <c r="R4" s="495">
        <v>-2.1499999999999998E-2</v>
      </c>
      <c r="T4" s="770"/>
      <c r="U4" s="30" t="s">
        <v>1020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5196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1027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702.77999999999884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702.77999999999884</v>
      </c>
      <c r="T8" s="1">
        <v>43228</v>
      </c>
      <c r="U8" t="s">
        <v>1062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0.15640898954424637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2.1939953810623556E-2</v>
      </c>
      <c r="R11">
        <v>0.19</v>
      </c>
      <c r="T11" s="156">
        <v>43262</v>
      </c>
      <c r="U11" t="s">
        <v>1028</v>
      </c>
    </row>
    <row r="12" spans="1:21" x14ac:dyDescent="0.25">
      <c r="H12" s="70"/>
      <c r="O12" s="11" t="s">
        <v>987</v>
      </c>
      <c r="Q12" s="1" t="s">
        <v>1127</v>
      </c>
      <c r="T12" s="67"/>
    </row>
    <row r="13" spans="1:21" x14ac:dyDescent="0.25">
      <c r="H13" s="70"/>
      <c r="O13" s="11" t="s">
        <v>965</v>
      </c>
      <c r="Q13">
        <f>Q4/2.5</f>
        <v>13.856</v>
      </c>
      <c r="T13" s="156">
        <v>43263</v>
      </c>
      <c r="U13" t="s">
        <v>1107</v>
      </c>
    </row>
    <row r="14" spans="1:21" x14ac:dyDescent="0.25">
      <c r="H14" s="70"/>
      <c r="O14" s="11" t="s">
        <v>1102</v>
      </c>
    </row>
    <row r="15" spans="1:21" x14ac:dyDescent="0.25">
      <c r="H15" s="70"/>
      <c r="O15" s="11" t="s">
        <v>1031</v>
      </c>
      <c r="Q15" s="1">
        <v>43218</v>
      </c>
      <c r="T15" s="1">
        <v>43271</v>
      </c>
      <c r="U15" t="s">
        <v>1128</v>
      </c>
    </row>
    <row r="16" spans="1:21" x14ac:dyDescent="0.25">
      <c r="H16" s="70"/>
      <c r="T16" s="1">
        <v>43300</v>
      </c>
      <c r="U16" t="s">
        <v>1215</v>
      </c>
    </row>
    <row r="17" spans="1:21" x14ac:dyDescent="0.25">
      <c r="T17" s="156">
        <v>43308</v>
      </c>
      <c r="U17" t="s">
        <v>1161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38.104000000000006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1">O24*$Q$4</f>
        <v>37.757600000000004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37.411200000000001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37.064800000000005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36.718400000000003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36.372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36.025600000000004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35.679200000000002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35.332799999999999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34.986400000000003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34.64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34.293599999999998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1124</v>
      </c>
      <c r="J35" s="39"/>
      <c r="K35" s="39">
        <v>13.53</v>
      </c>
      <c r="L35" s="155"/>
      <c r="O35" s="81">
        <v>0.98</v>
      </c>
      <c r="P35" s="81">
        <f t="shared" si="1"/>
        <v>33.947200000000002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1124</v>
      </c>
      <c r="J36" s="39"/>
      <c r="K36" s="39">
        <v>13.03</v>
      </c>
      <c r="L36" s="39"/>
      <c r="O36" s="81">
        <v>0.97</v>
      </c>
      <c r="P36" s="81">
        <f t="shared" si="1"/>
        <v>33.6008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33.254399999999997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32.908000000000001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32.561599999999999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32.215200000000003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1226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31.8688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31.522400000000001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1227</v>
      </c>
      <c r="J43" s="39"/>
      <c r="K43" s="39"/>
      <c r="L43" s="39"/>
      <c r="O43" s="81">
        <v>0.9</v>
      </c>
      <c r="P43" s="81">
        <f t="shared" si="1"/>
        <v>31.176000000000002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1" priority="33">
      <formula>F54&gt;0</formula>
    </cfRule>
    <cfRule type="expression" dxfId="1700" priority="34">
      <formula>F54&lt;0</formula>
    </cfRule>
  </conditionalFormatting>
  <conditionalFormatting sqref="Q7">
    <cfRule type="expression" dxfId="1699" priority="31">
      <formula>Q7&gt;0</formula>
    </cfRule>
    <cfRule type="expression" dxfId="1698" priority="32">
      <formula>Q7&lt;0</formula>
    </cfRule>
  </conditionalFormatting>
  <conditionalFormatting sqref="Q8">
    <cfRule type="expression" dxfId="1697" priority="29">
      <formula>Q8&gt;0</formula>
    </cfRule>
    <cfRule type="expression" dxfId="1696" priority="30">
      <formula>Q8&lt;0</formula>
    </cfRule>
  </conditionalFormatting>
  <conditionalFormatting sqref="F30:F53">
    <cfRule type="expression" dxfId="1695" priority="27">
      <formula>F30&gt;0</formula>
    </cfRule>
    <cfRule type="expression" dxfId="1694" priority="28">
      <formula>F30&lt;0</formula>
    </cfRule>
  </conditionalFormatting>
  <conditionalFormatting sqref="H30:H53">
    <cfRule type="expression" dxfId="1693" priority="25">
      <formula>H30&gt;0</formula>
    </cfRule>
    <cfRule type="expression" dxfId="1692" priority="26">
      <formula>H30&lt;0</formula>
    </cfRule>
  </conditionalFormatting>
  <conditionalFormatting sqref="Q10">
    <cfRule type="expression" dxfId="1691" priority="23">
      <formula>Q10&gt;0</formula>
    </cfRule>
    <cfRule type="expression" dxfId="1690" priority="24">
      <formula>Q10&lt;0</formula>
    </cfRule>
  </conditionalFormatting>
  <conditionalFormatting sqref="J25:J38">
    <cfRule type="expression" dxfId="1689" priority="21">
      <formula>J25&gt;0</formula>
    </cfRule>
    <cfRule type="expression" dxfId="1688" priority="22">
      <formula>J25&lt;0</formula>
    </cfRule>
  </conditionalFormatting>
  <conditionalFormatting sqref="K25:K33">
    <cfRule type="expression" dxfId="1687" priority="19">
      <formula>K25&gt;0</formula>
    </cfRule>
    <cfRule type="expression" dxfId="1686" priority="20">
      <formula>K25&lt;0</formula>
    </cfRule>
  </conditionalFormatting>
  <conditionalFormatting sqref="L25:L38">
    <cfRule type="expression" dxfId="1685" priority="17">
      <formula>L25&gt;0</formula>
    </cfRule>
    <cfRule type="expression" dxfId="1684" priority="18">
      <formula>L25&lt;0</formula>
    </cfRule>
  </conditionalFormatting>
  <conditionalFormatting sqref="F89:F110">
    <cfRule type="expression" dxfId="1683" priority="15">
      <formula>F89&gt;0</formula>
    </cfRule>
    <cfRule type="expression" dxfId="1682" priority="16">
      <formula>F89&lt;0</formula>
    </cfRule>
  </conditionalFormatting>
  <conditionalFormatting sqref="H89:H110">
    <cfRule type="expression" dxfId="1681" priority="13">
      <formula>H89&gt;0</formula>
    </cfRule>
    <cfRule type="expression" dxfId="1680" priority="14">
      <formula>H89&lt;0</formula>
    </cfRule>
  </conditionalFormatting>
  <conditionalFormatting sqref="J89:J102">
    <cfRule type="expression" dxfId="1679" priority="11">
      <formula>J89&gt;0</formula>
    </cfRule>
    <cfRule type="expression" dxfId="1678" priority="12">
      <formula>J89&lt;0</formula>
    </cfRule>
  </conditionalFormatting>
  <conditionalFormatting sqref="K89:K102">
    <cfRule type="expression" dxfId="1677" priority="9">
      <formula>K89&gt;0</formula>
    </cfRule>
    <cfRule type="expression" dxfId="1676" priority="10">
      <formula>K89&lt;0</formula>
    </cfRule>
  </conditionalFormatting>
  <conditionalFormatting sqref="L89:L102">
    <cfRule type="expression" dxfId="1675" priority="7">
      <formula>L89&gt;0</formula>
    </cfRule>
    <cfRule type="expression" dxfId="1674" priority="8">
      <formula>L89&lt;0</formula>
    </cfRule>
  </conditionalFormatting>
  <conditionalFormatting sqref="F25:F29">
    <cfRule type="expression" dxfId="1673" priority="5">
      <formula>F25&gt;0</formula>
    </cfRule>
    <cfRule type="expression" dxfId="1672" priority="6">
      <formula>F25&lt;0</formula>
    </cfRule>
  </conditionalFormatting>
  <conditionalFormatting sqref="H25:H29">
    <cfRule type="expression" dxfId="1671" priority="3">
      <formula>H25&gt;0</formula>
    </cfRule>
    <cfRule type="expression" dxfId="1670" priority="4">
      <formula>H25&lt;0</formula>
    </cfRule>
  </conditionalFormatting>
  <conditionalFormatting sqref="F29">
    <cfRule type="expression" dxfId="1669" priority="1">
      <formula>F29&gt;0</formula>
    </cfRule>
    <cfRule type="expression" dxfId="166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951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98.6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98.6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6.4908722109533476E-3</v>
      </c>
      <c r="R11">
        <v>0.16</v>
      </c>
    </row>
    <row r="12" spans="1:21" x14ac:dyDescent="0.25">
      <c r="H12" s="70"/>
      <c r="O12" s="11" t="s">
        <v>987</v>
      </c>
      <c r="Q12" s="1"/>
    </row>
    <row r="13" spans="1:21" x14ac:dyDescent="0.25">
      <c r="H13" s="70"/>
      <c r="O13" s="11" t="s">
        <v>965</v>
      </c>
      <c r="Q13" s="2">
        <f>Q4/7.38</f>
        <v>13.360433604336043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108.46000000000001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107.474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106.488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105.502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104.51600000000001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103.53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102.544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101.55799999999999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100.572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99.585999999999999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98.6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97.61399999999999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96.627999999999986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95.641999999999996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94.655999999999992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93.669999999999987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92.683999999999983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91.697999999999993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90.712000000000003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89.725999999999999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88.74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7" priority="31">
      <formula>F47&gt;0</formula>
    </cfRule>
    <cfRule type="expression" dxfId="1666" priority="32">
      <formula>F47&lt;0</formula>
    </cfRule>
  </conditionalFormatting>
  <conditionalFormatting sqref="Q7">
    <cfRule type="expression" dxfId="1665" priority="29">
      <formula>Q7&gt;0</formula>
    </cfRule>
    <cfRule type="expression" dxfId="1664" priority="30">
      <formula>Q7&lt;0</formula>
    </cfRule>
  </conditionalFormatting>
  <conditionalFormatting sqref="Q8">
    <cfRule type="expression" dxfId="1663" priority="27">
      <formula>Q8&gt;0</formula>
    </cfRule>
    <cfRule type="expression" dxfId="1662" priority="28">
      <formula>Q8&lt;0</formula>
    </cfRule>
  </conditionalFormatting>
  <conditionalFormatting sqref="F30:F46">
    <cfRule type="expression" dxfId="1661" priority="25">
      <formula>F30&gt;0</formula>
    </cfRule>
    <cfRule type="expression" dxfId="1660" priority="26">
      <formula>F30&lt;0</formula>
    </cfRule>
  </conditionalFormatting>
  <conditionalFormatting sqref="H30:H46">
    <cfRule type="expression" dxfId="1659" priority="23">
      <formula>H30&gt;0</formula>
    </cfRule>
    <cfRule type="expression" dxfId="1658" priority="24">
      <formula>H30&lt;0</formula>
    </cfRule>
  </conditionalFormatting>
  <conditionalFormatting sqref="Q10">
    <cfRule type="expression" dxfId="1657" priority="21">
      <formula>Q10&gt;0</formula>
    </cfRule>
    <cfRule type="expression" dxfId="1656" priority="22">
      <formula>Q10&lt;0</formula>
    </cfRule>
  </conditionalFormatting>
  <conditionalFormatting sqref="J25:J38">
    <cfRule type="expression" dxfId="1655" priority="19">
      <formula>J25&gt;0</formula>
    </cfRule>
    <cfRule type="expression" dxfId="1654" priority="20">
      <formula>J25&lt;0</formula>
    </cfRule>
  </conditionalFormatting>
  <conditionalFormatting sqref="K25:K38">
    <cfRule type="expression" dxfId="1653" priority="17">
      <formula>K25&gt;0</formula>
    </cfRule>
    <cfRule type="expression" dxfId="1652" priority="18">
      <formula>K25&lt;0</formula>
    </cfRule>
  </conditionalFormatting>
  <conditionalFormatting sqref="L25:L38">
    <cfRule type="expression" dxfId="1651" priority="15">
      <formula>L25&gt;0</formula>
    </cfRule>
    <cfRule type="expression" dxfId="1650" priority="16">
      <formula>L25&lt;0</formula>
    </cfRule>
  </conditionalFormatting>
  <conditionalFormatting sqref="F89:F110">
    <cfRule type="expression" dxfId="1649" priority="13">
      <formula>F89&gt;0</formula>
    </cfRule>
    <cfRule type="expression" dxfId="1648" priority="14">
      <formula>F89&lt;0</formula>
    </cfRule>
  </conditionalFormatting>
  <conditionalFormatting sqref="H89:H110">
    <cfRule type="expression" dxfId="1647" priority="11">
      <formula>H89&gt;0</formula>
    </cfRule>
    <cfRule type="expression" dxfId="1646" priority="12">
      <formula>H89&lt;0</formula>
    </cfRule>
  </conditionalFormatting>
  <conditionalFormatting sqref="J89:J102">
    <cfRule type="expression" dxfId="1645" priority="9">
      <formula>J89&gt;0</formula>
    </cfRule>
    <cfRule type="expression" dxfId="1644" priority="10">
      <formula>J89&lt;0</formula>
    </cfRule>
  </conditionalFormatting>
  <conditionalFormatting sqref="K89:K102">
    <cfRule type="expression" dxfId="1643" priority="7">
      <formula>K89&gt;0</formula>
    </cfRule>
    <cfRule type="expression" dxfId="1642" priority="8">
      <formula>K89&lt;0</formula>
    </cfRule>
  </conditionalFormatting>
  <conditionalFormatting sqref="L89:L102">
    <cfRule type="expression" dxfId="1641" priority="5">
      <formula>L89&gt;0</formula>
    </cfRule>
    <cfRule type="expression" dxfId="1640" priority="6">
      <formula>L89&lt;0</formula>
    </cfRule>
  </conditionalFormatting>
  <conditionalFormatting sqref="F25:F29">
    <cfRule type="expression" dxfId="1639" priority="3">
      <formula>F25&gt;0</formula>
    </cfRule>
    <cfRule type="expression" dxfId="1638" priority="4">
      <formula>F25&lt;0</formula>
    </cfRule>
  </conditionalFormatting>
  <conditionalFormatting sqref="H25:H29">
    <cfRule type="expression" dxfId="1637" priority="1">
      <formula>H25&gt;0</formula>
    </cfRule>
    <cfRule type="expression" dxfId="16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1157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58.83</v>
      </c>
      <c r="R4" s="495">
        <v>1.29E-2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11766</v>
      </c>
      <c r="T5" s="1">
        <v>43209</v>
      </c>
      <c r="U5" t="s">
        <v>999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1000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442.84000000000015</v>
      </c>
      <c r="R7" s="29">
        <v>43328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442.84000000000015</v>
      </c>
      <c r="T8" s="1">
        <v>43216</v>
      </c>
      <c r="U8" t="s">
        <v>1024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3.9109223926889682E-2</v>
      </c>
      <c r="T9" s="156"/>
      <c r="U9" t="s">
        <v>1025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4.7594764575896648E-2</v>
      </c>
      <c r="R11">
        <v>0.7</v>
      </c>
      <c r="T11" s="1">
        <v>43285</v>
      </c>
      <c r="U11" t="s">
        <v>1156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 s="2">
        <f>Q4/(3.94+4.03)*2</f>
        <v>14.762860727728983</v>
      </c>
    </row>
    <row r="14" spans="1:21" x14ac:dyDescent="0.25">
      <c r="H14" s="70"/>
      <c r="O14" s="11" t="s">
        <v>1053</v>
      </c>
      <c r="T14" s="156">
        <v>43300</v>
      </c>
      <c r="U14" t="s">
        <v>1180</v>
      </c>
    </row>
    <row r="15" spans="1:21" x14ac:dyDescent="0.25">
      <c r="H15" s="70"/>
      <c r="U15" t="s">
        <v>1213</v>
      </c>
    </row>
    <row r="16" spans="1:21" ht="20.25" thickBot="1" x14ac:dyDescent="0.35">
      <c r="H16" s="70"/>
      <c r="O16" s="856" t="s">
        <v>78</v>
      </c>
      <c r="P16" s="856"/>
    </row>
    <row r="17" spans="1:21" ht="15.75" thickTop="1" x14ac:dyDescent="0.25">
      <c r="O17" s="81">
        <v>1.1000000000000001</v>
      </c>
      <c r="P17" s="81">
        <f>O17*$Q$4</f>
        <v>64.713000000000008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200</v>
      </c>
      <c r="I18" s="18"/>
      <c r="J18" s="18"/>
      <c r="K18" s="18">
        <f>SUM(K2:K5)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64.124700000000004</v>
      </c>
      <c r="T18" s="1">
        <v>43307</v>
      </c>
      <c r="U18" t="s">
        <v>1228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8457</v>
      </c>
      <c r="G19" s="343"/>
      <c r="H19" s="343">
        <f>SumByColor($A$19,H2:H17)</f>
        <v>150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63.5364</v>
      </c>
    </row>
    <row r="20" spans="1:21" x14ac:dyDescent="0.25">
      <c r="O20" s="81">
        <v>1.07</v>
      </c>
      <c r="P20" s="81">
        <f t="shared" si="0"/>
        <v>62.948100000000004</v>
      </c>
    </row>
    <row r="21" spans="1:21" x14ac:dyDescent="0.25">
      <c r="O21" s="81">
        <v>1.06</v>
      </c>
      <c r="P21" s="81">
        <f t="shared" si="0"/>
        <v>62.3598</v>
      </c>
    </row>
    <row r="22" spans="1:21" x14ac:dyDescent="0.25">
      <c r="O22" s="81">
        <v>1.05</v>
      </c>
      <c r="P22" s="81">
        <f t="shared" si="0"/>
        <v>61.771500000000003</v>
      </c>
    </row>
    <row r="23" spans="1:21" x14ac:dyDescent="0.25">
      <c r="O23" s="81">
        <v>1.04</v>
      </c>
      <c r="P23" s="81">
        <f t="shared" si="0"/>
        <v>61.183199999999999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60.594900000000003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60.006599999999999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59.418300000000002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58.83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58.241699999999994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57.653399999999998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57.065099999999994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56.476799999999997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55.888499999999993</v>
      </c>
    </row>
    <row r="33" spans="1:17" x14ac:dyDescent="0.25">
      <c r="A33" t="s">
        <v>1191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55.300199999999997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54.7119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54.123600000000003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53.535299999999999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52.947000000000003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1" si="4">C39*(E39-D39)</f>
        <v>-237.49999999999892</v>
      </c>
      <c r="G39" s="39">
        <f t="shared" ref="G39:G41" si="5">D39*C39</f>
        <v>14262.5</v>
      </c>
      <c r="H39" s="222">
        <f t="shared" ref="H39:H41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5" priority="35">
      <formula>F47&gt;0</formula>
    </cfRule>
    <cfRule type="expression" dxfId="1634" priority="36">
      <formula>F47&lt;0</formula>
    </cfRule>
  </conditionalFormatting>
  <conditionalFormatting sqref="Q7">
    <cfRule type="expression" dxfId="1633" priority="33">
      <formula>Q7&gt;0</formula>
    </cfRule>
    <cfRule type="expression" dxfId="1632" priority="34">
      <formula>Q7&lt;0</formula>
    </cfRule>
  </conditionalFormatting>
  <conditionalFormatting sqref="Q8">
    <cfRule type="expression" dxfId="1631" priority="31">
      <formula>Q8&gt;0</formula>
    </cfRule>
    <cfRule type="expression" dxfId="1630" priority="32">
      <formula>Q8&lt;0</formula>
    </cfRule>
  </conditionalFormatting>
  <conditionalFormatting sqref="F30:F46">
    <cfRule type="expression" dxfId="1629" priority="29">
      <formula>F30&gt;0</formula>
    </cfRule>
    <cfRule type="expression" dxfId="1628" priority="30">
      <formula>F30&lt;0</formula>
    </cfRule>
  </conditionalFormatting>
  <conditionalFormatting sqref="H30:H46">
    <cfRule type="expression" dxfId="1627" priority="27">
      <formula>H30&gt;0</formula>
    </cfRule>
    <cfRule type="expression" dxfId="1626" priority="28">
      <formula>H30&lt;0</formula>
    </cfRule>
  </conditionalFormatting>
  <conditionalFormatting sqref="Q10">
    <cfRule type="expression" dxfId="1625" priority="25">
      <formula>Q10&gt;0</formula>
    </cfRule>
    <cfRule type="expression" dxfId="1624" priority="26">
      <formula>Q10&lt;0</formula>
    </cfRule>
  </conditionalFormatting>
  <conditionalFormatting sqref="J25:J39">
    <cfRule type="expression" dxfId="1623" priority="23">
      <formula>J25&gt;0</formula>
    </cfRule>
    <cfRule type="expression" dxfId="1622" priority="24">
      <formula>J25&lt;0</formula>
    </cfRule>
  </conditionalFormatting>
  <conditionalFormatting sqref="K25:K39">
    <cfRule type="expression" dxfId="1621" priority="21">
      <formula>K25&gt;0</formula>
    </cfRule>
    <cfRule type="expression" dxfId="1620" priority="22">
      <formula>K25&lt;0</formula>
    </cfRule>
  </conditionalFormatting>
  <conditionalFormatting sqref="L25">
    <cfRule type="expression" dxfId="1619" priority="19">
      <formula>L25&gt;0</formula>
    </cfRule>
    <cfRule type="expression" dxfId="1618" priority="20">
      <formula>L25&lt;0</formula>
    </cfRule>
  </conditionalFormatting>
  <conditionalFormatting sqref="F89:F110">
    <cfRule type="expression" dxfId="1617" priority="17">
      <formula>F89&gt;0</formula>
    </cfRule>
    <cfRule type="expression" dxfId="1616" priority="18">
      <formula>F89&lt;0</formula>
    </cfRule>
  </conditionalFormatting>
  <conditionalFormatting sqref="H89:H110">
    <cfRule type="expression" dxfId="1615" priority="15">
      <formula>H89&gt;0</formula>
    </cfRule>
    <cfRule type="expression" dxfId="1614" priority="16">
      <formula>H89&lt;0</formula>
    </cfRule>
  </conditionalFormatting>
  <conditionalFormatting sqref="J89:J102">
    <cfRule type="expression" dxfId="1613" priority="13">
      <formula>J89&gt;0</formula>
    </cfRule>
    <cfRule type="expression" dxfId="1612" priority="14">
      <formula>J89&lt;0</formula>
    </cfRule>
  </conditionalFormatting>
  <conditionalFormatting sqref="K89:K102">
    <cfRule type="expression" dxfId="1611" priority="11">
      <formula>K89&gt;0</formula>
    </cfRule>
    <cfRule type="expression" dxfId="1610" priority="12">
      <formula>K89&lt;0</formula>
    </cfRule>
  </conditionalFormatting>
  <conditionalFormatting sqref="L89:L102">
    <cfRule type="expression" dxfId="1609" priority="9">
      <formula>L89&gt;0</formula>
    </cfRule>
    <cfRule type="expression" dxfId="1608" priority="10">
      <formula>L89&lt;0</formula>
    </cfRule>
  </conditionalFormatting>
  <conditionalFormatting sqref="F25 F29">
    <cfRule type="expression" dxfId="1607" priority="7">
      <formula>F25&gt;0</formula>
    </cfRule>
    <cfRule type="expression" dxfId="1606" priority="8">
      <formula>F25&lt;0</formula>
    </cfRule>
  </conditionalFormatting>
  <conditionalFormatting sqref="H25 H29">
    <cfRule type="expression" dxfId="1605" priority="5">
      <formula>H25&gt;0</formula>
    </cfRule>
    <cfRule type="expression" dxfId="1604" priority="6">
      <formula>H25&lt;0</formula>
    </cfRule>
  </conditionalFormatting>
  <conditionalFormatting sqref="F26:F28">
    <cfRule type="expression" dxfId="1603" priority="3">
      <formula>F26&gt;0</formula>
    </cfRule>
    <cfRule type="expression" dxfId="1602" priority="4">
      <formula>F26&lt;0</formula>
    </cfRule>
  </conditionalFormatting>
  <conditionalFormatting sqref="H26:H28">
    <cfRule type="expression" dxfId="1601" priority="1">
      <formula>H26&gt;0</formula>
    </cfRule>
    <cfRule type="expression" dxfId="160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912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1082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30.683714285714284</v>
      </c>
      <c r="T3" s="1">
        <v>43215</v>
      </c>
      <c r="U3" t="s">
        <v>1021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31.85</v>
      </c>
      <c r="R4" s="495">
        <v>-1.6000000000000001E-3</v>
      </c>
      <c r="T4" s="770"/>
      <c r="U4" s="30" t="s">
        <v>1022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44590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42957.2</v>
      </c>
      <c r="T6" s="1">
        <v>43216</v>
      </c>
      <c r="U6" t="s">
        <v>1023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1632.8000000000029</v>
      </c>
      <c r="R7" s="29">
        <v>43325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1632.8000000000029</v>
      </c>
      <c r="T8" s="1">
        <v>43294</v>
      </c>
      <c r="U8" t="s">
        <v>1195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3.8009926159060715E-2</v>
      </c>
      <c r="T9" s="770"/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6.2794348508634218E-2</v>
      </c>
      <c r="R11">
        <v>0.5</v>
      </c>
    </row>
    <row r="12" spans="1:21" x14ac:dyDescent="0.25">
      <c r="H12" s="70"/>
      <c r="O12" s="11" t="s">
        <v>938</v>
      </c>
      <c r="Q12" s="1" t="s">
        <v>1207</v>
      </c>
      <c r="T12" s="1">
        <v>43305</v>
      </c>
      <c r="U12" t="s">
        <v>869</v>
      </c>
    </row>
    <row r="13" spans="1:21" x14ac:dyDescent="0.25">
      <c r="H13" s="70"/>
      <c r="O13" s="11" t="s">
        <v>965</v>
      </c>
      <c r="Q13" s="2">
        <f>Q4/3.47</f>
        <v>9.1786743515850144</v>
      </c>
    </row>
    <row r="14" spans="1:21" x14ac:dyDescent="0.25">
      <c r="H14" s="70"/>
      <c r="O14" s="11" t="s">
        <v>1232</v>
      </c>
      <c r="Q14" s="29">
        <v>43309</v>
      </c>
      <c r="T14" s="1">
        <v>43308</v>
      </c>
      <c r="U14" t="s">
        <v>1230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100</v>
      </c>
    </row>
    <row r="19" spans="1:1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</row>
    <row r="25" spans="1:13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2" si="1">C25*(E25-D25)</f>
        <v>-189.00000000000006</v>
      </c>
      <c r="G25" s="39">
        <f t="shared" ref="G25:G42" si="2">D25*C25</f>
        <v>3658</v>
      </c>
      <c r="H25" s="222">
        <f t="shared" ref="H25:H42" si="3">(E25-D25)/D25</f>
        <v>-5.166757791142703E-2</v>
      </c>
      <c r="I25" s="39"/>
      <c r="J25" s="39"/>
      <c r="K25" s="39"/>
      <c r="L25" s="39"/>
    </row>
    <row r="26" spans="1:13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/>
    </row>
    <row r="29" spans="1:13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1118</v>
      </c>
      <c r="J30" s="39"/>
      <c r="K30" s="39"/>
      <c r="L30" s="155"/>
    </row>
    <row r="31" spans="1:13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1120</v>
      </c>
      <c r="J31" s="39"/>
      <c r="K31" s="39"/>
      <c r="L31" s="155"/>
    </row>
    <row r="32" spans="1:13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39"/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39"/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1"/>
        <v>-254.99999999999937</v>
      </c>
      <c r="G36" s="39">
        <f t="shared" si="2"/>
        <v>9585</v>
      </c>
      <c r="H36" s="222">
        <f t="shared" si="3"/>
        <v>-2.6604068857589917E-2</v>
      </c>
      <c r="I36" s="39"/>
      <c r="J36" s="39"/>
      <c r="K36" s="39"/>
      <c r="L36" s="39">
        <v>8.9600000000000009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1"/>
        <v>-318.18000000000029</v>
      </c>
      <c r="G37" s="39">
        <f t="shared" si="2"/>
        <v>18852.18</v>
      </c>
      <c r="H37" s="222">
        <f t="shared" si="3"/>
        <v>-1.6877623701874279E-2</v>
      </c>
      <c r="I37" s="39"/>
      <c r="J37" s="39"/>
      <c r="K37" s="39"/>
      <c r="L37" s="39"/>
    </row>
    <row r="38" spans="1:17" x14ac:dyDescent="0.25">
      <c r="B38" s="184">
        <v>43306</v>
      </c>
      <c r="C38" s="425">
        <v>1200</v>
      </c>
      <c r="D38" s="426">
        <v>30.95</v>
      </c>
      <c r="E38" s="39">
        <v>30.48</v>
      </c>
      <c r="F38" s="39">
        <f t="shared" si="1"/>
        <v>-563.99999999999864</v>
      </c>
      <c r="G38" s="39">
        <f t="shared" si="2"/>
        <v>37140</v>
      </c>
      <c r="H38" s="222">
        <f t="shared" si="3"/>
        <v>-1.5185783521809333E-2</v>
      </c>
      <c r="I38" s="39"/>
      <c r="J38" s="39"/>
      <c r="K38" s="39"/>
      <c r="L38" s="39"/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1"/>
        <v>-839.99999999999807</v>
      </c>
      <c r="G39" s="39">
        <f t="shared" si="2"/>
        <v>46215</v>
      </c>
      <c r="H39" s="222">
        <f t="shared" si="3"/>
        <v>-1.8175916910094084E-2</v>
      </c>
      <c r="I39" s="39"/>
      <c r="J39" s="39"/>
      <c r="K39" s="39"/>
      <c r="L39" s="39"/>
    </row>
    <row r="40" spans="1:17" ht="20.25" thickBot="1" x14ac:dyDescent="0.3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1"/>
        <v>404.99999999999937</v>
      </c>
      <c r="G40" s="39">
        <f t="shared" si="2"/>
        <v>46215</v>
      </c>
      <c r="H40" s="222">
        <f t="shared" si="3"/>
        <v>8.7633885102239399E-3</v>
      </c>
      <c r="I40" s="39"/>
      <c r="J40" s="39"/>
      <c r="K40" s="39"/>
      <c r="L40" s="39">
        <v>8.9600000000000009</v>
      </c>
      <c r="O40" s="856" t="s">
        <v>78</v>
      </c>
      <c r="P40" s="856"/>
    </row>
    <row r="41" spans="1:17" ht="15.75" thickTop="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1"/>
        <v>1792.8399999999997</v>
      </c>
      <c r="G41" s="39">
        <f t="shared" si="2"/>
        <v>43007.16</v>
      </c>
      <c r="H41" s="222">
        <f t="shared" si="3"/>
        <v>4.1687012116122052E-2</v>
      </c>
      <c r="I41" s="39"/>
      <c r="J41" s="39"/>
      <c r="K41" s="39"/>
      <c r="L41" s="39">
        <v>9.2200000000000006</v>
      </c>
      <c r="O41" s="81">
        <v>1.1000000000000001</v>
      </c>
      <c r="P41" s="81">
        <f>O41*$Q$4</f>
        <v>35.035000000000004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1"/>
        <v>1702.8199999999956</v>
      </c>
      <c r="G42" s="39">
        <f t="shared" si="2"/>
        <v>42957.18</v>
      </c>
      <c r="H42" s="222">
        <f t="shared" si="3"/>
        <v>3.9639939120770858E-2</v>
      </c>
      <c r="I42" s="39"/>
      <c r="J42" s="39"/>
      <c r="K42" s="39"/>
      <c r="L42" s="39">
        <v>9.19</v>
      </c>
      <c r="O42" s="81">
        <v>1.0900000000000001</v>
      </c>
      <c r="P42" s="81">
        <f t="shared" ref="P42:P61" si="4">O42*$Q$4</f>
        <v>34.716500000000003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34.398000000000003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34.079500000000003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33.761000000000003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33.442500000000003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33.124000000000002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32.805500000000002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32.487000000000002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32.168500000000002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31.85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31.531500000000001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31.213000000000001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30.894500000000001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30.576000000000001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30.2575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29.939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29.620500000000003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29.302000000000003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28.983500000000003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28.665000000000003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9" priority="31">
      <formula>F47&gt;0</formula>
    </cfRule>
    <cfRule type="expression" dxfId="1598" priority="32">
      <formula>F47&lt;0</formula>
    </cfRule>
  </conditionalFormatting>
  <conditionalFormatting sqref="Q7">
    <cfRule type="expression" dxfId="1597" priority="29">
      <formula>Q7&gt;0</formula>
    </cfRule>
    <cfRule type="expression" dxfId="1596" priority="30">
      <formula>Q7&lt;0</formula>
    </cfRule>
  </conditionalFormatting>
  <conditionalFormatting sqref="Q8">
    <cfRule type="expression" dxfId="1595" priority="27">
      <formula>Q8&gt;0</formula>
    </cfRule>
    <cfRule type="expression" dxfId="1594" priority="28">
      <formula>Q8&lt;0</formula>
    </cfRule>
  </conditionalFormatting>
  <conditionalFormatting sqref="F30:F46">
    <cfRule type="expression" dxfId="1593" priority="25">
      <formula>F30&gt;0</formula>
    </cfRule>
    <cfRule type="expression" dxfId="1592" priority="26">
      <formula>F30&lt;0</formula>
    </cfRule>
  </conditionalFormatting>
  <conditionalFormatting sqref="H30:H46">
    <cfRule type="expression" dxfId="1591" priority="23">
      <formula>H30&gt;0</formula>
    </cfRule>
    <cfRule type="expression" dxfId="1590" priority="24">
      <formula>H30&lt;0</formula>
    </cfRule>
  </conditionalFormatting>
  <conditionalFormatting sqref="Q10">
    <cfRule type="expression" dxfId="1589" priority="21">
      <formula>Q10&gt;0</formula>
    </cfRule>
    <cfRule type="expression" dxfId="1588" priority="22">
      <formula>Q10&lt;0</formula>
    </cfRule>
  </conditionalFormatting>
  <conditionalFormatting sqref="J25:J38">
    <cfRule type="expression" dxfId="1587" priority="19">
      <formula>J25&gt;0</formula>
    </cfRule>
    <cfRule type="expression" dxfId="1586" priority="20">
      <formula>J25&lt;0</formula>
    </cfRule>
  </conditionalFormatting>
  <conditionalFormatting sqref="K25:K38">
    <cfRule type="expression" dxfId="1585" priority="17">
      <formula>K25&gt;0</formula>
    </cfRule>
    <cfRule type="expression" dxfId="1584" priority="18">
      <formula>K25&lt;0</formula>
    </cfRule>
  </conditionalFormatting>
  <conditionalFormatting sqref="L25:L33">
    <cfRule type="expression" dxfId="1583" priority="15">
      <formula>L25&gt;0</formula>
    </cfRule>
    <cfRule type="expression" dxfId="1582" priority="16">
      <formula>L25&lt;0</formula>
    </cfRule>
  </conditionalFormatting>
  <conditionalFormatting sqref="F89:F110">
    <cfRule type="expression" dxfId="1581" priority="13">
      <formula>F89&gt;0</formula>
    </cfRule>
    <cfRule type="expression" dxfId="1580" priority="14">
      <formula>F89&lt;0</formula>
    </cfRule>
  </conditionalFormatting>
  <conditionalFormatting sqref="H89:H110">
    <cfRule type="expression" dxfId="1579" priority="11">
      <formula>H89&gt;0</formula>
    </cfRule>
    <cfRule type="expression" dxfId="1578" priority="12">
      <formula>H89&lt;0</formula>
    </cfRule>
  </conditionalFormatting>
  <conditionalFormatting sqref="J89:J102">
    <cfRule type="expression" dxfId="1577" priority="9">
      <formula>J89&gt;0</formula>
    </cfRule>
    <cfRule type="expression" dxfId="1576" priority="10">
      <formula>J89&lt;0</formula>
    </cfRule>
  </conditionalFormatting>
  <conditionalFormatting sqref="K89:K102">
    <cfRule type="expression" dxfId="1575" priority="7">
      <formula>K89&gt;0</formula>
    </cfRule>
    <cfRule type="expression" dxfId="1574" priority="8">
      <formula>K89&lt;0</formula>
    </cfRule>
  </conditionalFormatting>
  <conditionalFormatting sqref="L89:L102">
    <cfRule type="expression" dxfId="1573" priority="5">
      <formula>L89&gt;0</formula>
    </cfRule>
    <cfRule type="expression" dxfId="1572" priority="6">
      <formula>L89&lt;0</formula>
    </cfRule>
  </conditionalFormatting>
  <conditionalFormatting sqref="F25:F29">
    <cfRule type="expression" dxfId="1571" priority="3">
      <formula>F25&gt;0</formula>
    </cfRule>
    <cfRule type="expression" dxfId="1570" priority="4">
      <formula>F25&lt;0</formula>
    </cfRule>
  </conditionalFormatting>
  <conditionalFormatting sqref="H25:H29">
    <cfRule type="expression" dxfId="1569" priority="1">
      <formula>H25&gt;0</formula>
    </cfRule>
    <cfRule type="expression" dxfId="1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674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938</v>
      </c>
      <c r="Q12" s="1"/>
      <c r="W12" s="134"/>
    </row>
    <row r="13" spans="1:23" x14ac:dyDescent="0.25">
      <c r="H13" s="70"/>
      <c r="O13" s="11" t="s">
        <v>965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56" t="s">
        <v>78</v>
      </c>
      <c r="P24" s="856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989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67" priority="24">
      <formula>F51&gt;0</formula>
    </cfRule>
    <cfRule type="expression" dxfId="1566" priority="25">
      <formula>F51&lt;0</formula>
    </cfRule>
  </conditionalFormatting>
  <conditionalFormatting sqref="Q7">
    <cfRule type="expression" dxfId="1565" priority="22">
      <formula>Q7&gt;0</formula>
    </cfRule>
    <cfRule type="expression" dxfId="1564" priority="23">
      <formula>Q7&lt;0</formula>
    </cfRule>
  </conditionalFormatting>
  <conditionalFormatting sqref="Q8">
    <cfRule type="expression" dxfId="1563" priority="20">
      <formula>Q8&gt;0</formula>
    </cfRule>
    <cfRule type="expression" dxfId="1562" priority="21">
      <formula>Q8&lt;0</formula>
    </cfRule>
  </conditionalFormatting>
  <conditionalFormatting sqref="F25:F50">
    <cfRule type="expression" dxfId="1561" priority="18">
      <formula>F25&gt;0</formula>
    </cfRule>
    <cfRule type="expression" dxfId="1560" priority="19">
      <formula>F25&lt;0</formula>
    </cfRule>
  </conditionalFormatting>
  <conditionalFormatting sqref="H25:H50">
    <cfRule type="expression" dxfId="1559" priority="16">
      <formula>H25&gt;0</formula>
    </cfRule>
    <cfRule type="expression" dxfId="1558" priority="17">
      <formula>H25&lt;0</formula>
    </cfRule>
  </conditionalFormatting>
  <conditionalFormatting sqref="F89:F110">
    <cfRule type="expression" dxfId="1557" priority="14">
      <formula>F89&gt;0</formula>
    </cfRule>
    <cfRule type="expression" dxfId="1556" priority="15">
      <formula>F89&lt;0</formula>
    </cfRule>
  </conditionalFormatting>
  <conditionalFormatting sqref="H89:H110">
    <cfRule type="expression" dxfId="1555" priority="12">
      <formula>H89&gt;0</formula>
    </cfRule>
    <cfRule type="expression" dxfId="1554" priority="13">
      <formula>H89&lt;0</formula>
    </cfRule>
  </conditionalFormatting>
  <conditionalFormatting sqref="Q10">
    <cfRule type="expression" dxfId="1553" priority="10">
      <formula>Q10&gt;0</formula>
    </cfRule>
    <cfRule type="expression" dxfId="1552" priority="11">
      <formula>Q10&lt;0</formula>
    </cfRule>
  </conditionalFormatting>
  <conditionalFormatting sqref="J25:J39">
    <cfRule type="expression" dxfId="1551" priority="8">
      <formula>J25&gt;0</formula>
    </cfRule>
    <cfRule type="expression" dxfId="1550" priority="9">
      <formula>J25&lt;0</formula>
    </cfRule>
  </conditionalFormatting>
  <conditionalFormatting sqref="K25:K38">
    <cfRule type="expression" dxfId="1549" priority="6">
      <formula>K25&gt;0</formula>
    </cfRule>
    <cfRule type="expression" dxfId="1548" priority="7">
      <formula>K25&lt;0</formula>
    </cfRule>
  </conditionalFormatting>
  <conditionalFormatting sqref="L25:L38">
    <cfRule type="expression" dxfId="1547" priority="4">
      <formula>L25&gt;0</formula>
    </cfRule>
    <cfRule type="expression" dxfId="154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45" priority="1">
      <formula>J40&gt;0</formula>
    </cfRule>
    <cfRule type="expression" dxfId="154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207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206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588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589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590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491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492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274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294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292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293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295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301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320</v>
      </c>
      <c r="J235" s="39"/>
      <c r="K235" s="39"/>
    </row>
    <row r="236" spans="1:11" x14ac:dyDescent="0.25">
      <c r="A236" t="s">
        <v>329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354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354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371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375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390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397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400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405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406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407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412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412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412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3" priority="74">
      <formula>F12&gt;0</formula>
    </cfRule>
    <cfRule type="expression" dxfId="154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1" priority="67">
      <formula>F124&gt;0</formula>
    </cfRule>
    <cfRule type="expression" dxfId="1540" priority="68">
      <formula>F124&lt;0</formula>
    </cfRule>
  </conditionalFormatting>
  <conditionalFormatting sqref="H124:H130">
    <cfRule type="expression" dxfId="1539" priority="55">
      <formula>H124&gt;0</formula>
    </cfRule>
    <cfRule type="expression" dxfId="1538" priority="56">
      <formula>H124&lt;0</formula>
    </cfRule>
  </conditionalFormatting>
  <conditionalFormatting sqref="H131">
    <cfRule type="expression" dxfId="1537" priority="53">
      <formula>H131&gt;0</formula>
    </cfRule>
    <cfRule type="expression" dxfId="1536" priority="54">
      <formula>H131&lt;0</formula>
    </cfRule>
  </conditionalFormatting>
  <conditionalFormatting sqref="H132">
    <cfRule type="expression" dxfId="1535" priority="51">
      <formula>H132&gt;0</formula>
    </cfRule>
    <cfRule type="expression" dxfId="1534" priority="52">
      <formula>H132&lt;0</formula>
    </cfRule>
  </conditionalFormatting>
  <conditionalFormatting sqref="H133:H135">
    <cfRule type="expression" dxfId="1533" priority="49">
      <formula>H133&gt;0</formula>
    </cfRule>
    <cfRule type="expression" dxfId="1532" priority="50">
      <formula>H133&lt;0</formula>
    </cfRule>
  </conditionalFormatting>
  <conditionalFormatting sqref="H136">
    <cfRule type="expression" dxfId="1531" priority="45">
      <formula>H136&gt;0</formula>
    </cfRule>
    <cfRule type="expression" dxfId="1530" priority="46">
      <formula>H136&lt;0</formula>
    </cfRule>
  </conditionalFormatting>
  <conditionalFormatting sqref="Q7">
    <cfRule type="expression" dxfId="1529" priority="39">
      <formula>Q7&gt;0</formula>
    </cfRule>
    <cfRule type="expression" dxfId="1528" priority="40">
      <formula>Q7&lt;0</formula>
    </cfRule>
  </conditionalFormatting>
  <conditionalFormatting sqref="Q8">
    <cfRule type="expression" dxfId="1527" priority="37">
      <formula>Q8&gt;0</formula>
    </cfRule>
    <cfRule type="expression" dxfId="1526" priority="38">
      <formula>Q8&lt;0</formula>
    </cfRule>
  </conditionalFormatting>
  <conditionalFormatting sqref="F167:F178 H167:H178">
    <cfRule type="expression" dxfId="1525" priority="35">
      <formula>F167&gt;0</formula>
    </cfRule>
    <cfRule type="expression" dxfId="1524" priority="36">
      <formula>F167&lt;0</formula>
    </cfRule>
  </conditionalFormatting>
  <conditionalFormatting sqref="F183:F197 H183:H197">
    <cfRule type="expression" dxfId="1523" priority="33">
      <formula>F183&gt;0</formula>
    </cfRule>
    <cfRule type="expression" dxfId="1522" priority="34">
      <formula>F183&lt;0</formula>
    </cfRule>
  </conditionalFormatting>
  <conditionalFormatting sqref="F198:F206 H198:H206">
    <cfRule type="expression" dxfId="1521" priority="31">
      <formula>F198&gt;0</formula>
    </cfRule>
    <cfRule type="expression" dxfId="1520" priority="32">
      <formula>F198&lt;0</formula>
    </cfRule>
  </conditionalFormatting>
  <conditionalFormatting sqref="F141:F147 H141:H147">
    <cfRule type="expression" dxfId="1519" priority="29">
      <formula>F141&gt;0</formula>
    </cfRule>
    <cfRule type="expression" dxfId="1518" priority="30">
      <formula>F141&lt;0</formula>
    </cfRule>
  </conditionalFormatting>
  <conditionalFormatting sqref="H149:H152 F149:F152">
    <cfRule type="expression" dxfId="1517" priority="27">
      <formula>F149&gt;0</formula>
    </cfRule>
    <cfRule type="expression" dxfId="1516" priority="28">
      <formula>F149&lt;0</formula>
    </cfRule>
  </conditionalFormatting>
  <conditionalFormatting sqref="F226 H215:H218 H257:H260 F257:F260 H226 H231:H233 F231:F233 F235:F244 H235:H244">
    <cfRule type="expression" dxfId="1515" priority="25">
      <formula>F215&gt;0</formula>
    </cfRule>
    <cfRule type="expression" dxfId="1514" priority="26">
      <formula>F215&lt;0</formula>
    </cfRule>
  </conditionalFormatting>
  <conditionalFormatting sqref="F207:F218">
    <cfRule type="expression" dxfId="1513" priority="23">
      <formula>F207&gt;0</formula>
    </cfRule>
    <cfRule type="expression" dxfId="1512" priority="24">
      <formula>F207&lt;0</formula>
    </cfRule>
  </conditionalFormatting>
  <conditionalFormatting sqref="H207:H208">
    <cfRule type="expression" dxfId="1511" priority="21">
      <formula>H207&gt;0</formula>
    </cfRule>
    <cfRule type="expression" dxfId="1510" priority="22">
      <formula>H207&lt;0</formula>
    </cfRule>
  </conditionalFormatting>
  <conditionalFormatting sqref="H209">
    <cfRule type="expression" dxfId="1509" priority="19">
      <formula>H209&gt;0</formula>
    </cfRule>
    <cfRule type="expression" dxfId="1508" priority="20">
      <formula>H209&lt;0</formula>
    </cfRule>
  </conditionalFormatting>
  <conditionalFormatting sqref="H210">
    <cfRule type="expression" dxfId="1507" priority="17">
      <formula>H210&gt;0</formula>
    </cfRule>
    <cfRule type="expression" dxfId="1506" priority="18">
      <formula>H210&lt;0</formula>
    </cfRule>
  </conditionalFormatting>
  <conditionalFormatting sqref="H211:H213">
    <cfRule type="expression" dxfId="1505" priority="15">
      <formula>H211&gt;0</formula>
    </cfRule>
    <cfRule type="expression" dxfId="1504" priority="16">
      <formula>H211&lt;0</formula>
    </cfRule>
  </conditionalFormatting>
  <conditionalFormatting sqref="H214">
    <cfRule type="expression" dxfId="1503" priority="13">
      <formula>H214&gt;0</formula>
    </cfRule>
    <cfRule type="expression" dxfId="1502" priority="14">
      <formula>H214&lt;0</formula>
    </cfRule>
  </conditionalFormatting>
  <conditionalFormatting sqref="F245:F256 H245:H256">
    <cfRule type="expression" dxfId="1501" priority="11">
      <formula>F245&gt;0</formula>
    </cfRule>
    <cfRule type="expression" dxfId="1500" priority="12">
      <formula>F245&lt;0</formula>
    </cfRule>
  </conditionalFormatting>
  <conditionalFormatting sqref="F261:F275 H261:H275">
    <cfRule type="expression" dxfId="1499" priority="9">
      <formula>F261&gt;0</formula>
    </cfRule>
    <cfRule type="expression" dxfId="1498" priority="10">
      <formula>F261&lt;0</formula>
    </cfRule>
  </conditionalFormatting>
  <conditionalFormatting sqref="F276:F283 H276:H283">
    <cfRule type="expression" dxfId="1497" priority="7">
      <formula>F276&gt;0</formula>
    </cfRule>
    <cfRule type="expression" dxfId="1496" priority="8">
      <formula>F276&lt;0</formula>
    </cfRule>
  </conditionalFormatting>
  <conditionalFormatting sqref="F219:F225 H219:H225">
    <cfRule type="expression" dxfId="1495" priority="5">
      <formula>F219&gt;0</formula>
    </cfRule>
    <cfRule type="expression" dxfId="1494" priority="6">
      <formula>F219&lt;0</formula>
    </cfRule>
  </conditionalFormatting>
  <conditionalFormatting sqref="H227:H230 F227:F230">
    <cfRule type="expression" dxfId="1493" priority="3">
      <formula>F227&gt;0</formula>
    </cfRule>
    <cfRule type="expression" dxfId="1492" priority="4">
      <formula>F227&lt;0</formula>
    </cfRule>
  </conditionalFormatting>
  <conditionalFormatting sqref="H234 F234">
    <cfRule type="expression" dxfId="1491" priority="1">
      <formula>F234&gt;0</formula>
    </cfRule>
    <cfRule type="expression" dxfId="149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142.44999999999999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142.44999999999999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206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6" t="s">
        <v>78</v>
      </c>
      <c r="P40" s="85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156.69499999999999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155.2705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153.846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152.42150000000001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150.99699999999999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149.57249999999999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148.148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146.7235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145.29899999999998</v>
      </c>
      <c r="Q49" s="2"/>
      <c r="T49" s="91" t="s">
        <v>121</v>
      </c>
      <c r="U49" s="127" t="s">
        <v>383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143.87449999999998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142.44999999999999</v>
      </c>
      <c r="Q51" s="2"/>
      <c r="T51" s="91" t="s">
        <v>104</v>
      </c>
      <c r="U51" s="127" t="s">
        <v>591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141.02549999999999</v>
      </c>
      <c r="Q52" s="2"/>
      <c r="T52" s="91" t="s">
        <v>105</v>
      </c>
      <c r="U52" s="127" t="s">
        <v>414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139.601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138.17649999999998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136.75199999999998</v>
      </c>
      <c r="T55" s="91" t="s">
        <v>107</v>
      </c>
      <c r="U55" s="127" t="s">
        <v>592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135.32749999999999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133.90299999999999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132.4785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131.054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129.62950000000001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128.20499999999998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305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346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346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89" priority="43">
      <formula>F33&gt;0</formula>
    </cfRule>
    <cfRule type="expression" dxfId="1488" priority="44">
      <formula>F33&lt;0</formula>
    </cfRule>
  </conditionalFormatting>
  <conditionalFormatting sqref="Q7">
    <cfRule type="expression" dxfId="1487" priority="41">
      <formula>Q7&gt;0</formula>
    </cfRule>
    <cfRule type="expression" dxfId="1486" priority="42">
      <formula>Q7&lt;0</formula>
    </cfRule>
  </conditionalFormatting>
  <conditionalFormatting sqref="Q8">
    <cfRule type="expression" dxfId="1485" priority="39">
      <formula>Q8&gt;0</formula>
    </cfRule>
    <cfRule type="expression" dxfId="1484" priority="40">
      <formula>Q8&lt;0</formula>
    </cfRule>
  </conditionalFormatting>
  <conditionalFormatting sqref="F29 F32">
    <cfRule type="expression" dxfId="1483" priority="37">
      <formula>F29&gt;0</formula>
    </cfRule>
    <cfRule type="expression" dxfId="1482" priority="38">
      <formula>F29&lt;0</formula>
    </cfRule>
  </conditionalFormatting>
  <conditionalFormatting sqref="H29 H32">
    <cfRule type="expression" dxfId="1481" priority="35">
      <formula>H29&gt;0</formula>
    </cfRule>
    <cfRule type="expression" dxfId="1480" priority="36">
      <formula>H29&lt;0</formula>
    </cfRule>
  </conditionalFormatting>
  <conditionalFormatting sqref="F30:F31">
    <cfRule type="expression" dxfId="1479" priority="33">
      <formula>F30&gt;0</formula>
    </cfRule>
    <cfRule type="expression" dxfId="1478" priority="34">
      <formula>F30&lt;0</formula>
    </cfRule>
  </conditionalFormatting>
  <conditionalFormatting sqref="H30:H31">
    <cfRule type="expression" dxfId="1477" priority="31">
      <formula>H30&gt;0</formula>
    </cfRule>
    <cfRule type="expression" dxfId="1476" priority="32">
      <formula>H30&lt;0</formula>
    </cfRule>
  </conditionalFormatting>
  <conditionalFormatting sqref="F105:F140 H105:H140">
    <cfRule type="expression" dxfId="1475" priority="29">
      <formula>F105&gt;0</formula>
    </cfRule>
    <cfRule type="expression" dxfId="1474" priority="30">
      <formula>F105&lt;0</formula>
    </cfRule>
  </conditionalFormatting>
  <conditionalFormatting sqref="F96:F99">
    <cfRule type="expression" dxfId="1473" priority="27">
      <formula>F96&gt;0</formula>
    </cfRule>
    <cfRule type="expression" dxfId="1472" priority="28">
      <formula>F96&lt;0</formula>
    </cfRule>
  </conditionalFormatting>
  <conditionalFormatting sqref="H96:H99">
    <cfRule type="expression" dxfId="1471" priority="25">
      <formula>H96&gt;0</formula>
    </cfRule>
    <cfRule type="expression" dxfId="1470" priority="26">
      <formula>H96&lt;0</formula>
    </cfRule>
  </conditionalFormatting>
  <conditionalFormatting sqref="F25:F28">
    <cfRule type="expression" dxfId="1469" priority="19">
      <formula>F25&gt;0</formula>
    </cfRule>
    <cfRule type="expression" dxfId="1468" priority="20">
      <formula>F25&lt;0</formula>
    </cfRule>
  </conditionalFormatting>
  <conditionalFormatting sqref="H25:H28">
    <cfRule type="expression" dxfId="1467" priority="17">
      <formula>H25&gt;0</formula>
    </cfRule>
    <cfRule type="expression" dxfId="1466" priority="18">
      <formula>H25&lt;0</formula>
    </cfRule>
  </conditionalFormatting>
  <conditionalFormatting sqref="J27">
    <cfRule type="expression" dxfId="1465" priority="15">
      <formula>J27&gt;0</formula>
    </cfRule>
    <cfRule type="expression" dxfId="1464" priority="16">
      <formula>J27&lt;0</formula>
    </cfRule>
  </conditionalFormatting>
  <conditionalFormatting sqref="F104">
    <cfRule type="expression" dxfId="1463" priority="13">
      <formula>F104&gt;0</formula>
    </cfRule>
    <cfRule type="expression" dxfId="1462" priority="14">
      <formula>F104&lt;0</formula>
    </cfRule>
  </conditionalFormatting>
  <conditionalFormatting sqref="H104">
    <cfRule type="expression" dxfId="1461" priority="11">
      <formula>H104&gt;0</formula>
    </cfRule>
    <cfRule type="expression" dxfId="1460" priority="12">
      <formula>H104&lt;0</formula>
    </cfRule>
  </conditionalFormatting>
  <conditionalFormatting sqref="F100:F103">
    <cfRule type="expression" dxfId="1459" priority="9">
      <formula>F100&gt;0</formula>
    </cfRule>
    <cfRule type="expression" dxfId="1458" priority="10">
      <formula>F100&lt;0</formula>
    </cfRule>
  </conditionalFormatting>
  <conditionalFormatting sqref="H100:H103">
    <cfRule type="expression" dxfId="1457" priority="7">
      <formula>H100&gt;0</formula>
    </cfRule>
    <cfRule type="expression" dxfId="1456" priority="8">
      <formula>H100&lt;0</formula>
    </cfRule>
  </conditionalFormatting>
  <conditionalFormatting sqref="J102">
    <cfRule type="expression" dxfId="1455" priority="5">
      <formula>J102&gt;0</formula>
    </cfRule>
    <cfRule type="expression" dxfId="1454" priority="6">
      <formula>J102&lt;0</formula>
    </cfRule>
  </conditionalFormatting>
  <conditionalFormatting sqref="Q10">
    <cfRule type="expression" dxfId="1453" priority="3">
      <formula>Q10&gt;0</formula>
    </cfRule>
    <cfRule type="expression" dxfId="1452" priority="4">
      <formula>Q10&lt;0</formula>
    </cfRule>
  </conditionalFormatting>
  <conditionalFormatting sqref="M71">
    <cfRule type="expression" dxfId="1451" priority="1">
      <formula>M71&gt;0</formula>
    </cfRule>
    <cfRule type="expression" dxfId="145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97.26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97.26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106.98600000000002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106.01340000000002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105.04080000000002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104.0682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103.0956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102.123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101.1504</v>
      </c>
      <c r="Q47" s="2"/>
      <c r="T47" s="91"/>
      <c r="U47" s="127"/>
    </row>
    <row r="48" spans="1:21" x14ac:dyDescent="0.25">
      <c r="A48" s="254" t="s">
        <v>684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100.1778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99.205200000000005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98.232600000000005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97.26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96.287400000000005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95.314800000000005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94.342200000000005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93.369600000000005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92.397000000000006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91.424400000000006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90.451800000000006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89.479200000000006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88.506600000000006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87.534000000000006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49" priority="33">
      <formula>F34&gt;0</formula>
    </cfRule>
    <cfRule type="expression" dxfId="1448" priority="34">
      <formula>F34&lt;0</formula>
    </cfRule>
  </conditionalFormatting>
  <conditionalFormatting sqref="Q7">
    <cfRule type="expression" dxfId="1447" priority="31">
      <formula>Q7&gt;0</formula>
    </cfRule>
    <cfRule type="expression" dxfId="1446" priority="32">
      <formula>Q7&lt;0</formula>
    </cfRule>
  </conditionalFormatting>
  <conditionalFormatting sqref="Q8">
    <cfRule type="expression" dxfId="1445" priority="29">
      <formula>Q8&gt;0</formula>
    </cfRule>
    <cfRule type="expression" dxfId="1444" priority="30">
      <formula>Q8&lt;0</formula>
    </cfRule>
  </conditionalFormatting>
  <conditionalFormatting sqref="F27:F33">
    <cfRule type="expression" dxfId="1443" priority="27">
      <formula>F27&gt;0</formula>
    </cfRule>
    <cfRule type="expression" dxfId="1442" priority="28">
      <formula>F27&lt;0</formula>
    </cfRule>
  </conditionalFormatting>
  <conditionalFormatting sqref="H27:H33">
    <cfRule type="expression" dxfId="1441" priority="25">
      <formula>H27&gt;0</formula>
    </cfRule>
    <cfRule type="expression" dxfId="1440" priority="26">
      <formula>H27&lt;0</formula>
    </cfRule>
  </conditionalFormatting>
  <conditionalFormatting sqref="M46">
    <cfRule type="expression" dxfId="1439" priority="23">
      <formula>M46&gt;0</formula>
    </cfRule>
    <cfRule type="expression" dxfId="1438" priority="24">
      <formula>M46&lt;0</formula>
    </cfRule>
  </conditionalFormatting>
  <conditionalFormatting sqref="F79:F87 H79:H87">
    <cfRule type="expression" dxfId="1437" priority="21">
      <formula>F79&gt;0</formula>
    </cfRule>
    <cfRule type="expression" dxfId="1436" priority="22">
      <formula>F79&lt;0</formula>
    </cfRule>
  </conditionalFormatting>
  <conditionalFormatting sqref="F73 F77:F78">
    <cfRule type="expression" dxfId="1435" priority="19">
      <formula>F73&gt;0</formula>
    </cfRule>
    <cfRule type="expression" dxfId="1434" priority="20">
      <formula>F73&lt;0</formula>
    </cfRule>
  </conditionalFormatting>
  <conditionalFormatting sqref="H73 H77:H78">
    <cfRule type="expression" dxfId="1433" priority="17">
      <formula>H73&gt;0</formula>
    </cfRule>
    <cfRule type="expression" dxfId="1432" priority="18">
      <formula>H73&lt;0</formula>
    </cfRule>
  </conditionalFormatting>
  <conditionalFormatting sqref="F70:F72">
    <cfRule type="expression" dxfId="1431" priority="15">
      <formula>F70&gt;0</formula>
    </cfRule>
    <cfRule type="expression" dxfId="1430" priority="16">
      <formula>F70&lt;0</formula>
    </cfRule>
  </conditionalFormatting>
  <conditionalFormatting sqref="H70:H72">
    <cfRule type="expression" dxfId="1429" priority="13">
      <formula>H70&gt;0</formula>
    </cfRule>
    <cfRule type="expression" dxfId="1428" priority="14">
      <formula>H70&lt;0</formula>
    </cfRule>
  </conditionalFormatting>
  <conditionalFormatting sqref="F25:F26">
    <cfRule type="expression" dxfId="1427" priority="11">
      <formula>F25&gt;0</formula>
    </cfRule>
    <cfRule type="expression" dxfId="1426" priority="12">
      <formula>F25&lt;0</formula>
    </cfRule>
  </conditionalFormatting>
  <conditionalFormatting sqref="H25:H26">
    <cfRule type="expression" dxfId="1425" priority="9">
      <formula>H25&gt;0</formula>
    </cfRule>
    <cfRule type="expression" dxfId="1424" priority="10">
      <formula>H25&lt;0</formula>
    </cfRule>
  </conditionalFormatting>
  <conditionalFormatting sqref="F76">
    <cfRule type="expression" dxfId="1423" priority="7">
      <formula>F76&gt;0</formula>
    </cfRule>
    <cfRule type="expression" dxfId="1422" priority="8">
      <formula>F76&lt;0</formula>
    </cfRule>
  </conditionalFormatting>
  <conditionalFormatting sqref="H76">
    <cfRule type="expression" dxfId="1421" priority="5">
      <formula>H76&gt;0</formula>
    </cfRule>
    <cfRule type="expression" dxfId="1420" priority="6">
      <formula>H76&lt;0</formula>
    </cfRule>
  </conditionalFormatting>
  <conditionalFormatting sqref="F74:F75">
    <cfRule type="expression" dxfId="1419" priority="3">
      <formula>F74&gt;0</formula>
    </cfRule>
    <cfRule type="expression" dxfId="1418" priority="4">
      <formula>F74&lt;0</formula>
    </cfRule>
  </conditionalFormatting>
  <conditionalFormatting sqref="H74:H75">
    <cfRule type="expression" dxfId="1417" priority="1">
      <formula>H74&gt;0</formula>
    </cfRule>
    <cfRule type="expression" dxfId="141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988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177.1199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177.1199</v>
      </c>
      <c r="R4" s="495">
        <v>3.8E-3</v>
      </c>
      <c r="T4" s="770">
        <v>43256</v>
      </c>
      <c r="U4" s="839" t="s">
        <v>1110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1022.1999999999935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1022.1999999999935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7.2267430141954685E-3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194.83189000000002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193.06069100000002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191.28949200000002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189.518293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187.747094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185.97589500000001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184.20469600000001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182.43349700000002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180.66229799999999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178.891099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2" si="7">D33*C33</f>
        <v>8074.8</v>
      </c>
      <c r="H33" s="222">
        <f t="shared" ref="H33:H42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177.1199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175.34870100000001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173.57750200000001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171.80630299999999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170.03510399999999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168.26390499999999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166.492706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164.721507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162.95030800000001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161.17910900000001</v>
      </c>
    </row>
    <row r="43" spans="1:17" x14ac:dyDescent="0.25">
      <c r="B43" s="184">
        <v>43314</v>
      </c>
      <c r="C43" s="10">
        <v>0</v>
      </c>
      <c r="D43" s="39"/>
      <c r="E43" s="39"/>
      <c r="F43" s="39">
        <v>1022.2</v>
      </c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159.40791000000002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5" priority="37">
      <formula>F47&gt;0</formula>
    </cfRule>
    <cfRule type="expression" dxfId="1414" priority="38">
      <formula>F47&lt;0</formula>
    </cfRule>
  </conditionalFormatting>
  <conditionalFormatting sqref="Q7">
    <cfRule type="expression" dxfId="1413" priority="35">
      <formula>Q7&gt;0</formula>
    </cfRule>
    <cfRule type="expression" dxfId="1412" priority="36">
      <formula>Q7&lt;0</formula>
    </cfRule>
  </conditionalFormatting>
  <conditionalFormatting sqref="Q8">
    <cfRule type="expression" dxfId="1411" priority="33">
      <formula>Q8&gt;0</formula>
    </cfRule>
    <cfRule type="expression" dxfId="1410" priority="34">
      <formula>Q8&lt;0</formula>
    </cfRule>
  </conditionalFormatting>
  <conditionalFormatting sqref="F31:F46">
    <cfRule type="expression" dxfId="1409" priority="31">
      <formula>F31&gt;0</formula>
    </cfRule>
    <cfRule type="expression" dxfId="1408" priority="32">
      <formula>F31&lt;0</formula>
    </cfRule>
  </conditionalFormatting>
  <conditionalFormatting sqref="H31:H46">
    <cfRule type="expression" dxfId="1407" priority="29">
      <formula>H31&gt;0</formula>
    </cfRule>
    <cfRule type="expression" dxfId="1406" priority="30">
      <formula>H31&lt;0</formula>
    </cfRule>
  </conditionalFormatting>
  <conditionalFormatting sqref="Q10">
    <cfRule type="expression" dxfId="1405" priority="27">
      <formula>Q10&gt;0</formula>
    </cfRule>
    <cfRule type="expression" dxfId="1404" priority="28">
      <formula>Q10&lt;0</formula>
    </cfRule>
  </conditionalFormatting>
  <conditionalFormatting sqref="J25:J38">
    <cfRule type="expression" dxfId="1403" priority="25">
      <formula>J25&gt;0</formula>
    </cfRule>
    <cfRule type="expression" dxfId="1402" priority="26">
      <formula>J25&lt;0</formula>
    </cfRule>
  </conditionalFormatting>
  <conditionalFormatting sqref="K25:K38">
    <cfRule type="expression" dxfId="1401" priority="23">
      <formula>K25&gt;0</formula>
    </cfRule>
    <cfRule type="expression" dxfId="1400" priority="24">
      <formula>K25&lt;0</formula>
    </cfRule>
  </conditionalFormatting>
  <conditionalFormatting sqref="L25:L38">
    <cfRule type="expression" dxfId="1399" priority="21">
      <formula>L25&gt;0</formula>
    </cfRule>
    <cfRule type="expression" dxfId="1398" priority="22">
      <formula>L25&lt;0</formula>
    </cfRule>
  </conditionalFormatting>
  <conditionalFormatting sqref="F89:F110">
    <cfRule type="expression" dxfId="1397" priority="19">
      <formula>F89&gt;0</formula>
    </cfRule>
    <cfRule type="expression" dxfId="1396" priority="20">
      <formula>F89&lt;0</formula>
    </cfRule>
  </conditionalFormatting>
  <conditionalFormatting sqref="H89:H110">
    <cfRule type="expression" dxfId="1395" priority="17">
      <formula>H89&gt;0</formula>
    </cfRule>
    <cfRule type="expression" dxfId="1394" priority="18">
      <formula>H89&lt;0</formula>
    </cfRule>
  </conditionalFormatting>
  <conditionalFormatting sqref="J89:J102">
    <cfRule type="expression" dxfId="1393" priority="15">
      <formula>J89&gt;0</formula>
    </cfRule>
    <cfRule type="expression" dxfId="1392" priority="16">
      <formula>J89&lt;0</formula>
    </cfRule>
  </conditionalFormatting>
  <conditionalFormatting sqref="K89:K102">
    <cfRule type="expression" dxfId="1391" priority="13">
      <formula>K89&gt;0</formula>
    </cfRule>
    <cfRule type="expression" dxfId="1390" priority="14">
      <formula>K89&lt;0</formula>
    </cfRule>
  </conditionalFormatting>
  <conditionalFormatting sqref="L89:L102">
    <cfRule type="expression" dxfId="1389" priority="11">
      <formula>L89&gt;0</formula>
    </cfRule>
    <cfRule type="expression" dxfId="1388" priority="12">
      <formula>L89&lt;0</formula>
    </cfRule>
  </conditionalFormatting>
  <conditionalFormatting sqref="F25:F28">
    <cfRule type="expression" dxfId="1387" priority="9">
      <formula>F25&gt;0</formula>
    </cfRule>
    <cfRule type="expression" dxfId="1386" priority="10">
      <formula>F25&lt;0</formula>
    </cfRule>
  </conditionalFormatting>
  <conditionalFormatting sqref="H25:H28">
    <cfRule type="expression" dxfId="1385" priority="7">
      <formula>H25&gt;0</formula>
    </cfRule>
    <cfRule type="expression" dxfId="1384" priority="8">
      <formula>H25&lt;0</formula>
    </cfRule>
  </conditionalFormatting>
  <conditionalFormatting sqref="F29:F30">
    <cfRule type="expression" dxfId="1383" priority="3">
      <formula>F29&gt;0</formula>
    </cfRule>
    <cfRule type="expression" dxfId="1382" priority="4">
      <formula>F29&lt;0</formula>
    </cfRule>
  </conditionalFormatting>
  <conditionalFormatting sqref="H29:H30">
    <cfRule type="expression" dxfId="1381" priority="1">
      <formula>H29&gt;0</formula>
    </cfRule>
    <cfRule type="expression" dxfId="1380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727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1013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66.979900000000001</v>
      </c>
      <c r="R4" s="495">
        <v>8.0999999999999996E-3</v>
      </c>
      <c r="T4" s="1">
        <v>43114</v>
      </c>
      <c r="U4" t="s">
        <v>878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13395.98</v>
      </c>
      <c r="T5" s="1"/>
      <c r="U5" t="s">
        <v>1154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979.57999999999083</v>
      </c>
      <c r="R7">
        <v>200</v>
      </c>
      <c r="T7" s="1">
        <v>43187</v>
      </c>
      <c r="U7" t="s">
        <v>969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979.57999999999083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207</v>
      </c>
      <c r="Q9" s="134">
        <f>IF(Q2=0, 0, Q8/Q6)</f>
        <v>7.8894043362004299E-2</v>
      </c>
      <c r="T9" s="1">
        <v>43212</v>
      </c>
      <c r="U9" t="s">
        <v>1014</v>
      </c>
      <c r="V9" s="134"/>
    </row>
    <row r="10" spans="1:22" x14ac:dyDescent="0.25">
      <c r="A10" t="s">
        <v>774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206</v>
      </c>
      <c r="P10" s="33"/>
      <c r="Q10" s="2">
        <f>M88</f>
        <v>0</v>
      </c>
      <c r="U10" t="s">
        <v>1015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2.3887763343928552E-2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938</v>
      </c>
      <c r="Q12" s="1" t="s">
        <v>1155</v>
      </c>
      <c r="T12" s="1">
        <v>43237</v>
      </c>
      <c r="U12" t="s">
        <v>1079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965</v>
      </c>
      <c r="Q13" s="2">
        <f>Q4/(5.9+6.05)*2</f>
        <v>11.210025104602511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1102</v>
      </c>
      <c r="T14" s="1">
        <v>43242</v>
      </c>
      <c r="U14" t="s">
        <v>1065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1031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1116</v>
      </c>
      <c r="V16" s="134"/>
    </row>
    <row r="17" spans="1:22" x14ac:dyDescent="0.25">
      <c r="T17" s="1">
        <v>43271</v>
      </c>
      <c r="U17" t="s">
        <v>1135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1134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1146</v>
      </c>
      <c r="V20" s="134"/>
    </row>
    <row r="21" spans="1:22" ht="20.25" thickBot="1" x14ac:dyDescent="0.35">
      <c r="O21" s="856" t="s">
        <v>78</v>
      </c>
      <c r="P21" s="856"/>
      <c r="U21" t="s">
        <v>1153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73.677890000000005</v>
      </c>
      <c r="V22" s="134"/>
    </row>
    <row r="23" spans="1:22" x14ac:dyDescent="0.25">
      <c r="O23" s="81">
        <v>1.0900000000000001</v>
      </c>
      <c r="P23" s="81">
        <f t="shared" ref="P23:P42" si="2">O23*$Q$4</f>
        <v>73.008091000000007</v>
      </c>
      <c r="T23" s="1">
        <v>43285</v>
      </c>
      <c r="U23" t="s">
        <v>1149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72.33829200000001</v>
      </c>
      <c r="U24" t="s">
        <v>1150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71.668492999999998</v>
      </c>
      <c r="U25" t="s">
        <v>1151</v>
      </c>
      <c r="V25" s="134"/>
    </row>
    <row r="26" spans="1:22" x14ac:dyDescent="0.25">
      <c r="O26" s="81">
        <v>1.06</v>
      </c>
      <c r="P26" s="81">
        <f t="shared" si="2"/>
        <v>70.998694</v>
      </c>
      <c r="U26" t="s">
        <v>1152</v>
      </c>
      <c r="V26" s="134"/>
    </row>
    <row r="27" spans="1:22" x14ac:dyDescent="0.25">
      <c r="O27" s="81">
        <v>1.05</v>
      </c>
      <c r="P27" s="81">
        <f t="shared" si="2"/>
        <v>70.328895000000003</v>
      </c>
      <c r="V27" s="134"/>
    </row>
    <row r="28" spans="1:22" x14ac:dyDescent="0.25">
      <c r="O28" s="81">
        <v>1.04</v>
      </c>
      <c r="P28" s="81">
        <f t="shared" si="2"/>
        <v>69.659096000000005</v>
      </c>
      <c r="V28" s="134"/>
    </row>
    <row r="29" spans="1:22" x14ac:dyDescent="0.25">
      <c r="O29" s="81">
        <v>1.03</v>
      </c>
      <c r="P29" s="81">
        <f t="shared" si="2"/>
        <v>68.989297000000008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662</v>
      </c>
      <c r="L30" s="220" t="s">
        <v>494</v>
      </c>
      <c r="M30" s="220" t="s">
        <v>965</v>
      </c>
      <c r="O30" s="81">
        <v>1.02</v>
      </c>
      <c r="P30" s="81">
        <f t="shared" si="2"/>
        <v>68.319497999999996</v>
      </c>
      <c r="T30" s="156">
        <v>43318</v>
      </c>
      <c r="U30" t="s">
        <v>1177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67.649698999999998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66.979900000000001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66.310101000000003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65.640302000000005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64.970502999999994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64.300703999999996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63.630904999999998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62.961105999999994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754</v>
      </c>
      <c r="J39" s="39"/>
      <c r="K39" s="39"/>
      <c r="L39" s="727"/>
      <c r="M39" s="727"/>
      <c r="O39" s="81">
        <v>0.93</v>
      </c>
      <c r="P39" s="81">
        <f t="shared" si="2"/>
        <v>62.291307000000003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756</v>
      </c>
      <c r="J40" s="39"/>
      <c r="K40" s="39"/>
      <c r="L40" s="727"/>
      <c r="M40" s="727"/>
      <c r="O40" s="81">
        <v>0.92</v>
      </c>
      <c r="P40" s="81">
        <f t="shared" si="2"/>
        <v>61.621508000000006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60.951709000000001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761</v>
      </c>
      <c r="J42" s="39"/>
      <c r="K42" s="39"/>
      <c r="L42" s="727"/>
      <c r="M42" s="727"/>
      <c r="O42" s="81">
        <v>0.9</v>
      </c>
      <c r="P42" s="81">
        <f t="shared" si="2"/>
        <v>60.281910000000003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765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772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836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842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945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946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947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726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79" priority="29">
      <formula>F7&gt;0</formula>
    </cfRule>
    <cfRule type="expression" dxfId="1378" priority="30">
      <formula>F7&lt;0</formula>
    </cfRule>
  </conditionalFormatting>
  <conditionalFormatting sqref="Q8">
    <cfRule type="expression" dxfId="1377" priority="27">
      <formula>Q8&gt;0</formula>
    </cfRule>
    <cfRule type="expression" dxfId="1376" priority="28">
      <formula>Q8&lt;0</formula>
    </cfRule>
  </conditionalFormatting>
  <conditionalFormatting sqref="F111:F132">
    <cfRule type="expression" dxfId="1375" priority="21">
      <formula>F111&gt;0</formula>
    </cfRule>
    <cfRule type="expression" dxfId="1374" priority="22">
      <formula>F111&lt;0</formula>
    </cfRule>
  </conditionalFormatting>
  <conditionalFormatting sqref="H111:H132">
    <cfRule type="expression" dxfId="1373" priority="19">
      <formula>H111&gt;0</formula>
    </cfRule>
    <cfRule type="expression" dxfId="1372" priority="20">
      <formula>H111&lt;0</formula>
    </cfRule>
  </conditionalFormatting>
  <conditionalFormatting sqref="Q10">
    <cfRule type="expression" dxfId="1371" priority="17">
      <formula>Q10&gt;0</formula>
    </cfRule>
    <cfRule type="expression" dxfId="1370" priority="18">
      <formula>Q10&lt;0</formula>
    </cfRule>
  </conditionalFormatting>
  <conditionalFormatting sqref="J31:J44">
    <cfRule type="expression" dxfId="1369" priority="15">
      <formula>J31&gt;0</formula>
    </cfRule>
    <cfRule type="expression" dxfId="1368" priority="16">
      <formula>J31&lt;0</formula>
    </cfRule>
  </conditionalFormatting>
  <conditionalFormatting sqref="K31:K44">
    <cfRule type="expression" dxfId="1367" priority="13">
      <formula>K31&gt;0</formula>
    </cfRule>
    <cfRule type="expression" dxfId="1366" priority="14">
      <formula>K31&lt;0</formula>
    </cfRule>
  </conditionalFormatting>
  <conditionalFormatting sqref="L31:L35 L37:L44">
    <cfRule type="expression" dxfId="1365" priority="11">
      <formula>L31&gt;0</formula>
    </cfRule>
    <cfRule type="expression" dxfId="1364" priority="12">
      <formula>L31&lt;0</formula>
    </cfRule>
  </conditionalFormatting>
  <conditionalFormatting sqref="M31:M44">
    <cfRule type="expression" dxfId="1363" priority="9">
      <formula>M31&gt;0</formula>
    </cfRule>
    <cfRule type="expression" dxfId="1362" priority="10">
      <formula>M31&lt;0</formula>
    </cfRule>
  </conditionalFormatting>
  <conditionalFormatting sqref="F79:F82 H79:H82">
    <cfRule type="expression" dxfId="1361" priority="5">
      <formula>F79&gt;0</formula>
    </cfRule>
    <cfRule type="expression" dxfId="1360" priority="6">
      <formula>F79&lt;0</formula>
    </cfRule>
  </conditionalFormatting>
  <conditionalFormatting sqref="F75:F78 H75:H78">
    <cfRule type="expression" dxfId="1359" priority="3">
      <formula>F75&gt;0</formula>
    </cfRule>
    <cfRule type="expression" dxfId="1358" priority="4">
      <formula>F75&lt;0</formula>
    </cfRule>
  </conditionalFormatting>
  <conditionalFormatting sqref="F71:F74 H71:H74">
    <cfRule type="expression" dxfId="1357" priority="1">
      <formula>F71&gt;0</formula>
    </cfRule>
    <cfRule type="expression" dxfId="1356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705.53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705.53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776.08300000000008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769.02769999999998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761.97239999999999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754.9171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747.86180000000002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740.80650000000003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733.75120000000004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726.69589999999994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719.64059999999995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712.58529999999996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705.53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698.47469999999998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691.4194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684.36410000000001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677.30879999999991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670.25349999999992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663.19819999999993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656.14290000000005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649.08759999999995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642.03229999999996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634.97699999999998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726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5" priority="21">
      <formula>F47&gt;0</formula>
    </cfRule>
    <cfRule type="expression" dxfId="1354" priority="22">
      <formula>F47&lt;0</formula>
    </cfRule>
  </conditionalFormatting>
  <conditionalFormatting sqref="Q7">
    <cfRule type="expression" dxfId="1353" priority="19">
      <formula>Q7&gt;0</formula>
    </cfRule>
    <cfRule type="expression" dxfId="1352" priority="20">
      <formula>Q7&lt;0</formula>
    </cfRule>
  </conditionalFormatting>
  <conditionalFormatting sqref="Q8">
    <cfRule type="expression" dxfId="1351" priority="17">
      <formula>Q8&gt;0</formula>
    </cfRule>
    <cfRule type="expression" dxfId="1350" priority="18">
      <formula>Q8&lt;0</formula>
    </cfRule>
  </conditionalFormatting>
  <conditionalFormatting sqref="F25:F46">
    <cfRule type="expression" dxfId="1349" priority="15">
      <formula>F25&gt;0</formula>
    </cfRule>
    <cfRule type="expression" dxfId="1348" priority="16">
      <formula>F25&lt;0</formula>
    </cfRule>
  </conditionalFormatting>
  <conditionalFormatting sqref="H25:H46">
    <cfRule type="expression" dxfId="1347" priority="13">
      <formula>H25&gt;0</formula>
    </cfRule>
    <cfRule type="expression" dxfId="1346" priority="14">
      <formula>H25&lt;0</formula>
    </cfRule>
  </conditionalFormatting>
  <conditionalFormatting sqref="F89:F110">
    <cfRule type="expression" dxfId="1345" priority="11">
      <formula>F89&gt;0</formula>
    </cfRule>
    <cfRule type="expression" dxfId="1344" priority="12">
      <formula>F89&lt;0</formula>
    </cfRule>
  </conditionalFormatting>
  <conditionalFormatting sqref="H89:H110">
    <cfRule type="expression" dxfId="1343" priority="9">
      <formula>H89&gt;0</formula>
    </cfRule>
    <cfRule type="expression" dxfId="1342" priority="10">
      <formula>H89&lt;0</formula>
    </cfRule>
  </conditionalFormatting>
  <conditionalFormatting sqref="Q10">
    <cfRule type="expression" dxfId="1341" priority="7">
      <formula>Q10&gt;0</formula>
    </cfRule>
    <cfRule type="expression" dxfId="1340" priority="8">
      <formula>Q10&lt;0</formula>
    </cfRule>
  </conditionalFormatting>
  <conditionalFormatting sqref="J25:J38">
    <cfRule type="expression" dxfId="1339" priority="5">
      <formula>J25&gt;0</formula>
    </cfRule>
    <cfRule type="expression" dxfId="1338" priority="6">
      <formula>J25&lt;0</formula>
    </cfRule>
  </conditionalFormatting>
  <conditionalFormatting sqref="K25:K38">
    <cfRule type="expression" dxfId="1337" priority="3">
      <formula>K25&gt;0</formula>
    </cfRule>
    <cfRule type="expression" dxfId="1336" priority="4">
      <formula>K25&lt;0</formula>
    </cfRule>
  </conditionalFormatting>
  <conditionalFormatting sqref="L25:L38">
    <cfRule type="expression" dxfId="1335" priority="1">
      <formula>L25&gt;0</formula>
    </cfRule>
    <cfRule type="expression" dxfId="13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981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47.66</v>
      </c>
      <c r="R4" s="495">
        <v>-4.0000000000000001E-3</v>
      </c>
      <c r="T4" s="770"/>
      <c r="U4" s="30" t="s">
        <v>982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2383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1705.8299999999981</v>
      </c>
      <c r="R7" s="29">
        <v>43335</v>
      </c>
      <c r="T7" s="1">
        <v>43244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1705.8299999999981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2.5190572529793012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2.8955098615190935E-2</v>
      </c>
      <c r="R11">
        <f>0.345</f>
        <v>0.34499999999999997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>
        <f>Q4/4.4</f>
        <v>10.83181818181818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6" t="s">
        <v>78</v>
      </c>
      <c r="P16" s="856"/>
    </row>
    <row r="17" spans="1:16" ht="15.75" thickTop="1" x14ac:dyDescent="0.25">
      <c r="O17" s="81">
        <v>1.1000000000000001</v>
      </c>
      <c r="P17" s="81">
        <f>O17*$Q$4</f>
        <v>52.426000000000002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51.949399999999997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51.472799999999999</v>
      </c>
    </row>
    <row r="20" spans="1:16" x14ac:dyDescent="0.25">
      <c r="O20" s="81">
        <v>1.07</v>
      </c>
      <c r="P20" s="81">
        <f t="shared" si="0"/>
        <v>50.996200000000002</v>
      </c>
    </row>
    <row r="21" spans="1:16" x14ac:dyDescent="0.25">
      <c r="O21" s="81">
        <v>1.06</v>
      </c>
      <c r="P21" s="81">
        <f t="shared" si="0"/>
        <v>50.519599999999997</v>
      </c>
    </row>
    <row r="22" spans="1:16" x14ac:dyDescent="0.25">
      <c r="O22" s="81">
        <v>1.05</v>
      </c>
      <c r="P22" s="81">
        <f t="shared" si="0"/>
        <v>50.042999999999999</v>
      </c>
    </row>
    <row r="23" spans="1:16" x14ac:dyDescent="0.25">
      <c r="O23" s="81">
        <v>1.04</v>
      </c>
      <c r="P23" s="81">
        <f t="shared" si="0"/>
        <v>49.566400000000002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1.03</v>
      </c>
      <c r="P24" s="81">
        <f t="shared" si="0"/>
        <v>49.089799999999997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48.613199999999999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48.136599999999994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47.66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47.183399999999999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46.706799999999994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46.230199999999996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45.753599999999992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45.276999999999994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44.800399999999996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44.323799999999999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43.847200000000001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43.370599999999996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" si="4">C37*(E37-D37)</f>
        <v>1902.8300000000002</v>
      </c>
      <c r="G37" s="39">
        <f t="shared" ref="G37" si="5">D37*C37</f>
        <v>677.17</v>
      </c>
      <c r="H37" s="222">
        <f t="shared" ref="H37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42.893999999999998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3" priority="39">
      <formula>F47&gt;0</formula>
    </cfRule>
    <cfRule type="expression" dxfId="1332" priority="40">
      <formula>F47&lt;0</formula>
    </cfRule>
  </conditionalFormatting>
  <conditionalFormatting sqref="Q7">
    <cfRule type="expression" dxfId="1331" priority="37">
      <formula>Q7&gt;0</formula>
    </cfRule>
    <cfRule type="expression" dxfId="1330" priority="38">
      <formula>Q7&lt;0</formula>
    </cfRule>
  </conditionalFormatting>
  <conditionalFormatting sqref="Q8">
    <cfRule type="expression" dxfId="1329" priority="35">
      <formula>Q8&gt;0</formula>
    </cfRule>
    <cfRule type="expression" dxfId="1328" priority="36">
      <formula>Q8&lt;0</formula>
    </cfRule>
  </conditionalFormatting>
  <conditionalFormatting sqref="F33:F36 F38:F46">
    <cfRule type="expression" dxfId="1327" priority="33">
      <formula>F33&gt;0</formula>
    </cfRule>
    <cfRule type="expression" dxfId="1326" priority="34">
      <formula>F33&lt;0</formula>
    </cfRule>
  </conditionalFormatting>
  <conditionalFormatting sqref="H33:H36 H38:H46">
    <cfRule type="expression" dxfId="1325" priority="31">
      <formula>H33&gt;0</formula>
    </cfRule>
    <cfRule type="expression" dxfId="1324" priority="32">
      <formula>H33&lt;0</formula>
    </cfRule>
  </conditionalFormatting>
  <conditionalFormatting sqref="Q10">
    <cfRule type="expression" dxfId="1323" priority="29">
      <formula>Q10&gt;0</formula>
    </cfRule>
    <cfRule type="expression" dxfId="1322" priority="30">
      <formula>Q10&lt;0</formula>
    </cfRule>
  </conditionalFormatting>
  <conditionalFormatting sqref="J25:J38">
    <cfRule type="expression" dxfId="1321" priority="27">
      <formula>J25&gt;0</formula>
    </cfRule>
    <cfRule type="expression" dxfId="1320" priority="28">
      <formula>J25&lt;0</formula>
    </cfRule>
  </conditionalFormatting>
  <conditionalFormatting sqref="K25:K38">
    <cfRule type="expression" dxfId="1319" priority="25">
      <formula>K25&gt;0</formula>
    </cfRule>
    <cfRule type="expression" dxfId="1318" priority="26">
      <formula>K25&lt;0</formula>
    </cfRule>
  </conditionalFormatting>
  <conditionalFormatting sqref="L25">
    <cfRule type="expression" dxfId="1317" priority="23">
      <formula>L25&gt;0</formula>
    </cfRule>
    <cfRule type="expression" dxfId="1316" priority="24">
      <formula>L25&lt;0</formula>
    </cfRule>
  </conditionalFormatting>
  <conditionalFormatting sqref="F89:F110">
    <cfRule type="expression" dxfId="1315" priority="21">
      <formula>F89&gt;0</formula>
    </cfRule>
    <cfRule type="expression" dxfId="1314" priority="22">
      <formula>F89&lt;0</formula>
    </cfRule>
  </conditionalFormatting>
  <conditionalFormatting sqref="H89:H110">
    <cfRule type="expression" dxfId="1313" priority="19">
      <formula>H89&gt;0</formula>
    </cfRule>
    <cfRule type="expression" dxfId="1312" priority="20">
      <formula>H89&lt;0</formula>
    </cfRule>
  </conditionalFormatting>
  <conditionalFormatting sqref="J89:J102">
    <cfRule type="expression" dxfId="1311" priority="17">
      <formula>J89&gt;0</formula>
    </cfRule>
    <cfRule type="expression" dxfId="1310" priority="18">
      <formula>J89&lt;0</formula>
    </cfRule>
  </conditionalFormatting>
  <conditionalFormatting sqref="K89:K102">
    <cfRule type="expression" dxfId="1309" priority="15">
      <formula>K89&gt;0</formula>
    </cfRule>
    <cfRule type="expression" dxfId="1308" priority="16">
      <formula>K89&lt;0</formula>
    </cfRule>
  </conditionalFormatting>
  <conditionalFormatting sqref="L89:L102">
    <cfRule type="expression" dxfId="1307" priority="13">
      <formula>L89&gt;0</formula>
    </cfRule>
    <cfRule type="expression" dxfId="1306" priority="14">
      <formula>L89&lt;0</formula>
    </cfRule>
  </conditionalFormatting>
  <conditionalFormatting sqref="F29:F32">
    <cfRule type="expression" dxfId="1305" priority="11">
      <formula>F29&gt;0</formula>
    </cfRule>
    <cfRule type="expression" dxfId="1304" priority="12">
      <formula>F29&lt;0</formula>
    </cfRule>
  </conditionalFormatting>
  <conditionalFormatting sqref="H29:H32">
    <cfRule type="expression" dxfId="1303" priority="9">
      <formula>H29&gt;0</formula>
    </cfRule>
    <cfRule type="expression" dxfId="1302" priority="10">
      <formula>H29&lt;0</formula>
    </cfRule>
  </conditionalFormatting>
  <conditionalFormatting sqref="F25:F28">
    <cfRule type="expression" dxfId="1301" priority="7">
      <formula>F25&gt;0</formula>
    </cfRule>
    <cfRule type="expression" dxfId="1300" priority="8">
      <formula>F25&lt;0</formula>
    </cfRule>
  </conditionalFormatting>
  <conditionalFormatting sqref="H25:H28">
    <cfRule type="expression" dxfId="1299" priority="5">
      <formula>H25&gt;0</formula>
    </cfRule>
    <cfRule type="expression" dxfId="1298" priority="6">
      <formula>H25&lt;0</formula>
    </cfRule>
  </conditionalFormatting>
  <conditionalFormatting sqref="F37">
    <cfRule type="expression" dxfId="1297" priority="3">
      <formula>F37&gt;0</formula>
    </cfRule>
    <cfRule type="expression" dxfId="1296" priority="4">
      <formula>F37&lt;0</formula>
    </cfRule>
  </conditionalFormatting>
  <conditionalFormatting sqref="H37">
    <cfRule type="expression" dxfId="1295" priority="1">
      <formula>H37&gt;0</formula>
    </cfRule>
    <cfRule type="expression" dxfId="1294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199.42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199.42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8.8255942232474179E-3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23.134570765661252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219.36199999999999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217.36779999999999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215.37360000000001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213.3794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211.3852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209.39099999999999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207.39679999999998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205.40259999999998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203.4084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201.41419999999999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199.42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197.42579999999998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195.43159999999997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193.4374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191.44319999999999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189.44899999999998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187.45479999999998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185.4606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183.46639999999999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181.47219999999999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179.47799999999998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3" priority="31">
      <formula>F47&gt;0</formula>
    </cfRule>
    <cfRule type="expression" dxfId="1292" priority="32">
      <formula>F47&lt;0</formula>
    </cfRule>
  </conditionalFormatting>
  <conditionalFormatting sqref="Q7">
    <cfRule type="expression" dxfId="1291" priority="29">
      <formula>Q7&gt;0</formula>
    </cfRule>
    <cfRule type="expression" dxfId="1290" priority="30">
      <formula>Q7&lt;0</formula>
    </cfRule>
  </conditionalFormatting>
  <conditionalFormatting sqref="Q8">
    <cfRule type="expression" dxfId="1289" priority="27">
      <formula>Q8&gt;0</formula>
    </cfRule>
    <cfRule type="expression" dxfId="1288" priority="28">
      <formula>Q8&lt;0</formula>
    </cfRule>
  </conditionalFormatting>
  <conditionalFormatting sqref="F30:F46">
    <cfRule type="expression" dxfId="1287" priority="25">
      <formula>F30&gt;0</formula>
    </cfRule>
    <cfRule type="expression" dxfId="1286" priority="26">
      <formula>F30&lt;0</formula>
    </cfRule>
  </conditionalFormatting>
  <conditionalFormatting sqref="H30:H46">
    <cfRule type="expression" dxfId="1285" priority="23">
      <formula>H30&gt;0</formula>
    </cfRule>
    <cfRule type="expression" dxfId="1284" priority="24">
      <formula>H30&lt;0</formula>
    </cfRule>
  </conditionalFormatting>
  <conditionalFormatting sqref="Q10">
    <cfRule type="expression" dxfId="1283" priority="21">
      <formula>Q10&gt;0</formula>
    </cfRule>
    <cfRule type="expression" dxfId="1282" priority="22">
      <formula>Q10&lt;0</formula>
    </cfRule>
  </conditionalFormatting>
  <conditionalFormatting sqref="J25:J38">
    <cfRule type="expression" dxfId="1281" priority="19">
      <formula>J25&gt;0</formula>
    </cfRule>
    <cfRule type="expression" dxfId="1280" priority="20">
      <formula>J25&lt;0</formula>
    </cfRule>
  </conditionalFormatting>
  <conditionalFormatting sqref="K25:K38">
    <cfRule type="expression" dxfId="1279" priority="17">
      <formula>K25&gt;0</formula>
    </cfRule>
    <cfRule type="expression" dxfId="1278" priority="18">
      <formula>K25&lt;0</formula>
    </cfRule>
  </conditionalFormatting>
  <conditionalFormatting sqref="L25:L38">
    <cfRule type="expression" dxfId="1277" priority="15">
      <formula>L25&gt;0</formula>
    </cfRule>
    <cfRule type="expression" dxfId="1276" priority="16">
      <formula>L25&lt;0</formula>
    </cfRule>
  </conditionalFormatting>
  <conditionalFormatting sqref="F89:F110">
    <cfRule type="expression" dxfId="1275" priority="13">
      <formula>F89&gt;0</formula>
    </cfRule>
    <cfRule type="expression" dxfId="1274" priority="14">
      <formula>F89&lt;0</formula>
    </cfRule>
  </conditionalFormatting>
  <conditionalFormatting sqref="H89:H110">
    <cfRule type="expression" dxfId="1273" priority="11">
      <formula>H89&gt;0</formula>
    </cfRule>
    <cfRule type="expression" dxfId="1272" priority="12">
      <formula>H89&lt;0</formula>
    </cfRule>
  </conditionalFormatting>
  <conditionalFormatting sqref="J89:J102">
    <cfRule type="expression" dxfId="1271" priority="9">
      <formula>J89&gt;0</formula>
    </cfRule>
    <cfRule type="expression" dxfId="1270" priority="10">
      <formula>J89&lt;0</formula>
    </cfRule>
  </conditionalFormatting>
  <conditionalFormatting sqref="K89:K102">
    <cfRule type="expression" dxfId="1269" priority="7">
      <formula>K89&gt;0</formula>
    </cfRule>
    <cfRule type="expression" dxfId="1268" priority="8">
      <formula>K89&lt;0</formula>
    </cfRule>
  </conditionalFormatting>
  <conditionalFormatting sqref="L89:L102">
    <cfRule type="expression" dxfId="1267" priority="5">
      <formula>L89&gt;0</formula>
    </cfRule>
    <cfRule type="expression" dxfId="1266" priority="6">
      <formula>L89&lt;0</formula>
    </cfRule>
  </conditionalFormatting>
  <conditionalFormatting sqref="F25:F29">
    <cfRule type="expression" dxfId="1265" priority="3">
      <formula>F25&gt;0</formula>
    </cfRule>
    <cfRule type="expression" dxfId="1264" priority="4">
      <formula>F25&lt;0</formula>
    </cfRule>
  </conditionalFormatting>
  <conditionalFormatting sqref="H25:H29">
    <cfRule type="expression" dxfId="1263" priority="1">
      <formula>H25&gt;0</formula>
    </cfRule>
    <cfRule type="expression" dxfId="12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s="1">
        <v>43223</v>
      </c>
      <c r="U3" t="s">
        <v>1045</v>
      </c>
    </row>
    <row r="4" spans="1:21" x14ac:dyDescent="0.25">
      <c r="A4" t="s">
        <v>774</v>
      </c>
      <c r="B4" s="434">
        <v>43299</v>
      </c>
      <c r="C4" s="4">
        <v>100</v>
      </c>
      <c r="D4" s="3">
        <v>62.25</v>
      </c>
      <c r="E4" s="3">
        <v>0</v>
      </c>
      <c r="F4" s="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59.399900000000002</v>
      </c>
      <c r="R4" s="495">
        <v>2E-3</v>
      </c>
      <c r="T4" s="770"/>
      <c r="U4" s="30"/>
    </row>
    <row r="5" spans="1:21" x14ac:dyDescent="0.25">
      <c r="B5" s="474">
        <v>43305</v>
      </c>
      <c r="C5" s="7">
        <v>100</v>
      </c>
      <c r="D5" s="43">
        <v>59.4</v>
      </c>
      <c r="E5" s="43">
        <v>0</v>
      </c>
      <c r="F5" s="4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11879.98</v>
      </c>
      <c r="T5" s="1">
        <v>43248</v>
      </c>
      <c r="U5" t="s">
        <v>1105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12.569999999999709</v>
      </c>
      <c r="R7" s="29">
        <v>43336</v>
      </c>
      <c r="T7" s="1">
        <v>43300</v>
      </c>
      <c r="U7" t="s">
        <v>1217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12.569999999999709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1.0592033139496916E-3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4.2087612942109331E-2</v>
      </c>
      <c r="R11">
        <f>0.625</f>
        <v>0.625</v>
      </c>
    </row>
    <row r="12" spans="1:21" x14ac:dyDescent="0.25">
      <c r="H12" s="70"/>
      <c r="O12" s="11" t="s">
        <v>1002</v>
      </c>
      <c r="Q12" s="1" t="s">
        <v>1237</v>
      </c>
    </row>
    <row r="13" spans="1:21" x14ac:dyDescent="0.25">
      <c r="H13" s="70"/>
      <c r="O13" s="11" t="s">
        <v>965</v>
      </c>
      <c r="Q13">
        <f>Q4/3.79</f>
        <v>15.672796833773088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12406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56" t="s">
        <v>78</v>
      </c>
      <c r="P21" s="856"/>
    </row>
    <row r="22" spans="1:16" ht="15.75" thickTop="1" x14ac:dyDescent="0.25">
      <c r="O22" s="81">
        <v>1.1000000000000001</v>
      </c>
      <c r="P22" s="81">
        <f>O22*$Q$4</f>
        <v>65.339890000000011</v>
      </c>
    </row>
    <row r="23" spans="1:16" x14ac:dyDescent="0.25">
      <c r="O23" s="81">
        <v>1.0900000000000001</v>
      </c>
      <c r="P23" s="81">
        <f t="shared" ref="P23:P42" si="0">O23*$Q$4</f>
        <v>64.745891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  <c r="O24" s="81">
        <v>1.08</v>
      </c>
      <c r="P24" s="81">
        <f t="shared" si="0"/>
        <v>64.151892000000004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63.557893000000007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62.963894000000003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62.369895000000007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61.775896000000003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61.181897000000006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60.587898000000003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59.993899000000006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59.399900000000002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58.805900999999999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  <c r="O34" s="81">
        <v>0.98</v>
      </c>
      <c r="P34" s="81">
        <f t="shared" si="0"/>
        <v>58.211902000000002</v>
      </c>
    </row>
    <row r="35" spans="1:17" x14ac:dyDescent="0.25">
      <c r="A35">
        <v>0</v>
      </c>
      <c r="B35" s="184">
        <v>43299</v>
      </c>
      <c r="C35" s="228">
        <v>100</v>
      </c>
      <c r="D35" s="229">
        <v>61.473300000000002</v>
      </c>
      <c r="E35" s="39">
        <v>62.25</v>
      </c>
      <c r="F35" s="39">
        <v>77.67</v>
      </c>
      <c r="G35" s="39"/>
      <c r="H35" s="222"/>
      <c r="I35" s="39"/>
      <c r="J35" s="39"/>
      <c r="K35" s="39"/>
      <c r="L35" s="39">
        <v>16.420000000000002</v>
      </c>
      <c r="O35" s="81">
        <v>0.97</v>
      </c>
      <c r="P35" s="81">
        <f t="shared" si="0"/>
        <v>57.617902999999998</v>
      </c>
    </row>
    <row r="36" spans="1:17" x14ac:dyDescent="0.25">
      <c r="A36">
        <v>0</v>
      </c>
      <c r="B36" s="184">
        <v>43305</v>
      </c>
      <c r="C36" s="7">
        <v>200</v>
      </c>
      <c r="D36" s="43">
        <v>60.436700000000002</v>
      </c>
      <c r="E36" s="39">
        <v>59.4</v>
      </c>
      <c r="F36" s="39">
        <f t="shared" ref="F36" si="4">C36*(E36-D36)</f>
        <v>-207.34000000000066</v>
      </c>
      <c r="G36" s="39">
        <f t="shared" ref="G36" si="5">D36*C36</f>
        <v>12087.34</v>
      </c>
      <c r="H36" s="222">
        <f t="shared" ref="H36" si="6">(E36-D36)/D36</f>
        <v>-1.7153484554914535E-2</v>
      </c>
      <c r="I36" s="39"/>
      <c r="J36" s="39"/>
      <c r="K36" s="39"/>
      <c r="L36" s="39">
        <v>15.67</v>
      </c>
      <c r="O36" s="81">
        <v>0.96</v>
      </c>
      <c r="P36" s="81">
        <f t="shared" si="0"/>
        <v>57.023904000000002</v>
      </c>
    </row>
    <row r="37" spans="1:17" x14ac:dyDescent="0.25">
      <c r="A37">
        <v>0</v>
      </c>
      <c r="B37" s="184">
        <v>43307</v>
      </c>
      <c r="C37" s="228">
        <v>100</v>
      </c>
      <c r="D37" s="229">
        <v>59.394100000000002</v>
      </c>
      <c r="E37" s="39">
        <v>61.48</v>
      </c>
      <c r="F37" s="39">
        <f t="shared" ref="F37:F38" si="7">C37*(E37-D37)</f>
        <v>208.58999999999952</v>
      </c>
      <c r="G37" s="39">
        <f t="shared" ref="G37:G38" si="8">D37*C37</f>
        <v>5939.41</v>
      </c>
      <c r="H37" s="222">
        <f t="shared" ref="H37:H38" si="9">(E37-D37)/D37</f>
        <v>3.5119649931558777E-2</v>
      </c>
      <c r="I37" s="39"/>
      <c r="J37" s="39"/>
      <c r="K37" s="39"/>
      <c r="L37" s="39">
        <v>15.79</v>
      </c>
      <c r="O37" s="81">
        <v>0.95</v>
      </c>
      <c r="P37" s="81">
        <f t="shared" si="0"/>
        <v>56.429904999999998</v>
      </c>
    </row>
    <row r="38" spans="1:17" x14ac:dyDescent="0.25">
      <c r="A38">
        <v>0</v>
      </c>
      <c r="B38" s="184">
        <v>43313</v>
      </c>
      <c r="C38" s="7">
        <v>200</v>
      </c>
      <c r="D38" s="43">
        <v>59.3371</v>
      </c>
      <c r="E38" s="39">
        <v>59.28</v>
      </c>
      <c r="F38" s="39">
        <f t="shared" si="7"/>
        <v>-11.419999999999675</v>
      </c>
      <c r="G38" s="39">
        <f t="shared" si="8"/>
        <v>11867.42</v>
      </c>
      <c r="H38" s="222">
        <f t="shared" si="9"/>
        <v>-9.6229846082802114E-4</v>
      </c>
      <c r="I38" s="39"/>
      <c r="J38" s="39"/>
      <c r="K38" s="39"/>
      <c r="L38" s="39">
        <v>15.64</v>
      </c>
      <c r="O38" s="81">
        <v>0.94</v>
      </c>
      <c r="P38" s="81">
        <f t="shared" si="0"/>
        <v>55.835906000000001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55.241907000000005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54.647908000000001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54.053909000000004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53.459910000000001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1" priority="35">
      <formula>F47&gt;0</formula>
    </cfRule>
    <cfRule type="expression" dxfId="1260" priority="36">
      <formula>F47&lt;0</formula>
    </cfRule>
  </conditionalFormatting>
  <conditionalFormatting sqref="Q7">
    <cfRule type="expression" dxfId="1259" priority="33">
      <formula>Q7&gt;0</formula>
    </cfRule>
    <cfRule type="expression" dxfId="1258" priority="34">
      <formula>Q7&lt;0</formula>
    </cfRule>
  </conditionalFormatting>
  <conditionalFormatting sqref="Q8">
    <cfRule type="expression" dxfId="1257" priority="31">
      <formula>Q8&gt;0</formula>
    </cfRule>
    <cfRule type="expression" dxfId="1256" priority="32">
      <formula>Q8&lt;0</formula>
    </cfRule>
  </conditionalFormatting>
  <conditionalFormatting sqref="F30:F35 F39:F46">
    <cfRule type="expression" dxfId="1255" priority="29">
      <formula>F30&gt;0</formula>
    </cfRule>
    <cfRule type="expression" dxfId="1254" priority="30">
      <formula>F30&lt;0</formula>
    </cfRule>
  </conditionalFormatting>
  <conditionalFormatting sqref="H30:H35 H39:H46">
    <cfRule type="expression" dxfId="1253" priority="27">
      <formula>H30&gt;0</formula>
    </cfRule>
    <cfRule type="expression" dxfId="1252" priority="28">
      <formula>H30&lt;0</formula>
    </cfRule>
  </conditionalFormatting>
  <conditionalFormatting sqref="Q10">
    <cfRule type="expression" dxfId="1251" priority="25">
      <formula>Q10&gt;0</formula>
    </cfRule>
    <cfRule type="expression" dxfId="1250" priority="26">
      <formula>Q10&lt;0</formula>
    </cfRule>
  </conditionalFormatting>
  <conditionalFormatting sqref="J25:J38">
    <cfRule type="expression" dxfId="1249" priority="23">
      <formula>J25&gt;0</formula>
    </cfRule>
    <cfRule type="expression" dxfId="1248" priority="24">
      <formula>J25&lt;0</formula>
    </cfRule>
  </conditionalFormatting>
  <conditionalFormatting sqref="K25:K38">
    <cfRule type="expression" dxfId="1247" priority="21">
      <formula>K25&gt;0</formula>
    </cfRule>
    <cfRule type="expression" dxfId="1246" priority="22">
      <formula>K25&lt;0</formula>
    </cfRule>
  </conditionalFormatting>
  <conditionalFormatting sqref="L25:L32 L34">
    <cfRule type="expression" dxfId="1245" priority="19">
      <formula>L25&gt;0</formula>
    </cfRule>
    <cfRule type="expression" dxfId="1244" priority="20">
      <formula>L25&lt;0</formula>
    </cfRule>
  </conditionalFormatting>
  <conditionalFormatting sqref="F89:F110">
    <cfRule type="expression" dxfId="1243" priority="17">
      <formula>F89&gt;0</formula>
    </cfRule>
    <cfRule type="expression" dxfId="1242" priority="18">
      <formula>F89&lt;0</formula>
    </cfRule>
  </conditionalFormatting>
  <conditionalFormatting sqref="H89:H110">
    <cfRule type="expression" dxfId="1241" priority="15">
      <formula>H89&gt;0</formula>
    </cfRule>
    <cfRule type="expression" dxfId="1240" priority="16">
      <formula>H89&lt;0</formula>
    </cfRule>
  </conditionalFormatting>
  <conditionalFormatting sqref="J89:J102">
    <cfRule type="expression" dxfId="1239" priority="13">
      <formula>J89&gt;0</formula>
    </cfRule>
    <cfRule type="expression" dxfId="1238" priority="14">
      <formula>J89&lt;0</formula>
    </cfRule>
  </conditionalFormatting>
  <conditionalFormatting sqref="K89:K102">
    <cfRule type="expression" dxfId="1237" priority="11">
      <formula>K89&gt;0</formula>
    </cfRule>
    <cfRule type="expression" dxfId="1236" priority="12">
      <formula>K89&lt;0</formula>
    </cfRule>
  </conditionalFormatting>
  <conditionalFormatting sqref="L89:L102">
    <cfRule type="expression" dxfId="1235" priority="9">
      <formula>L89&gt;0</formula>
    </cfRule>
    <cfRule type="expression" dxfId="1234" priority="10">
      <formula>L89&lt;0</formula>
    </cfRule>
  </conditionalFormatting>
  <conditionalFormatting sqref="F25:F29">
    <cfRule type="expression" dxfId="1233" priority="7">
      <formula>F25&gt;0</formula>
    </cfRule>
    <cfRule type="expression" dxfId="1232" priority="8">
      <formula>F25&lt;0</formula>
    </cfRule>
  </conditionalFormatting>
  <conditionalFormatting sqref="H25:H29">
    <cfRule type="expression" dxfId="1231" priority="5">
      <formula>H25&gt;0</formula>
    </cfRule>
    <cfRule type="expression" dxfId="1230" priority="6">
      <formula>H25&lt;0</formula>
    </cfRule>
  </conditionalFormatting>
  <conditionalFormatting sqref="F36:F38">
    <cfRule type="expression" dxfId="1229" priority="3">
      <formula>F36&gt;0</formula>
    </cfRule>
    <cfRule type="expression" dxfId="1228" priority="4">
      <formula>F36&lt;0</formula>
    </cfRule>
  </conditionalFormatting>
  <conditionalFormatting sqref="H36:H38">
    <cfRule type="expression" dxfId="1227" priority="1">
      <formula>H36&gt;0</formula>
    </cfRule>
    <cfRule type="expression" dxfId="122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913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7.4576271186440682E-2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6" t="s">
        <v>78</v>
      </c>
      <c r="P16" s="856"/>
    </row>
    <row r="17" spans="1:16" ht="15.75" thickTop="1" x14ac:dyDescent="0.25">
      <c r="O17" s="81">
        <v>1.1000000000000001</v>
      </c>
      <c r="P17" s="81">
        <f>O17*$Q$4</f>
        <v>38.940000000000005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38.585999999999999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38.231999999999999</v>
      </c>
    </row>
    <row r="20" spans="1:16" x14ac:dyDescent="0.25">
      <c r="O20" s="81">
        <v>1.07</v>
      </c>
      <c r="P20" s="81">
        <f t="shared" si="0"/>
        <v>37.878</v>
      </c>
    </row>
    <row r="21" spans="1:16" x14ac:dyDescent="0.25">
      <c r="O21" s="81">
        <v>1.06</v>
      </c>
      <c r="P21" s="81">
        <f t="shared" si="0"/>
        <v>37.524000000000001</v>
      </c>
    </row>
    <row r="22" spans="1:16" x14ac:dyDescent="0.25">
      <c r="O22" s="81">
        <v>1.05</v>
      </c>
      <c r="P22" s="81">
        <f t="shared" si="0"/>
        <v>37.17</v>
      </c>
    </row>
    <row r="23" spans="1:16" x14ac:dyDescent="0.25">
      <c r="O23" s="81">
        <v>1.04</v>
      </c>
      <c r="P23" s="81">
        <f t="shared" si="0"/>
        <v>36.816000000000003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1.03</v>
      </c>
      <c r="P24" s="81">
        <f t="shared" si="0"/>
        <v>36.461999999999996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36.107999999999997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35.753999999999998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35.045999999999999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34.692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34.338000000000001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33.983999999999995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33.629999999999995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33.275999999999996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32.921999999999997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32.567999999999998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32.213999999999999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31.86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5" priority="35">
      <formula>F47&gt;0</formula>
    </cfRule>
    <cfRule type="expression" dxfId="1224" priority="36">
      <formula>F47&lt;0</formula>
    </cfRule>
  </conditionalFormatting>
  <conditionalFormatting sqref="Q7">
    <cfRule type="expression" dxfId="1223" priority="33">
      <formula>Q7&gt;0</formula>
    </cfRule>
    <cfRule type="expression" dxfId="1222" priority="34">
      <formula>Q7&lt;0</formula>
    </cfRule>
  </conditionalFormatting>
  <conditionalFormatting sqref="Q8">
    <cfRule type="expression" dxfId="1221" priority="31">
      <formula>Q8&gt;0</formula>
    </cfRule>
    <cfRule type="expression" dxfId="1220" priority="32">
      <formula>Q8&lt;0</formula>
    </cfRule>
  </conditionalFormatting>
  <conditionalFormatting sqref="F32:F46">
    <cfRule type="expression" dxfId="1219" priority="29">
      <formula>F32&gt;0</formula>
    </cfRule>
    <cfRule type="expression" dxfId="1218" priority="30">
      <formula>F32&lt;0</formula>
    </cfRule>
  </conditionalFormatting>
  <conditionalFormatting sqref="H32:H46">
    <cfRule type="expression" dxfId="1217" priority="27">
      <formula>H32&gt;0</formula>
    </cfRule>
    <cfRule type="expression" dxfId="1216" priority="28">
      <formula>H32&lt;0</formula>
    </cfRule>
  </conditionalFormatting>
  <conditionalFormatting sqref="Q10">
    <cfRule type="expression" dxfId="1215" priority="25">
      <formula>Q10&gt;0</formula>
    </cfRule>
    <cfRule type="expression" dxfId="1214" priority="26">
      <formula>Q10&lt;0</formula>
    </cfRule>
  </conditionalFormatting>
  <conditionalFormatting sqref="J25:J38">
    <cfRule type="expression" dxfId="1213" priority="23">
      <formula>J25&gt;0</formula>
    </cfRule>
    <cfRule type="expression" dxfId="1212" priority="24">
      <formula>J25&lt;0</formula>
    </cfRule>
  </conditionalFormatting>
  <conditionalFormatting sqref="K25:K38">
    <cfRule type="expression" dxfId="1211" priority="21">
      <formula>K25&gt;0</formula>
    </cfRule>
    <cfRule type="expression" dxfId="1210" priority="22">
      <formula>K25&lt;0</formula>
    </cfRule>
  </conditionalFormatting>
  <conditionalFormatting sqref="L25:L38">
    <cfRule type="expression" dxfId="1209" priority="19">
      <formula>L25&gt;0</formula>
    </cfRule>
    <cfRule type="expression" dxfId="1208" priority="20">
      <formula>L25&lt;0</formula>
    </cfRule>
  </conditionalFormatting>
  <conditionalFormatting sqref="F89:F110">
    <cfRule type="expression" dxfId="1207" priority="17">
      <formula>F89&gt;0</formula>
    </cfRule>
    <cfRule type="expression" dxfId="1206" priority="18">
      <formula>F89&lt;0</formula>
    </cfRule>
  </conditionalFormatting>
  <conditionalFormatting sqref="H89:H110">
    <cfRule type="expression" dxfId="1205" priority="15">
      <formula>H89&gt;0</formula>
    </cfRule>
    <cfRule type="expression" dxfId="1204" priority="16">
      <formula>H89&lt;0</formula>
    </cfRule>
  </conditionalFormatting>
  <conditionalFormatting sqref="J89:J102">
    <cfRule type="expression" dxfId="1203" priority="13">
      <formula>J89&gt;0</formula>
    </cfRule>
    <cfRule type="expression" dxfId="1202" priority="14">
      <formula>J89&lt;0</formula>
    </cfRule>
  </conditionalFormatting>
  <conditionalFormatting sqref="K89:K102">
    <cfRule type="expression" dxfId="1201" priority="11">
      <formula>K89&gt;0</formula>
    </cfRule>
    <cfRule type="expression" dxfId="1200" priority="12">
      <formula>K89&lt;0</formula>
    </cfRule>
  </conditionalFormatting>
  <conditionalFormatting sqref="L89:L102">
    <cfRule type="expression" dxfId="1199" priority="9">
      <formula>L89&gt;0</formula>
    </cfRule>
    <cfRule type="expression" dxfId="1198" priority="10">
      <formula>L89&lt;0</formula>
    </cfRule>
  </conditionalFormatting>
  <conditionalFormatting sqref="F25:F28">
    <cfRule type="expression" dxfId="1197" priority="7">
      <formula>F25&gt;0</formula>
    </cfRule>
    <cfRule type="expression" dxfId="1196" priority="8">
      <formula>F25&lt;0</formula>
    </cfRule>
  </conditionalFormatting>
  <conditionalFormatting sqref="H25:H28">
    <cfRule type="expression" dxfId="1195" priority="5">
      <formula>H25&gt;0</formula>
    </cfRule>
    <cfRule type="expression" dxfId="1194" priority="6">
      <formula>H25&lt;0</formula>
    </cfRule>
  </conditionalFormatting>
  <conditionalFormatting sqref="F29:F31">
    <cfRule type="expression" dxfId="1193" priority="3">
      <formula>F29&gt;0</formula>
    </cfRule>
    <cfRule type="expression" dxfId="1192" priority="4">
      <formula>F29&lt;0</formula>
    </cfRule>
  </conditionalFormatting>
  <conditionalFormatting sqref="H29:H31">
    <cfRule type="expression" dxfId="1191" priority="1">
      <formula>H29&gt;0</formula>
    </cfRule>
    <cfRule type="expression" dxfId="119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955</v>
      </c>
      <c r="U2" t="s">
        <v>1067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124.49828571428566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135.77000000000001</v>
      </c>
      <c r="R4" s="495">
        <v>6.9999999999999999E-4</v>
      </c>
      <c r="T4" s="770">
        <v>43193</v>
      </c>
      <c r="U4" s="30" t="s">
        <v>962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9503.9000000000015</v>
      </c>
      <c r="U5" s="475" t="s">
        <v>993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8714.8799999999956</v>
      </c>
    </row>
    <row r="7" spans="1:21" x14ac:dyDescent="0.25">
      <c r="B7" s="47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789.02000000000407</v>
      </c>
      <c r="R7" s="29">
        <v>43315</v>
      </c>
      <c r="T7" s="1">
        <v>43221</v>
      </c>
      <c r="U7" s="821" t="s">
        <v>1032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789.02000000000407</v>
      </c>
      <c r="U8" t="s">
        <v>1033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9.0537104354851072E-2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3.8300066288576265E-3</v>
      </c>
      <c r="R11">
        <v>0.13</v>
      </c>
      <c r="T11" s="1">
        <v>43228</v>
      </c>
      <c r="U11" t="s">
        <v>1066</v>
      </c>
    </row>
    <row r="12" spans="1:21" x14ac:dyDescent="0.25">
      <c r="H12" s="70"/>
      <c r="O12" s="11" t="s">
        <v>938</v>
      </c>
      <c r="Q12" s="1" t="s">
        <v>1201</v>
      </c>
    </row>
    <row r="13" spans="1:21" x14ac:dyDescent="0.25">
      <c r="H13" s="70"/>
      <c r="O13" s="11" t="s">
        <v>965</v>
      </c>
      <c r="Q13">
        <f>Q4/8.62</f>
        <v>15.750580046403716</v>
      </c>
      <c r="T13" s="1">
        <v>43260</v>
      </c>
      <c r="U13" t="s">
        <v>1117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1119</v>
      </c>
    </row>
    <row r="16" spans="1:21" x14ac:dyDescent="0.25">
      <c r="H16" s="70"/>
    </row>
    <row r="17" spans="1:21" x14ac:dyDescent="0.25">
      <c r="T17" s="1">
        <v>43264</v>
      </c>
      <c r="U17" t="s">
        <v>1122</v>
      </c>
    </row>
    <row r="18" spans="1:21" ht="20.25" thickBot="1" x14ac:dyDescent="0.35">
      <c r="A18" s="31" t="s">
        <v>81</v>
      </c>
      <c r="B18" s="14"/>
      <c r="C18" s="14">
        <f>SUM(C2:C10)</f>
        <v>210</v>
      </c>
      <c r="D18" s="18"/>
      <c r="E18" s="18"/>
      <c r="F18" s="18">
        <f>SUM(F2:F10)</f>
        <v>27660.799999999996</v>
      </c>
      <c r="G18" s="14"/>
      <c r="H18" s="71">
        <f>SUM(H2:H6)</f>
        <v>140</v>
      </c>
      <c r="I18" s="18"/>
      <c r="J18" s="18"/>
      <c r="K18" s="18">
        <f>SUM(K2:K6)</f>
        <v>18930.32</v>
      </c>
      <c r="L18" s="14"/>
      <c r="M18" s="18">
        <f>SUM(M2:M10)</f>
        <v>15.6</v>
      </c>
      <c r="O18" s="777" t="s">
        <v>78</v>
      </c>
      <c r="P18" s="777"/>
      <c r="U18" t="s">
        <v>1123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14068</v>
      </c>
      <c r="G19" s="343"/>
      <c r="H19" s="343">
        <f>SumByColor($A$19,H2:H17)</f>
        <v>140</v>
      </c>
      <c r="I19" s="343"/>
      <c r="J19" s="343"/>
      <c r="K19" s="344">
        <f>SumByColor($A$19,K2:K17)</f>
        <v>18930</v>
      </c>
      <c r="L19" s="343"/>
      <c r="M19" s="344">
        <f>SumByColor($A$19,M2:M17)</f>
        <v>15</v>
      </c>
      <c r="O19" s="81">
        <v>1.1000000000000001</v>
      </c>
      <c r="P19" s="81">
        <f>O19*$Q$4</f>
        <v>149.34700000000004</v>
      </c>
    </row>
    <row r="20" spans="1:21" x14ac:dyDescent="0.25">
      <c r="O20" s="81">
        <v>1.0900000000000001</v>
      </c>
      <c r="P20" s="81">
        <f t="shared" ref="P20:P39" si="1">O20*$Q$4</f>
        <v>147.98930000000001</v>
      </c>
      <c r="T20" s="1">
        <v>43279</v>
      </c>
      <c r="U20" t="s">
        <v>1140</v>
      </c>
    </row>
    <row r="21" spans="1:21" x14ac:dyDescent="0.25">
      <c r="O21" s="81">
        <v>1.08</v>
      </c>
      <c r="P21" s="81">
        <f t="shared" si="1"/>
        <v>146.63160000000002</v>
      </c>
    </row>
    <row r="22" spans="1:21" x14ac:dyDescent="0.25">
      <c r="O22" s="81">
        <v>1.07</v>
      </c>
      <c r="P22" s="81">
        <f t="shared" si="1"/>
        <v>145.27390000000003</v>
      </c>
    </row>
    <row r="23" spans="1:21" x14ac:dyDescent="0.25">
      <c r="O23" s="81">
        <v>1.06</v>
      </c>
      <c r="P23" s="81">
        <f t="shared" si="1"/>
        <v>143.91620000000003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1.05</v>
      </c>
      <c r="P24" s="81">
        <f t="shared" si="1"/>
        <v>142.55850000000001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141.20080000000002</v>
      </c>
      <c r="T25" s="156">
        <v>43305</v>
      </c>
      <c r="U25" t="s">
        <v>1173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139.84310000000002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138.48540000000003</v>
      </c>
      <c r="T27" s="156">
        <v>43313</v>
      </c>
      <c r="U27" t="s">
        <v>1172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137.1277</v>
      </c>
      <c r="T28" s="156">
        <v>43314</v>
      </c>
      <c r="U28" t="s">
        <v>1175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135.77000000000001</v>
      </c>
      <c r="T29" s="156">
        <v>43326</v>
      </c>
      <c r="U29" t="s">
        <v>1174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134.41230000000002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133.05459999999999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131.6969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130.33920000000001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128.98150000000001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127.6238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126.26610000000002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124.90840000000001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123.55070000000002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8">C39*(E39-D39)</f>
        <v>-1383.5759999999993</v>
      </c>
      <c r="G39" s="39">
        <f t="shared" ref="G39:G47" si="9">D39*C39</f>
        <v>15437.976000000001</v>
      </c>
      <c r="H39" s="222">
        <f t="shared" ref="H39:H47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122.19300000000001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8"/>
        <v>944.5</v>
      </c>
      <c r="G46" s="39">
        <f t="shared" si="9"/>
        <v>6007</v>
      </c>
      <c r="H46" s="222">
        <f t="shared" si="10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8"/>
        <v>782.0189999999991</v>
      </c>
      <c r="G47" s="39">
        <f t="shared" si="9"/>
        <v>8714.8809999999994</v>
      </c>
      <c r="H47" s="222">
        <f t="shared" si="10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89" priority="31">
      <formula>F54&gt;0</formula>
    </cfRule>
    <cfRule type="expression" dxfId="1188" priority="32">
      <formula>F54&lt;0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4:F53">
    <cfRule type="expression" dxfId="1183" priority="25">
      <formula>F34&gt;0</formula>
    </cfRule>
    <cfRule type="expression" dxfId="1182" priority="26">
      <formula>F34&lt;0</formula>
    </cfRule>
  </conditionalFormatting>
  <conditionalFormatting sqref="H34:H53">
    <cfRule type="expression" dxfId="1181" priority="23">
      <formula>H34&gt;0</formula>
    </cfRule>
    <cfRule type="expression" dxfId="1180" priority="24">
      <formula>H34&lt;0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5 K37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33">
    <cfRule type="expression" dxfId="1161" priority="3">
      <formula>F25&gt;0</formula>
    </cfRule>
    <cfRule type="expression" dxfId="1160" priority="4">
      <formula>F25&lt;0</formula>
    </cfRule>
  </conditionalFormatting>
  <conditionalFormatting sqref="H25:H33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909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254.17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254.17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16.34</v>
      </c>
      <c r="S13" s="22" t="s">
        <v>970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279.58699999999999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277.0453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274.50360000000001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271.96190000000001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269.42020000000002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266.87849999999997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264.33679999999998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261.79509999999999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259.2534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256.71170000000001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254.17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251.6283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249.08659999999998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246.54489999999998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244.00319999999999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241.46149999999997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238.91979999999998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236.37809999999999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233.8364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231.29470000000001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228.75299999999999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1">
      <formula>F47&gt;0</formula>
    </cfRule>
    <cfRule type="expression" dxfId="1156" priority="32">
      <formula>F47&lt;0</formula>
    </cfRule>
  </conditionalFormatting>
  <conditionalFormatting sqref="Q7">
    <cfRule type="expression" dxfId="1155" priority="29">
      <formula>Q7&gt;0</formula>
    </cfRule>
    <cfRule type="expression" dxfId="1154" priority="30">
      <formula>Q7&lt;0</formula>
    </cfRule>
  </conditionalFormatting>
  <conditionalFormatting sqref="Q8">
    <cfRule type="expression" dxfId="1153" priority="27">
      <formula>Q8&gt;0</formula>
    </cfRule>
    <cfRule type="expression" dxfId="1152" priority="28">
      <formula>Q8&lt;0</formula>
    </cfRule>
  </conditionalFormatting>
  <conditionalFormatting sqref="F32:F46">
    <cfRule type="expression" dxfId="1151" priority="25">
      <formula>F32&gt;0</formula>
    </cfRule>
    <cfRule type="expression" dxfId="1150" priority="26">
      <formula>F32&lt;0</formula>
    </cfRule>
  </conditionalFormatting>
  <conditionalFormatting sqref="H32:H46">
    <cfRule type="expression" dxfId="1149" priority="23">
      <formula>H32&gt;0</formula>
    </cfRule>
    <cfRule type="expression" dxfId="1148" priority="24">
      <formula>H32&lt;0</formula>
    </cfRule>
  </conditionalFormatting>
  <conditionalFormatting sqref="Q10">
    <cfRule type="expression" dxfId="1147" priority="21">
      <formula>Q10&gt;0</formula>
    </cfRule>
    <cfRule type="expression" dxfId="1146" priority="22">
      <formula>Q10&lt;0</formula>
    </cfRule>
  </conditionalFormatting>
  <conditionalFormatting sqref="J25:J38">
    <cfRule type="expression" dxfId="1145" priority="19">
      <formula>J25&gt;0</formula>
    </cfRule>
    <cfRule type="expression" dxfId="1144" priority="20">
      <formula>J25&lt;0</formula>
    </cfRule>
  </conditionalFormatting>
  <conditionalFormatting sqref="K25:K38">
    <cfRule type="expression" dxfId="1143" priority="17">
      <formula>K25&gt;0</formula>
    </cfRule>
    <cfRule type="expression" dxfId="1142" priority="18">
      <formula>K25&lt;0</formula>
    </cfRule>
  </conditionalFormatting>
  <conditionalFormatting sqref="L25:L38">
    <cfRule type="expression" dxfId="1141" priority="15">
      <formula>L25&gt;0</formula>
    </cfRule>
    <cfRule type="expression" dxfId="1140" priority="16">
      <formula>L25&lt;0</formula>
    </cfRule>
  </conditionalFormatting>
  <conditionalFormatting sqref="F89:F110">
    <cfRule type="expression" dxfId="1139" priority="13">
      <formula>F89&gt;0</formula>
    </cfRule>
    <cfRule type="expression" dxfId="1138" priority="14">
      <formula>F89&lt;0</formula>
    </cfRule>
  </conditionalFormatting>
  <conditionalFormatting sqref="H89:H110">
    <cfRule type="expression" dxfId="1137" priority="11">
      <formula>H89&gt;0</formula>
    </cfRule>
    <cfRule type="expression" dxfId="1136" priority="12">
      <formula>H89&lt;0</formula>
    </cfRule>
  </conditionalFormatting>
  <conditionalFormatting sqref="J89:J102">
    <cfRule type="expression" dxfId="1135" priority="9">
      <formula>J89&gt;0</formula>
    </cfRule>
    <cfRule type="expression" dxfId="1134" priority="10">
      <formula>J89&lt;0</formula>
    </cfRule>
  </conditionalFormatting>
  <conditionalFormatting sqref="K89:K102">
    <cfRule type="expression" dxfId="1133" priority="7">
      <formula>K89&gt;0</formula>
    </cfRule>
    <cfRule type="expression" dxfId="1132" priority="8">
      <formula>K89&lt;0</formula>
    </cfRule>
  </conditionalFormatting>
  <conditionalFormatting sqref="L89:L102">
    <cfRule type="expression" dxfId="1131" priority="5">
      <formula>L89&gt;0</formula>
    </cfRule>
    <cfRule type="expression" dxfId="1130" priority="6">
      <formula>L89&lt;0</formula>
    </cfRule>
  </conditionalFormatting>
  <conditionalFormatting sqref="F25:F31">
    <cfRule type="expression" dxfId="1129" priority="3">
      <formula>F25&gt;0</formula>
    </cfRule>
    <cfRule type="expression" dxfId="1128" priority="4">
      <formula>F25&lt;0</formula>
    </cfRule>
  </conditionalFormatting>
  <conditionalFormatting sqref="H25:H31">
    <cfRule type="expression" dxfId="1127" priority="1">
      <formula>H25&gt;0</formula>
    </cfRule>
    <cfRule type="expression" dxfId="112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914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72.89</v>
      </c>
      <c r="R4" s="495">
        <v>-1.06E-2</v>
      </c>
      <c r="T4" s="770">
        <v>43103</v>
      </c>
      <c r="U4" s="30" t="s">
        <v>832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4373.3999999999996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472.49999999999818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472.49999999999818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0.12112589402445537</v>
      </c>
      <c r="T9" s="770">
        <v>43249</v>
      </c>
      <c r="U9" t="s">
        <v>1108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1.3170530937028399E-2</v>
      </c>
      <c r="R11">
        <v>0.24</v>
      </c>
    </row>
    <row r="12" spans="1:21" x14ac:dyDescent="0.25">
      <c r="H12" s="70"/>
      <c r="O12" s="11" t="s">
        <v>938</v>
      </c>
      <c r="Q12" s="1" t="s">
        <v>1203</v>
      </c>
    </row>
    <row r="13" spans="1:21" x14ac:dyDescent="0.25">
      <c r="H13" s="70"/>
      <c r="O13" s="11" t="s">
        <v>965</v>
      </c>
      <c r="Q13">
        <f>Q4/3.55</f>
        <v>20.532394366197185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80.179000000000002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1.0900000000000001</v>
      </c>
      <c r="P24" s="81">
        <f t="shared" ref="P24:P43" si="0">O24*$Q$4</f>
        <v>79.450100000000006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78.72120000000001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77.9923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77.263400000000004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76.534500000000008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75.805599999999998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75.076700000000002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74.347800000000007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73.618899999999996</v>
      </c>
      <c r="Q32" s="2"/>
    </row>
    <row r="33" spans="2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72.89</v>
      </c>
      <c r="Q33" s="2"/>
    </row>
    <row r="34" spans="2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72.161100000000005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71.432199999999995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70.703299999999999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69.974400000000003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69.245499999999993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68.516599999999997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67.787700000000001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67.058800000000005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66.329900000000009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65.600999999999999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5" priority="35">
      <formula>F47&gt;0</formula>
    </cfRule>
    <cfRule type="expression" dxfId="1124" priority="36">
      <formula>F47&lt;0</formula>
    </cfRule>
  </conditionalFormatting>
  <conditionalFormatting sqref="Q7">
    <cfRule type="expression" dxfId="1123" priority="33">
      <formula>Q7&gt;0</formula>
    </cfRule>
    <cfRule type="expression" dxfId="1122" priority="34">
      <formula>Q7&lt;0</formula>
    </cfRule>
  </conditionalFormatting>
  <conditionalFormatting sqref="Q8">
    <cfRule type="expression" dxfId="1121" priority="31">
      <formula>Q8&gt;0</formula>
    </cfRule>
    <cfRule type="expression" dxfId="1120" priority="32">
      <formula>Q8&lt;0</formula>
    </cfRule>
  </conditionalFormatting>
  <conditionalFormatting sqref="F30:F33 F35:F46">
    <cfRule type="expression" dxfId="1119" priority="29">
      <formula>F30&gt;0</formula>
    </cfRule>
    <cfRule type="expression" dxfId="1118" priority="30">
      <formula>F30&lt;0</formula>
    </cfRule>
  </conditionalFormatting>
  <conditionalFormatting sqref="H30:H33 H35:H46">
    <cfRule type="expression" dxfId="1117" priority="27">
      <formula>H30&gt;0</formula>
    </cfRule>
    <cfRule type="expression" dxfId="1116" priority="28">
      <formula>H30&lt;0</formula>
    </cfRule>
  </conditionalFormatting>
  <conditionalFormatting sqref="Q10">
    <cfRule type="expression" dxfId="1115" priority="25">
      <formula>Q10&gt;0</formula>
    </cfRule>
    <cfRule type="expression" dxfId="1114" priority="26">
      <formula>Q10&lt;0</formula>
    </cfRule>
  </conditionalFormatting>
  <conditionalFormatting sqref="J25:J38">
    <cfRule type="expression" dxfId="1113" priority="23">
      <formula>J25&gt;0</formula>
    </cfRule>
    <cfRule type="expression" dxfId="1112" priority="24">
      <formula>J25&lt;0</formula>
    </cfRule>
  </conditionalFormatting>
  <conditionalFormatting sqref="K25:K38">
    <cfRule type="expression" dxfId="1111" priority="21">
      <formula>K25&gt;0</formula>
    </cfRule>
    <cfRule type="expression" dxfId="1110" priority="22">
      <formula>K25&lt;0</formula>
    </cfRule>
  </conditionalFormatting>
  <conditionalFormatting sqref="L25:L38">
    <cfRule type="expression" dxfId="1109" priority="19">
      <formula>L25&gt;0</formula>
    </cfRule>
    <cfRule type="expression" dxfId="1108" priority="20">
      <formula>L25&lt;0</formula>
    </cfRule>
  </conditionalFormatting>
  <conditionalFormatting sqref="F89:F110">
    <cfRule type="expression" dxfId="1107" priority="17">
      <formula>F89&gt;0</formula>
    </cfRule>
    <cfRule type="expression" dxfId="1106" priority="18">
      <formula>F89&lt;0</formula>
    </cfRule>
  </conditionalFormatting>
  <conditionalFormatting sqref="H89:H110">
    <cfRule type="expression" dxfId="1105" priority="15">
      <formula>H89&gt;0</formula>
    </cfRule>
    <cfRule type="expression" dxfId="1104" priority="16">
      <formula>H89&lt;0</formula>
    </cfRule>
  </conditionalFormatting>
  <conditionalFormatting sqref="J89:J102">
    <cfRule type="expression" dxfId="1103" priority="13">
      <formula>J89&gt;0</formula>
    </cfRule>
    <cfRule type="expression" dxfId="1102" priority="14">
      <formula>J89&lt;0</formula>
    </cfRule>
  </conditionalFormatting>
  <conditionalFormatting sqref="K89:K102">
    <cfRule type="expression" dxfId="1101" priority="11">
      <formula>K89&gt;0</formula>
    </cfRule>
    <cfRule type="expression" dxfId="1100" priority="12">
      <formula>K89&lt;0</formula>
    </cfRule>
  </conditionalFormatting>
  <conditionalFormatting sqref="L89:L102">
    <cfRule type="expression" dxfId="1099" priority="9">
      <formula>L89&gt;0</formula>
    </cfRule>
    <cfRule type="expression" dxfId="1098" priority="10">
      <formula>L89&lt;0</formula>
    </cfRule>
  </conditionalFormatting>
  <conditionalFormatting sqref="F25:F29">
    <cfRule type="expression" dxfId="1097" priority="7">
      <formula>F25&gt;0</formula>
    </cfRule>
    <cfRule type="expression" dxfId="1096" priority="8">
      <formula>F25&lt;0</formula>
    </cfRule>
  </conditionalFormatting>
  <conditionalFormatting sqref="H25:H29">
    <cfRule type="expression" dxfId="1095" priority="5">
      <formula>H25&gt;0</formula>
    </cfRule>
    <cfRule type="expression" dxfId="1094" priority="6">
      <formula>H25&lt;0</formula>
    </cfRule>
  </conditionalFormatting>
  <conditionalFormatting sqref="F34">
    <cfRule type="expression" dxfId="1093" priority="3">
      <formula>F34&gt;0</formula>
    </cfRule>
    <cfRule type="expression" dxfId="1092" priority="4">
      <formula>F34&lt;0</formula>
    </cfRule>
  </conditionalFormatting>
  <conditionalFormatting sqref="H34">
    <cfRule type="expression" dxfId="1091" priority="1">
      <formula>H34&gt;0</formula>
    </cfRule>
    <cfRule type="expression" dxfId="109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76.91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76.91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206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494</v>
      </c>
      <c r="J22" s="220" t="s">
        <v>150</v>
      </c>
      <c r="K22" s="220" t="s">
        <v>662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269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6" t="s">
        <v>78</v>
      </c>
      <c r="P44" s="85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84.600999999999999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83.831900000000005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83.062799999999996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82.293700000000001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81.524600000000007</v>
      </c>
      <c r="T49" s="91" t="s">
        <v>121</v>
      </c>
      <c r="U49" s="127" t="s">
        <v>519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80.755499999999998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79.986400000000003</v>
      </c>
      <c r="T51" s="91" t="s">
        <v>104</v>
      </c>
      <c r="U51" s="127" t="s">
        <v>593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79.217299999999994</v>
      </c>
      <c r="T52" s="91" t="s">
        <v>105</v>
      </c>
      <c r="U52" s="127" t="s">
        <v>594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78.4482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77.679099999999991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76.91</v>
      </c>
      <c r="T55" s="91" t="s">
        <v>107</v>
      </c>
      <c r="U55" s="127" t="s">
        <v>595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76.140900000000002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75.371799999999993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74.602699999999999</v>
      </c>
      <c r="T58" s="91" t="s">
        <v>108</v>
      </c>
      <c r="U58" s="127" t="s">
        <v>536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73.83359999999999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73.064499999999995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72.295399999999987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71.526300000000006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70.757199999999997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69.988100000000003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69.218999999999994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89" priority="57">
      <formula>F27&gt;0</formula>
    </cfRule>
    <cfRule type="expression" dxfId="1088" priority="58">
      <formula>F27&lt;0</formula>
    </cfRule>
  </conditionalFormatting>
  <conditionalFormatting sqref="H28:H33">
    <cfRule type="expression" dxfId="1087" priority="53">
      <formula>H28&gt;0</formula>
    </cfRule>
    <cfRule type="expression" dxfId="1086" priority="54">
      <formula>H28&lt;0</formula>
    </cfRule>
  </conditionalFormatting>
  <conditionalFormatting sqref="F24:F26">
    <cfRule type="expression" dxfId="1085" priority="39">
      <formula>F24&gt;0</formula>
    </cfRule>
    <cfRule type="expression" dxfId="1084" priority="40">
      <formula>F24&lt;0</formula>
    </cfRule>
  </conditionalFormatting>
  <conditionalFormatting sqref="Q8">
    <cfRule type="expression" dxfId="1083" priority="33">
      <formula>Q8&gt;0</formula>
    </cfRule>
    <cfRule type="expression" dxfId="1082" priority="34">
      <formula>Q8&lt;0</formula>
    </cfRule>
  </conditionalFormatting>
  <conditionalFormatting sqref="Q7">
    <cfRule type="expression" dxfId="1081" priority="35">
      <formula>Q7&gt;0</formula>
    </cfRule>
    <cfRule type="expression" dxfId="1080" priority="36">
      <formula>Q7&lt;0</formula>
    </cfRule>
  </conditionalFormatting>
  <conditionalFormatting sqref="F34">
    <cfRule type="expression" dxfId="1079" priority="31">
      <formula>F34&gt;0</formula>
    </cfRule>
    <cfRule type="expression" dxfId="1078" priority="32">
      <formula>F34&lt;0</formula>
    </cfRule>
  </conditionalFormatting>
  <conditionalFormatting sqref="H34">
    <cfRule type="expression" dxfId="1077" priority="29">
      <formula>H34&gt;0</formula>
    </cfRule>
    <cfRule type="expression" dxfId="1076" priority="30">
      <formula>H34&lt;0</formula>
    </cfRule>
  </conditionalFormatting>
  <conditionalFormatting sqref="M36">
    <cfRule type="expression" dxfId="1075" priority="19">
      <formula>M36&gt;0</formula>
    </cfRule>
    <cfRule type="expression" dxfId="1074" priority="20">
      <formula>M36&lt;0</formula>
    </cfRule>
  </conditionalFormatting>
  <conditionalFormatting sqref="Q10">
    <cfRule type="expression" dxfId="1073" priority="15">
      <formula>Q10&gt;0</formula>
    </cfRule>
    <cfRule type="expression" dxfId="1072" priority="16">
      <formula>Q10&lt;0</formula>
    </cfRule>
  </conditionalFormatting>
  <conditionalFormatting sqref="F23">
    <cfRule type="expression" dxfId="1071" priority="13">
      <formula>F23&gt;0</formula>
    </cfRule>
    <cfRule type="expression" dxfId="1070" priority="14">
      <formula>F23&lt;0</formula>
    </cfRule>
  </conditionalFormatting>
  <conditionalFormatting sqref="I25:J25">
    <cfRule type="expression" dxfId="1069" priority="9">
      <formula>I25&gt;0</formula>
    </cfRule>
    <cfRule type="expression" dxfId="1068" priority="10">
      <formula>I25&lt;0</formula>
    </cfRule>
  </conditionalFormatting>
  <conditionalFormatting sqref="I26:J27">
    <cfRule type="expression" dxfId="1067" priority="7">
      <formula>I26&gt;0</formula>
    </cfRule>
    <cfRule type="expression" dxfId="1066" priority="8">
      <formula>I26&lt;0</formula>
    </cfRule>
  </conditionalFormatting>
  <conditionalFormatting sqref="K25:K27">
    <cfRule type="expression" dxfId="1065" priority="5">
      <formula>K25&gt;0</formula>
    </cfRule>
    <cfRule type="expression" dxfId="1064" priority="6">
      <formula>K25&lt;0</formula>
    </cfRule>
  </conditionalFormatting>
  <conditionalFormatting sqref="I23:J23">
    <cfRule type="expression" dxfId="1063" priority="3">
      <formula>I23&gt;0</formula>
    </cfRule>
    <cfRule type="expression" dxfId="106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749</v>
      </c>
      <c r="AB1" s="731" t="s">
        <v>706</v>
      </c>
      <c r="AC1" s="731" t="s">
        <v>925</v>
      </c>
      <c r="AD1" s="731" t="s">
        <v>924</v>
      </c>
      <c r="AE1" s="731" t="s">
        <v>1057</v>
      </c>
      <c r="AF1" s="707"/>
      <c r="AG1" s="707"/>
    </row>
    <row r="2" spans="1:33" x14ac:dyDescent="0.25">
      <c r="A2" s="6" t="s">
        <v>224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750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17.576174999999893</v>
      </c>
      <c r="U3" t="s">
        <v>724</v>
      </c>
      <c r="V3" s="22" t="s">
        <v>723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30.0899</v>
      </c>
      <c r="R4" s="494">
        <v>1.9E-2</v>
      </c>
      <c r="Z4" s="710" t="s">
        <v>718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12035.96</v>
      </c>
      <c r="Z5" s="711" t="s">
        <v>711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704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6457.75000000004</v>
      </c>
      <c r="R7" s="29">
        <v>43325</v>
      </c>
      <c r="V7" t="s">
        <v>967</v>
      </c>
      <c r="Z7" s="712" t="s">
        <v>739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5005.4900000000416</v>
      </c>
      <c r="Z8" s="712" t="s">
        <v>712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207</v>
      </c>
      <c r="Q9" s="134">
        <f>IF(Q2=0, 0, Q8/Q6)</f>
        <v>0.7119708924154533</v>
      </c>
      <c r="Z9" s="712" t="s">
        <v>713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206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729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3.3233742883824807E-3</v>
      </c>
      <c r="R11">
        <f>0.025</f>
        <v>2.5000000000000001E-2</v>
      </c>
      <c r="V11" t="s">
        <v>1056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938</v>
      </c>
      <c r="Q12" s="1" t="s">
        <v>1223</v>
      </c>
      <c r="Z12" s="712" t="s">
        <v>707</v>
      </c>
      <c r="AA12" s="714"/>
      <c r="AB12" s="719">
        <v>7.0000000000000007E-2</v>
      </c>
      <c r="AC12" s="719" t="s">
        <v>751</v>
      </c>
      <c r="AD12" s="732" t="s">
        <v>928</v>
      </c>
      <c r="AE12" s="831" t="s">
        <v>929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965</v>
      </c>
      <c r="Q13" s="2">
        <f>Q4/(1.4)</f>
        <v>21.492785714285716</v>
      </c>
      <c r="U13" s="1">
        <v>43234</v>
      </c>
      <c r="V13" t="s">
        <v>1103</v>
      </c>
      <c r="Z13" s="712" t="s">
        <v>714</v>
      </c>
      <c r="AA13" s="714"/>
      <c r="AB13" s="719">
        <v>0.09</v>
      </c>
      <c r="AC13" s="719"/>
      <c r="AD13" s="732" t="s">
        <v>929</v>
      </c>
      <c r="AE13" s="831" t="s">
        <v>1058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1102</v>
      </c>
      <c r="Q14" s="736">
        <v>0.20250000000000001</v>
      </c>
      <c r="V14" t="s">
        <v>1104</v>
      </c>
      <c r="Z14" s="712" t="s">
        <v>737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1053</v>
      </c>
      <c r="Z15" s="712" t="s">
        <v>708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774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709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1182</v>
      </c>
      <c r="Z17" s="712" t="s">
        <v>923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56" t="s">
        <v>78</v>
      </c>
      <c r="P18" s="856"/>
      <c r="V18" t="s">
        <v>1183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774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33.098890000000004</v>
      </c>
      <c r="Z19" s="712" t="s">
        <v>719</v>
      </c>
      <c r="AA19" s="717" t="s">
        <v>722</v>
      </c>
      <c r="AB19" s="712" t="s">
        <v>722</v>
      </c>
      <c r="AC19" s="712" t="s">
        <v>722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32.797991000000003</v>
      </c>
      <c r="U20" s="156">
        <v>43313</v>
      </c>
      <c r="V20" t="s">
        <v>1181</v>
      </c>
      <c r="Z20" s="712" t="s">
        <v>720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32.497092000000002</v>
      </c>
      <c r="Z21" s="712" t="s">
        <v>739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32.196193000000001</v>
      </c>
      <c r="U22" s="1">
        <v>43318</v>
      </c>
      <c r="V22" t="s">
        <v>869</v>
      </c>
      <c r="Z22" s="718" t="s">
        <v>736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31.895294000000003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31.594395000000002</v>
      </c>
      <c r="Z24" s="709" t="s">
        <v>703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O25" s="81">
        <v>1.04</v>
      </c>
      <c r="P25" s="81">
        <f t="shared" si="3"/>
        <v>31.293496000000001</v>
      </c>
      <c r="Z25" s="710" t="s">
        <v>715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30.992597</v>
      </c>
      <c r="Z26" s="711" t="s">
        <v>716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30.691698000000002</v>
      </c>
      <c r="Z27" s="712" t="s">
        <v>704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30.390799000000001</v>
      </c>
      <c r="Z28" s="712" t="s">
        <v>739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30.0899</v>
      </c>
      <c r="Z29" s="712" t="s">
        <v>712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0.99</v>
      </c>
      <c r="P30" s="81">
        <f t="shared" si="3"/>
        <v>29.789000999999999</v>
      </c>
      <c r="Z30" s="712" t="s">
        <v>713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29.488101999999998</v>
      </c>
      <c r="Z31" s="712" t="s">
        <v>705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SUM(C2:C30)</f>
        <v>3750</v>
      </c>
      <c r="D32" s="18"/>
      <c r="E32" s="18"/>
      <c r="F32" s="18">
        <f>SUM(F2:F30)</f>
        <v>94430.62</v>
      </c>
      <c r="G32" s="14"/>
      <c r="H32" s="14">
        <f>SUM(H2:H31)</f>
        <v>3350</v>
      </c>
      <c r="I32" s="18"/>
      <c r="J32" s="18"/>
      <c r="K32" s="18">
        <f>SUM(K2:K31)</f>
        <v>87115.150000000038</v>
      </c>
      <c r="L32" s="14"/>
      <c r="M32" s="18">
        <f>SUM(M2:M10)</f>
        <v>285</v>
      </c>
      <c r="O32" s="81">
        <v>0.97</v>
      </c>
      <c r="P32" s="81">
        <f t="shared" si="3"/>
        <v>29.187203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3350</v>
      </c>
      <c r="D33" s="343"/>
      <c r="E33" s="343"/>
      <c r="F33" s="344">
        <f>SumByColor($A$33,F2:F31)</f>
        <v>83093</v>
      </c>
      <c r="G33" s="343"/>
      <c r="H33" s="343">
        <f>SumByColor($A$33,H2:H31)</f>
        <v>3350</v>
      </c>
      <c r="I33" s="343"/>
      <c r="J33" s="343"/>
      <c r="K33" s="344">
        <f>SumByColor($A$33,K2:K31)</f>
        <v>87117</v>
      </c>
      <c r="L33" s="343"/>
      <c r="M33" s="344">
        <f>SumByColor($A$33,M2:M31)</f>
        <v>286</v>
      </c>
      <c r="O33" s="81">
        <v>0.96</v>
      </c>
      <c r="P33" s="81">
        <f t="shared" si="3"/>
        <v>28.886303999999999</v>
      </c>
      <c r="Z33" s="712" t="s">
        <v>707</v>
      </c>
      <c r="AA33" s="714"/>
      <c r="AB33" s="719">
        <v>0.15</v>
      </c>
      <c r="AC33" s="732" t="s">
        <v>752</v>
      </c>
      <c r="AD33" s="732" t="s">
        <v>926</v>
      </c>
      <c r="AE33" s="732" t="s">
        <v>926</v>
      </c>
      <c r="AF33" s="676"/>
      <c r="AG33" s="676"/>
    </row>
    <row r="34" spans="1:33" x14ac:dyDescent="0.25">
      <c r="O34" s="81">
        <v>0.95</v>
      </c>
      <c r="P34" s="81">
        <f t="shared" si="3"/>
        <v>28.585404999999998</v>
      </c>
      <c r="Z34" s="712" t="s">
        <v>714</v>
      </c>
      <c r="AA34" s="714"/>
      <c r="AB34" s="719">
        <v>0.18</v>
      </c>
      <c r="AC34" s="719"/>
      <c r="AD34" s="732" t="s">
        <v>927</v>
      </c>
      <c r="AE34" s="732" t="s">
        <v>927</v>
      </c>
      <c r="AF34" s="676"/>
      <c r="AG34" s="676"/>
    </row>
    <row r="35" spans="1:33" x14ac:dyDescent="0.25">
      <c r="O35" s="81">
        <v>0.94</v>
      </c>
      <c r="P35" s="81">
        <f t="shared" si="3"/>
        <v>28.284505999999997</v>
      </c>
      <c r="Z35" s="712" t="s">
        <v>737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494</v>
      </c>
      <c r="K36" s="488" t="s">
        <v>150</v>
      </c>
      <c r="L36" s="488" t="s">
        <v>965</v>
      </c>
      <c r="O36" s="81">
        <v>0.93</v>
      </c>
      <c r="P36" s="81">
        <f t="shared" si="3"/>
        <v>27.983607000000003</v>
      </c>
      <c r="Z36" s="712" t="s">
        <v>708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0.92</v>
      </c>
      <c r="P37" s="81">
        <f t="shared" si="3"/>
        <v>27.682708000000002</v>
      </c>
      <c r="Z37" s="712" t="s">
        <v>709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O38" s="81">
        <v>0.91</v>
      </c>
      <c r="P38" s="81">
        <f t="shared" si="3"/>
        <v>27.381809000000001</v>
      </c>
      <c r="Z38" s="712" t="s">
        <v>738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345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O39" s="81">
        <v>0.9</v>
      </c>
      <c r="P39" s="81">
        <f t="shared" si="3"/>
        <v>27.080909999999999</v>
      </c>
      <c r="Z39" s="712" t="s">
        <v>719</v>
      </c>
      <c r="AA39" s="717" t="s">
        <v>730</v>
      </c>
      <c r="AB39" s="712" t="s">
        <v>722</v>
      </c>
      <c r="AC39" s="712" t="s">
        <v>753</v>
      </c>
      <c r="AD39" s="712"/>
      <c r="AE39" s="712"/>
      <c r="AF39" s="676"/>
      <c r="AG39" s="676"/>
    </row>
    <row r="40" spans="1:33" x14ac:dyDescent="0.25">
      <c r="A40" t="s">
        <v>345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720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335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736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1059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712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713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705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710</v>
      </c>
      <c r="AA49" s="714">
        <v>20</v>
      </c>
      <c r="AB49" s="712" t="s">
        <v>744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717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740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738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741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742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743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736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734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732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731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930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733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821</v>
      </c>
      <c r="J68" s="39"/>
      <c r="K68" s="39">
        <v>2972</v>
      </c>
      <c r="L68" s="39"/>
      <c r="Z68" s="713" t="s">
        <v>735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1060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959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1054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1063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1126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8" si="22">C104*(E104-D104)</f>
        <v>3908</v>
      </c>
      <c r="G104" s="39">
        <f t="shared" ref="G104:G108" si="23">D104*C104</f>
        <v>7244</v>
      </c>
      <c r="H104" s="222">
        <f t="shared" ref="H104:H108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1208</v>
      </c>
      <c r="J106" s="39"/>
      <c r="K106" s="39">
        <v>5696</v>
      </c>
      <c r="L106" s="39"/>
    </row>
    <row r="107" spans="1:12" x14ac:dyDescent="0.25">
      <c r="A107">
        <v>0</v>
      </c>
      <c r="B107" s="184">
        <v>43305</v>
      </c>
      <c r="C107" s="228">
        <v>200</v>
      </c>
      <c r="D107" s="229">
        <v>6.5023</v>
      </c>
      <c r="E107" s="39">
        <v>29.38</v>
      </c>
      <c r="F107" s="39">
        <f t="shared" si="22"/>
        <v>4575.5399999999991</v>
      </c>
      <c r="G107" s="39">
        <f t="shared" si="23"/>
        <v>1300.46</v>
      </c>
      <c r="H107" s="222">
        <f t="shared" si="24"/>
        <v>3.518401181120526</v>
      </c>
      <c r="I107" s="39"/>
      <c r="J107" s="39"/>
      <c r="K107" s="39">
        <v>5828</v>
      </c>
      <c r="L107" s="39"/>
    </row>
    <row r="108" spans="1:12" x14ac:dyDescent="0.25">
      <c r="A108">
        <v>0</v>
      </c>
      <c r="B108" s="184">
        <v>43306</v>
      </c>
      <c r="C108" s="7">
        <v>400</v>
      </c>
      <c r="D108" s="43">
        <v>17.576000000000001</v>
      </c>
      <c r="E108" s="39">
        <v>28.65</v>
      </c>
      <c r="F108" s="39">
        <f t="shared" si="22"/>
        <v>4429.5999999999995</v>
      </c>
      <c r="G108" s="39">
        <f t="shared" si="23"/>
        <v>7030.4000000000005</v>
      </c>
      <c r="H108" s="222">
        <f t="shared" si="24"/>
        <v>0.63006372325898941</v>
      </c>
      <c r="I108" s="39">
        <v>17.5</v>
      </c>
      <c r="J108" s="39"/>
      <c r="K108" s="39">
        <v>5882</v>
      </c>
      <c r="L108" s="39"/>
    </row>
    <row r="109" spans="1:12" x14ac:dyDescent="0.25">
      <c r="B109" s="184">
        <v>43312</v>
      </c>
      <c r="C109" s="10">
        <v>400</v>
      </c>
      <c r="D109" s="39">
        <v>17.579999999999998</v>
      </c>
      <c r="E109" s="39">
        <v>30.11</v>
      </c>
      <c r="F109" s="39">
        <f t="shared" ref="F109" si="25">C109*(E109-D109)</f>
        <v>5012</v>
      </c>
      <c r="G109" s="39">
        <f t="shared" ref="G109" si="26">D109*C109</f>
        <v>7031.9999999999991</v>
      </c>
      <c r="H109" s="222">
        <f t="shared" ref="H109" si="27">(E109-D109)/D109</f>
        <v>0.71274175199089884</v>
      </c>
      <c r="I109" s="39"/>
      <c r="J109" s="39"/>
      <c r="K109" s="39">
        <v>6466</v>
      </c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8">C117*(E117-D117)</f>
        <v>-30.999999999999872</v>
      </c>
      <c r="G117" s="363">
        <f t="shared" ref="G117:G122" si="29">D117*C117</f>
        <v>2500</v>
      </c>
      <c r="H117" s="364">
        <f t="shared" ref="H117:H122" si="30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8"/>
        <v>26.000000000000156</v>
      </c>
      <c r="G118" s="363">
        <f t="shared" si="29"/>
        <v>2500</v>
      </c>
      <c r="H118" s="364">
        <f t="shared" si="30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8"/>
        <v>157.00000000000003</v>
      </c>
      <c r="G119" s="363">
        <f t="shared" si="29"/>
        <v>2500</v>
      </c>
      <c r="H119" s="364">
        <f t="shared" si="30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8"/>
        <v>46.999999999999886</v>
      </c>
      <c r="G120" s="363">
        <f t="shared" si="29"/>
        <v>2500</v>
      </c>
      <c r="H120" s="364">
        <f t="shared" si="30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8"/>
        <v>69.000000000000128</v>
      </c>
      <c r="G121" s="363">
        <f t="shared" si="29"/>
        <v>2500</v>
      </c>
      <c r="H121" s="364">
        <f t="shared" si="30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8"/>
        <v>148.00000000000006</v>
      </c>
      <c r="G122" s="363">
        <f t="shared" si="29"/>
        <v>2500</v>
      </c>
      <c r="H122" s="364">
        <f t="shared" si="30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31">C123*(E123-D123)</f>
        <v>428.00000000000011</v>
      </c>
      <c r="G123" s="363">
        <f t="shared" ref="G123:G129" si="32">D123*C123</f>
        <v>2500</v>
      </c>
      <c r="H123" s="364">
        <f t="shared" ref="H123:H129" si="33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31"/>
        <v>368</v>
      </c>
      <c r="G124" s="363">
        <f t="shared" si="32"/>
        <v>2500</v>
      </c>
      <c r="H124" s="364">
        <f t="shared" si="33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31"/>
        <v>401.00000000000017</v>
      </c>
      <c r="G125" s="363">
        <f t="shared" si="32"/>
        <v>2500</v>
      </c>
      <c r="H125" s="364">
        <f t="shared" si="33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31"/>
        <v>389.00000000000006</v>
      </c>
      <c r="G126" s="363">
        <f t="shared" si="32"/>
        <v>2500</v>
      </c>
      <c r="H126" s="364">
        <f t="shared" si="33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31"/>
        <v>362.99999999999989</v>
      </c>
      <c r="G127" s="363">
        <f t="shared" si="32"/>
        <v>2500</v>
      </c>
      <c r="H127" s="364">
        <f t="shared" si="33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31"/>
        <v>434</v>
      </c>
      <c r="G128" s="363">
        <f t="shared" si="32"/>
        <v>2500</v>
      </c>
      <c r="H128" s="364">
        <f t="shared" si="33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31"/>
        <v>200</v>
      </c>
      <c r="G129" s="363">
        <f t="shared" si="32"/>
        <v>2500</v>
      </c>
      <c r="H129" s="364">
        <f t="shared" si="33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4">C134*(E134-D134)</f>
        <v>-9.9999999999999645</v>
      </c>
      <c r="G134" s="251">
        <f t="shared" ref="G134:G139" si="35">D134*C134</f>
        <v>1287</v>
      </c>
      <c r="H134" s="265">
        <f t="shared" ref="H134:H139" si="36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4"/>
        <v>-45.999999999999908</v>
      </c>
      <c r="G135" s="251">
        <f t="shared" si="35"/>
        <v>1287</v>
      </c>
      <c r="H135" s="265">
        <f t="shared" si="36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4"/>
        <v>-82.000000000000028</v>
      </c>
      <c r="G136" s="251">
        <f t="shared" si="35"/>
        <v>2496</v>
      </c>
      <c r="H136" s="265">
        <f t="shared" si="36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4"/>
        <v>-99.000000000000028</v>
      </c>
      <c r="G137" s="251">
        <f t="shared" si="35"/>
        <v>3720</v>
      </c>
      <c r="H137" s="265">
        <f t="shared" si="36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4"/>
        <v>-121.50000000000034</v>
      </c>
      <c r="G138" s="251">
        <f t="shared" si="35"/>
        <v>3720</v>
      </c>
      <c r="H138" s="265">
        <f t="shared" si="36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4"/>
        <v>-50.999999999999979</v>
      </c>
      <c r="G139" s="251">
        <f t="shared" si="35"/>
        <v>3720</v>
      </c>
      <c r="H139" s="265">
        <f t="shared" si="36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7">C140*(E140-D140)</f>
        <v>13.499999999999979</v>
      </c>
      <c r="G140" s="251">
        <f t="shared" ref="G140:G151" si="38">D140*C140</f>
        <v>3720</v>
      </c>
      <c r="H140" s="265">
        <f t="shared" ref="H140:H151" si="39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7"/>
        <v>40.499999999999936</v>
      </c>
      <c r="G141" s="251">
        <f t="shared" si="38"/>
        <v>3720</v>
      </c>
      <c r="H141" s="265">
        <f t="shared" si="39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7"/>
        <v>7.5000000000001066</v>
      </c>
      <c r="G142" s="251">
        <f t="shared" si="38"/>
        <v>3720</v>
      </c>
      <c r="H142" s="265">
        <f t="shared" si="39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7"/>
        <v>-33.000000000000362</v>
      </c>
      <c r="G143" s="251">
        <f t="shared" si="38"/>
        <v>3720</v>
      </c>
      <c r="H143" s="265">
        <f t="shared" si="39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7"/>
        <v>-211.50000000000003</v>
      </c>
      <c r="G144" s="251">
        <f t="shared" si="38"/>
        <v>3720</v>
      </c>
      <c r="H144" s="265">
        <f t="shared" si="39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7"/>
        <v>-144.00000000000011</v>
      </c>
      <c r="G145" s="251">
        <f t="shared" si="38"/>
        <v>3720</v>
      </c>
      <c r="H145" s="265">
        <f t="shared" si="39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7"/>
        <v>-73.500000000000298</v>
      </c>
      <c r="G146" s="251">
        <f t="shared" si="38"/>
        <v>3720</v>
      </c>
      <c r="H146" s="265">
        <f t="shared" si="39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7"/>
        <v>-104.53499999999991</v>
      </c>
      <c r="G147" s="251">
        <f t="shared" si="38"/>
        <v>3694.0349999999999</v>
      </c>
      <c r="H147" s="265">
        <f t="shared" si="39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7"/>
        <v>-164.53499999999968</v>
      </c>
      <c r="G148" s="251">
        <f t="shared" si="38"/>
        <v>3694.0349999999999</v>
      </c>
      <c r="H148" s="265">
        <f t="shared" si="39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7"/>
        <v>8.2949999999998525</v>
      </c>
      <c r="G149" s="251">
        <f t="shared" si="38"/>
        <v>3639.7050000000004</v>
      </c>
      <c r="H149" s="265">
        <f t="shared" si="39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7"/>
        <v>69.794999999999874</v>
      </c>
      <c r="G150" s="251">
        <f t="shared" si="38"/>
        <v>3639.7050000000004</v>
      </c>
      <c r="H150" s="265">
        <f t="shared" si="39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7"/>
        <v>589.25999999999976</v>
      </c>
      <c r="G151" s="251">
        <f t="shared" si="38"/>
        <v>2250.7400000000002</v>
      </c>
      <c r="H151" s="265">
        <f t="shared" si="39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224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332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332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332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332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332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8:P18"/>
  </mergeCells>
  <conditionalFormatting sqref="O19:O3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61" priority="80">
      <formula>F85&gt;0</formula>
    </cfRule>
    <cfRule type="expression" dxfId="1060" priority="81">
      <formula>F85&lt;0</formula>
    </cfRule>
  </conditionalFormatting>
  <conditionalFormatting sqref="Q7">
    <cfRule type="expression" dxfId="1059" priority="68">
      <formula>Q7&gt;0</formula>
    </cfRule>
    <cfRule type="expression" dxfId="1058" priority="69">
      <formula>Q7&lt;0</formula>
    </cfRule>
  </conditionalFormatting>
  <conditionalFormatting sqref="Q8">
    <cfRule type="expression" dxfId="1057" priority="66">
      <formula>Q8&gt;0</formula>
    </cfRule>
    <cfRule type="expression" dxfId="1056" priority="67">
      <formula>Q8&lt;0</formula>
    </cfRule>
  </conditionalFormatting>
  <conditionalFormatting sqref="F117:F129">
    <cfRule type="expression" dxfId="1055" priority="64">
      <formula>F117&gt;0</formula>
    </cfRule>
    <cfRule type="expression" dxfId="1054" priority="65">
      <formula>F117&lt;0</formula>
    </cfRule>
  </conditionalFormatting>
  <conditionalFormatting sqref="H117:H129">
    <cfRule type="expression" dxfId="1053" priority="62">
      <formula>H117&gt;0</formula>
    </cfRule>
    <cfRule type="expression" dxfId="1052" priority="63">
      <formula>H117&lt;0</formula>
    </cfRule>
  </conditionalFormatting>
  <conditionalFormatting sqref="H133:H136">
    <cfRule type="expression" dxfId="1051" priority="58">
      <formula>H133&gt;0</formula>
    </cfRule>
    <cfRule type="expression" dxfId="1050" priority="59">
      <formula>H133&lt;0</formula>
    </cfRule>
  </conditionalFormatting>
  <conditionalFormatting sqref="F133:F136">
    <cfRule type="expression" dxfId="1049" priority="60">
      <formula>F133&gt;0</formula>
    </cfRule>
    <cfRule type="expression" dxfId="1048" priority="61">
      <formula>F133&lt;0</formula>
    </cfRule>
  </conditionalFormatting>
  <conditionalFormatting sqref="M159">
    <cfRule type="expression" dxfId="1047" priority="56">
      <formula>M159&gt;0</formula>
    </cfRule>
    <cfRule type="expression" dxfId="1046" priority="57">
      <formula>M159&lt;0</formula>
    </cfRule>
  </conditionalFormatting>
  <conditionalFormatting sqref="F37:F38 F45:F82">
    <cfRule type="expression" dxfId="1045" priority="54">
      <formula>F37&gt;0</formula>
    </cfRule>
    <cfRule type="expression" dxfId="1044" priority="55">
      <formula>F37&lt;0</formula>
    </cfRule>
  </conditionalFormatting>
  <conditionalFormatting sqref="H37:H38 H45:H82">
    <cfRule type="expression" dxfId="1043" priority="52">
      <formula>H37&gt;0</formula>
    </cfRule>
    <cfRule type="expression" dxfId="1042" priority="53">
      <formula>H37&lt;0</formula>
    </cfRule>
  </conditionalFormatting>
  <conditionalFormatting sqref="Q10">
    <cfRule type="expression" dxfId="1041" priority="50">
      <formula>Q10&gt;0</formula>
    </cfRule>
    <cfRule type="expression" dxfId="1040" priority="51">
      <formula>Q10&lt;0</formula>
    </cfRule>
  </conditionalFormatting>
  <conditionalFormatting sqref="F39:F44">
    <cfRule type="expression" dxfId="1039" priority="48">
      <formula>F39&gt;0</formula>
    </cfRule>
    <cfRule type="expression" dxfId="1038" priority="49">
      <formula>F39&lt;0</formula>
    </cfRule>
  </conditionalFormatting>
  <conditionalFormatting sqref="H39:H44">
    <cfRule type="expression" dxfId="1037" priority="46">
      <formula>H39&gt;0</formula>
    </cfRule>
    <cfRule type="expression" dxfId="1036" priority="47">
      <formula>H39&lt;0</formula>
    </cfRule>
  </conditionalFormatting>
  <conditionalFormatting sqref="K42:K49">
    <cfRule type="expression" dxfId="1035" priority="44">
      <formula>K42&gt;0</formula>
    </cfRule>
    <cfRule type="expression" dxfId="1034" priority="45">
      <formula>K42&lt;0</formula>
    </cfRule>
  </conditionalFormatting>
  <conditionalFormatting sqref="K50:K82">
    <cfRule type="expression" dxfId="1033" priority="42">
      <formula>K50&gt;0</formula>
    </cfRule>
    <cfRule type="expression" dxfId="1032" priority="43">
      <formula>K50&lt;0</formula>
    </cfRule>
  </conditionalFormatting>
  <conditionalFormatting sqref="F83:F84">
    <cfRule type="expression" dxfId="1031" priority="39">
      <formula>F83&gt;0</formula>
    </cfRule>
    <cfRule type="expression" dxfId="1030" priority="40">
      <formula>F83&lt;0</formula>
    </cfRule>
  </conditionalFormatting>
  <conditionalFormatting sqref="H83:H84">
    <cfRule type="expression" dxfId="1029" priority="37">
      <formula>H83&gt;0</formula>
    </cfRule>
    <cfRule type="expression" dxfId="1028" priority="38">
      <formula>H83&lt;0</formula>
    </cfRule>
  </conditionalFormatting>
  <conditionalFormatting sqref="K83:K84">
    <cfRule type="expression" dxfId="1027" priority="35">
      <formula>K83&gt;0</formula>
    </cfRule>
    <cfRule type="expression" dxfId="1026" priority="36">
      <formula>K83&lt;0</formula>
    </cfRule>
  </conditionalFormatting>
  <conditionalFormatting sqref="F93:F95 H93:H95 K93:K95">
    <cfRule type="expression" dxfId="1025" priority="31">
      <formula>F93&gt;0</formula>
    </cfRule>
    <cfRule type="expression" dxfId="1024" priority="32">
      <formula>F93&lt;0</formula>
    </cfRule>
  </conditionalFormatting>
  <conditionalFormatting sqref="L85:L91 L112:L114">
    <cfRule type="expression" dxfId="1023" priority="29">
      <formula>L85&gt;0</formula>
    </cfRule>
    <cfRule type="expression" dxfId="1022" priority="30">
      <formula>L85&lt;0</formula>
    </cfRule>
  </conditionalFormatting>
  <conditionalFormatting sqref="L42:L49">
    <cfRule type="expression" dxfId="1021" priority="27">
      <formula>L42&gt;0</formula>
    </cfRule>
    <cfRule type="expression" dxfId="1020" priority="28">
      <formula>L42&lt;0</formula>
    </cfRule>
  </conditionalFormatting>
  <conditionalFormatting sqref="L50:L82">
    <cfRule type="expression" dxfId="1019" priority="25">
      <formula>L50&gt;0</formula>
    </cfRule>
    <cfRule type="expression" dxfId="1018" priority="26">
      <formula>L50&lt;0</formula>
    </cfRule>
  </conditionalFormatting>
  <conditionalFormatting sqref="L83:L84">
    <cfRule type="expression" dxfId="1017" priority="23">
      <formula>L83&gt;0</formula>
    </cfRule>
    <cfRule type="expression" dxfId="1016" priority="24">
      <formula>L83&lt;0</formula>
    </cfRule>
  </conditionalFormatting>
  <conditionalFormatting sqref="L93:L95">
    <cfRule type="expression" dxfId="1015" priority="21">
      <formula>L93&gt;0</formula>
    </cfRule>
    <cfRule type="expression" dxfId="1014" priority="22">
      <formula>L93&lt;0</formula>
    </cfRule>
  </conditionalFormatting>
  <conditionalFormatting sqref="K102:K104 F102:F105 H102:H105">
    <cfRule type="expression" dxfId="1013" priority="19">
      <formula>F102&gt;0</formula>
    </cfRule>
    <cfRule type="expression" dxfId="1012" priority="20">
      <formula>F102&lt;0</formula>
    </cfRule>
  </conditionalFormatting>
  <conditionalFormatting sqref="L102:L104">
    <cfRule type="expression" dxfId="1011" priority="17">
      <formula>L102&gt;0</formula>
    </cfRule>
    <cfRule type="expression" dxfId="1010" priority="18">
      <formula>L102&lt;0</formula>
    </cfRule>
  </conditionalFormatting>
  <conditionalFormatting sqref="K99:K101 F99:F101 H99:H101">
    <cfRule type="expression" dxfId="1009" priority="15">
      <formula>F99&gt;0</formula>
    </cfRule>
    <cfRule type="expression" dxfId="1008" priority="16">
      <formula>F99&lt;0</formula>
    </cfRule>
  </conditionalFormatting>
  <conditionalFormatting sqref="L99:L101">
    <cfRule type="expression" dxfId="1007" priority="13">
      <formula>L99&gt;0</formula>
    </cfRule>
    <cfRule type="expression" dxfId="1006" priority="14">
      <formula>L99&lt;0</formula>
    </cfRule>
  </conditionalFormatting>
  <conditionalFormatting sqref="K96:K98 F96:F98 H96:H98">
    <cfRule type="expression" dxfId="1005" priority="11">
      <formula>F96&gt;0</formula>
    </cfRule>
    <cfRule type="expression" dxfId="1004" priority="12">
      <formula>F96&lt;0</formula>
    </cfRule>
  </conditionalFormatting>
  <conditionalFormatting sqref="L97:L98">
    <cfRule type="expression" dxfId="1003" priority="9">
      <formula>L97&gt;0</formula>
    </cfRule>
    <cfRule type="expression" dxfId="1002" priority="10">
      <formula>L97&lt;0</formula>
    </cfRule>
  </conditionalFormatting>
  <conditionalFormatting sqref="K108:K110 K107:L107 H107:H110 F107:F110">
    <cfRule type="expression" dxfId="1001" priority="3">
      <formula>F107&gt;0</formula>
    </cfRule>
    <cfRule type="expression" dxfId="1000" priority="4">
      <formula>F107&lt;0</formula>
    </cfRule>
  </conditionalFormatting>
  <conditionalFormatting sqref="L108:L110">
    <cfRule type="expression" dxfId="999" priority="1">
      <formula>L108&gt;0</formula>
    </cfRule>
    <cfRule type="expression" dxfId="998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58.04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58.04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206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63.844000000000001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63.263600000000004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62.683200000000006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62.102800000000002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61.522400000000005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60.942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60.361600000000003</v>
      </c>
      <c r="Q47" s="2"/>
      <c r="T47" s="91" t="s">
        <v>313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59.781199999999998</v>
      </c>
      <c r="Q48" s="2"/>
      <c r="T48" s="91" t="s">
        <v>314</v>
      </c>
      <c r="U48" s="86" t="s">
        <v>495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59.200800000000001</v>
      </c>
      <c r="Q49" s="2"/>
      <c r="T49" s="91" t="s">
        <v>315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58.620399999999997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58.04</v>
      </c>
      <c r="Q51" s="2"/>
      <c r="T51" s="91" t="s">
        <v>104</v>
      </c>
      <c r="U51" s="86" t="s">
        <v>596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57.459600000000002</v>
      </c>
      <c r="Q52" s="2"/>
      <c r="T52" s="91" t="s">
        <v>105</v>
      </c>
      <c r="U52" s="86" t="s">
        <v>509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56.879199999999997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56.2988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222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232</v>
      </c>
      <c r="M55" s="250"/>
      <c r="O55" s="81">
        <v>0.96</v>
      </c>
      <c r="P55" s="81">
        <f t="shared" si="5"/>
        <v>55.718399999999995</v>
      </c>
      <c r="T55" s="91" t="s">
        <v>316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55.137999999999998</v>
      </c>
      <c r="T56" s="91" t="s">
        <v>317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54.557599999999994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53.977200000000003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53.396799999999999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52.816400000000002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52.235999999999997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97" priority="9">
      <formula>F39&gt;0</formula>
    </cfRule>
    <cfRule type="expression" dxfId="996" priority="10">
      <formula>F39&lt;0</formula>
    </cfRule>
  </conditionalFormatting>
  <conditionalFormatting sqref="F25:F38">
    <cfRule type="expression" dxfId="995" priority="7">
      <formula>F25&gt;0</formula>
    </cfRule>
    <cfRule type="expression" dxfId="994" priority="8">
      <formula>F25&lt;0</formula>
    </cfRule>
  </conditionalFormatting>
  <conditionalFormatting sqref="H25:H38">
    <cfRule type="expression" dxfId="993" priority="5">
      <formula>H25&gt;0</formula>
    </cfRule>
    <cfRule type="expression" dxfId="992" priority="6">
      <formula>H25&lt;0</formula>
    </cfRule>
  </conditionalFormatting>
  <conditionalFormatting sqref="Q7">
    <cfRule type="expression" dxfId="991" priority="3">
      <formula>Q7&gt;0</formula>
    </cfRule>
    <cfRule type="expression" dxfId="990" priority="4">
      <formula>Q7&lt;0</formula>
    </cfRule>
  </conditionalFormatting>
  <conditionalFormatting sqref="Q8">
    <cfRule type="expression" dxfId="989" priority="1">
      <formula>Q8&gt;0</formula>
    </cfRule>
    <cfRule type="expression" dxfId="9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815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433.66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433.66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6" t="s">
        <v>78</v>
      </c>
      <c r="P14" s="856"/>
      <c r="W14" s="134"/>
    </row>
    <row r="15" spans="1:23" ht="15.75" thickTop="1" x14ac:dyDescent="0.25">
      <c r="H15" s="70"/>
      <c r="O15" s="81">
        <v>1.1000000000000001</v>
      </c>
      <c r="P15" s="81">
        <f>O15*$Q$4</f>
        <v>477.02600000000007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472.68940000000003</v>
      </c>
      <c r="W16" s="134"/>
    </row>
    <row r="17" spans="1:23" x14ac:dyDescent="0.25">
      <c r="O17" s="81">
        <v>1.08</v>
      </c>
      <c r="P17" s="81">
        <f t="shared" si="0"/>
        <v>468.35280000000006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464.01620000000003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459.67960000000005</v>
      </c>
      <c r="W19" s="134"/>
    </row>
    <row r="20" spans="1:23" x14ac:dyDescent="0.25">
      <c r="O20" s="81">
        <v>1.05</v>
      </c>
      <c r="P20" s="81">
        <f t="shared" si="0"/>
        <v>455.34300000000002</v>
      </c>
      <c r="W20" s="134"/>
    </row>
    <row r="21" spans="1:23" x14ac:dyDescent="0.25">
      <c r="O21" s="81">
        <v>1.04</v>
      </c>
      <c r="P21" s="81">
        <f t="shared" si="0"/>
        <v>451.00640000000004</v>
      </c>
      <c r="W21" s="134"/>
    </row>
    <row r="22" spans="1:23" x14ac:dyDescent="0.25">
      <c r="O22" s="81">
        <v>1.03</v>
      </c>
      <c r="P22" s="81">
        <f t="shared" si="0"/>
        <v>446.66980000000001</v>
      </c>
      <c r="W22" s="134"/>
    </row>
    <row r="23" spans="1:23" x14ac:dyDescent="0.25">
      <c r="O23" s="81">
        <v>1.02</v>
      </c>
      <c r="P23" s="81">
        <f t="shared" si="0"/>
        <v>442.33320000000003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178</v>
      </c>
      <c r="L24" s="220"/>
      <c r="O24" s="81">
        <v>1.01</v>
      </c>
      <c r="P24" s="81">
        <f t="shared" si="0"/>
        <v>437.9966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433.66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429.32340000000005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424.98680000000002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420.65020000000004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416.31360000000001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411.97700000000003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407.6404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403.30380000000002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398.96720000000005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394.63060000000002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390.29400000000004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87" priority="29">
      <formula>F29&gt;0</formula>
    </cfRule>
    <cfRule type="expression" dxfId="986" priority="30">
      <formula>F29&lt;0</formula>
    </cfRule>
  </conditionalFormatting>
  <conditionalFormatting sqref="Q7">
    <cfRule type="expression" dxfId="985" priority="27">
      <formula>Q7&gt;0</formula>
    </cfRule>
    <cfRule type="expression" dxfId="984" priority="28">
      <formula>Q7&lt;0</formula>
    </cfRule>
  </conditionalFormatting>
  <conditionalFormatting sqref="Q8">
    <cfRule type="expression" dxfId="983" priority="25">
      <formula>Q8&gt;0</formula>
    </cfRule>
    <cfRule type="expression" dxfId="982" priority="26">
      <formula>Q8&lt;0</formula>
    </cfRule>
  </conditionalFormatting>
  <conditionalFormatting sqref="F96:F110">
    <cfRule type="expression" dxfId="981" priority="19">
      <formula>F96&gt;0</formula>
    </cfRule>
    <cfRule type="expression" dxfId="980" priority="20">
      <formula>F96&lt;0</formula>
    </cfRule>
  </conditionalFormatting>
  <conditionalFormatting sqref="H96:H110">
    <cfRule type="expression" dxfId="979" priority="17">
      <formula>H96&gt;0</formula>
    </cfRule>
    <cfRule type="expression" dxfId="978" priority="18">
      <formula>H96&lt;0</formula>
    </cfRule>
  </conditionalFormatting>
  <conditionalFormatting sqref="Q10">
    <cfRule type="expression" dxfId="977" priority="15">
      <formula>Q10&gt;0</formula>
    </cfRule>
    <cfRule type="expression" dxfId="976" priority="16">
      <formula>Q10&lt;0</formula>
    </cfRule>
  </conditionalFormatting>
  <conditionalFormatting sqref="L29:L38">
    <cfRule type="expression" dxfId="975" priority="9">
      <formula>L29&gt;0</formula>
    </cfRule>
    <cfRule type="expression" dxfId="974" priority="10">
      <formula>L29&lt;0</formula>
    </cfRule>
  </conditionalFormatting>
  <conditionalFormatting sqref="F27:F29 H27:H29 J25:K29">
    <cfRule type="expression" dxfId="973" priority="7">
      <formula>F25&gt;0</formula>
    </cfRule>
    <cfRule type="expression" dxfId="972" priority="8">
      <formula>F25&lt;0</formula>
    </cfRule>
  </conditionalFormatting>
  <conditionalFormatting sqref="L25:L29">
    <cfRule type="expression" dxfId="971" priority="5">
      <formula>L25&gt;0</formula>
    </cfRule>
    <cfRule type="expression" dxfId="970" priority="6">
      <formula>L25&lt;0</formula>
    </cfRule>
  </conditionalFormatting>
  <conditionalFormatting sqref="F25:F26">
    <cfRule type="expression" dxfId="969" priority="3">
      <formula>F25&gt;0</formula>
    </cfRule>
    <cfRule type="expression" dxfId="968" priority="4">
      <formula>F25&lt;0</formula>
    </cfRule>
  </conditionalFormatting>
  <conditionalFormatting sqref="H25:H26">
    <cfRule type="expression" dxfId="967" priority="1">
      <formula>H25&gt;0</formula>
    </cfRule>
    <cfRule type="expression" dxfId="96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4">
        <v>43105</v>
      </c>
      <c r="C2" s="7">
        <v>40</v>
      </c>
      <c r="D2" s="43">
        <v>90.08</v>
      </c>
      <c r="E2" s="43">
        <v>0</v>
      </c>
      <c r="F2" s="4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876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99.61</v>
      </c>
      <c r="T3" s="1">
        <v>43114</v>
      </c>
      <c r="U3" t="s">
        <v>877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99.61</v>
      </c>
      <c r="R4" s="495">
        <v>2.5999999999999999E-3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894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910.92000000000189</v>
      </c>
      <c r="R7">
        <v>0</v>
      </c>
      <c r="T7" s="1">
        <v>43138</v>
      </c>
      <c r="U7" t="s">
        <v>975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910.92000000000189</v>
      </c>
      <c r="T8" s="1"/>
      <c r="U8" t="s">
        <v>976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977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979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2.2889268145768495E-2</v>
      </c>
      <c r="R11">
        <f>0.57</f>
        <v>0.56999999999999995</v>
      </c>
      <c r="W11" s="134"/>
    </row>
    <row r="12" spans="1:23" x14ac:dyDescent="0.25">
      <c r="H12" s="70"/>
      <c r="O12" s="11" t="s">
        <v>938</v>
      </c>
      <c r="Q12" s="1" t="s">
        <v>1204</v>
      </c>
      <c r="W12" s="134"/>
    </row>
    <row r="13" spans="1:23" x14ac:dyDescent="0.25">
      <c r="H13" s="70"/>
      <c r="O13" s="11" t="s">
        <v>965</v>
      </c>
      <c r="Q13" s="2">
        <f>Q4/4.76</f>
        <v>20.926470588235293</v>
      </c>
      <c r="T13" s="1">
        <v>43213</v>
      </c>
      <c r="U13" t="s">
        <v>978</v>
      </c>
      <c r="W13" s="134"/>
    </row>
    <row r="14" spans="1:23" x14ac:dyDescent="0.25">
      <c r="H14" s="70"/>
      <c r="U14" t="s">
        <v>1017</v>
      </c>
      <c r="W14" s="134"/>
    </row>
    <row r="15" spans="1:23" x14ac:dyDescent="0.25">
      <c r="H15" s="70"/>
      <c r="U15" t="s">
        <v>1018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1086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6" t="s">
        <v>78</v>
      </c>
      <c r="P18" s="856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109.57100000000001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108.57490000000001</v>
      </c>
      <c r="T20" s="1">
        <v>43304</v>
      </c>
      <c r="U20" s="475" t="s">
        <v>1224</v>
      </c>
      <c r="W20" s="134"/>
    </row>
    <row r="21" spans="1:23" x14ac:dyDescent="0.25">
      <c r="O21" s="81">
        <v>1.08</v>
      </c>
      <c r="P21" s="81">
        <f t="shared" si="0"/>
        <v>107.5788</v>
      </c>
      <c r="W21" s="134"/>
    </row>
    <row r="22" spans="1:23" x14ac:dyDescent="0.25">
      <c r="O22" s="81">
        <v>1.07</v>
      </c>
      <c r="P22" s="81">
        <f t="shared" si="0"/>
        <v>106.5827</v>
      </c>
      <c r="T22" s="156">
        <v>43306</v>
      </c>
      <c r="U22" t="s">
        <v>1225</v>
      </c>
      <c r="W22" s="134"/>
    </row>
    <row r="23" spans="1:23" x14ac:dyDescent="0.25">
      <c r="O23" s="81">
        <v>1.06</v>
      </c>
      <c r="P23" s="81">
        <f t="shared" si="0"/>
        <v>105.5866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965</v>
      </c>
      <c r="L24" s="220"/>
      <c r="O24" s="81">
        <v>1.05</v>
      </c>
      <c r="P24" s="81">
        <f t="shared" si="0"/>
        <v>104.59050000000001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40" si="1">C25*(E25-D25)</f>
        <v>93.199999999999932</v>
      </c>
      <c r="G25" s="39">
        <f t="shared" ref="G25:G41" si="2">D25*C25</f>
        <v>3603.2</v>
      </c>
      <c r="H25" s="222">
        <f t="shared" ref="H25:H41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103.59440000000001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102.59830000000001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101.6022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100.6061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99.61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98.613900000000001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97.617800000000003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96.62169999999999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95.625599999999991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94.629499999999993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93.633399999999995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92.63730000000001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91.641199999999998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90.645099999999999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89.649000000000001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1"/>
        <v>454.00000000000034</v>
      </c>
      <c r="G40" s="39">
        <f t="shared" si="2"/>
        <v>3303.2</v>
      </c>
      <c r="H40" s="222">
        <f t="shared" si="3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105.35</v>
      </c>
      <c r="E41" s="39">
        <v>105.35</v>
      </c>
      <c r="F41" s="39">
        <v>910.92</v>
      </c>
      <c r="G41" s="39">
        <f t="shared" si="2"/>
        <v>0</v>
      </c>
      <c r="H41" s="222">
        <f t="shared" si="3"/>
        <v>0</v>
      </c>
      <c r="I41" s="39"/>
      <c r="J41" s="39"/>
      <c r="K41" s="39">
        <v>22.13</v>
      </c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5" priority="25">
      <formula>F47&gt;0</formula>
    </cfRule>
    <cfRule type="expression" dxfId="964" priority="26">
      <formula>F47&lt;0</formula>
    </cfRule>
  </conditionalFormatting>
  <conditionalFormatting sqref="Q7">
    <cfRule type="expression" dxfId="963" priority="23">
      <formula>Q7&gt;0</formula>
    </cfRule>
    <cfRule type="expression" dxfId="962" priority="24">
      <formula>Q7&lt;0</formula>
    </cfRule>
  </conditionalFormatting>
  <conditionalFormatting sqref="Q8">
    <cfRule type="expression" dxfId="961" priority="21">
      <formula>Q8&gt;0</formula>
    </cfRule>
    <cfRule type="expression" dxfId="960" priority="22">
      <formula>Q8&lt;0</formula>
    </cfRule>
  </conditionalFormatting>
  <conditionalFormatting sqref="F25:F29 F34:F46">
    <cfRule type="expression" dxfId="959" priority="19">
      <formula>F25&gt;0</formula>
    </cfRule>
    <cfRule type="expression" dxfId="958" priority="20">
      <formula>F25&lt;0</formula>
    </cfRule>
  </conditionalFormatting>
  <conditionalFormatting sqref="H25:H29 H34:H46">
    <cfRule type="expression" dxfId="957" priority="17">
      <formula>H25&gt;0</formula>
    </cfRule>
    <cfRule type="expression" dxfId="956" priority="18">
      <formula>H25&lt;0</formula>
    </cfRule>
  </conditionalFormatting>
  <conditionalFormatting sqref="F89:F110">
    <cfRule type="expression" dxfId="955" priority="15">
      <formula>F89&gt;0</formula>
    </cfRule>
    <cfRule type="expression" dxfId="954" priority="16">
      <formula>F89&lt;0</formula>
    </cfRule>
  </conditionalFormatting>
  <conditionalFormatting sqref="H89:H110">
    <cfRule type="expression" dxfId="953" priority="13">
      <formula>H89&gt;0</formula>
    </cfRule>
    <cfRule type="expression" dxfId="952" priority="14">
      <formula>H89&lt;0</formula>
    </cfRule>
  </conditionalFormatting>
  <conditionalFormatting sqref="Q10">
    <cfRule type="expression" dxfId="951" priority="11">
      <formula>Q10&gt;0</formula>
    </cfRule>
    <cfRule type="expression" dxfId="950" priority="12">
      <formula>Q10&lt;0</formula>
    </cfRule>
  </conditionalFormatting>
  <conditionalFormatting sqref="J25:J32 J34:J38">
    <cfRule type="expression" dxfId="949" priority="9">
      <formula>J25&gt;0</formula>
    </cfRule>
    <cfRule type="expression" dxfId="948" priority="10">
      <formula>J25&lt;0</formula>
    </cfRule>
  </conditionalFormatting>
  <conditionalFormatting sqref="K25:K30">
    <cfRule type="expression" dxfId="947" priority="7">
      <formula>K25&gt;0</formula>
    </cfRule>
    <cfRule type="expression" dxfId="946" priority="8">
      <formula>K25&lt;0</formula>
    </cfRule>
  </conditionalFormatting>
  <conditionalFormatting sqref="L25:L38">
    <cfRule type="expression" dxfId="945" priority="5">
      <formula>L25&gt;0</formula>
    </cfRule>
    <cfRule type="expression" dxfId="944" priority="6">
      <formula>L25&lt;0</formula>
    </cfRule>
  </conditionalFormatting>
  <conditionalFormatting sqref="F30:F33">
    <cfRule type="expression" dxfId="943" priority="3">
      <formula>F30&gt;0</formula>
    </cfRule>
    <cfRule type="expression" dxfId="942" priority="4">
      <formula>F30&lt;0</formula>
    </cfRule>
  </conditionalFormatting>
  <conditionalFormatting sqref="H30:H33">
    <cfRule type="expression" dxfId="941" priority="1">
      <formula>H30&gt;0</formula>
    </cfRule>
    <cfRule type="expression" dxfId="940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725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1012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79.41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79.41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805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804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808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806</v>
      </c>
      <c r="W9" s="134"/>
    </row>
    <row r="10" spans="1:23" x14ac:dyDescent="0.25">
      <c r="H10" s="70"/>
      <c r="O10" s="11" t="s">
        <v>206</v>
      </c>
      <c r="P10" s="33"/>
      <c r="Q10" s="2">
        <f>M41</f>
        <v>459.31999999999971</v>
      </c>
      <c r="U10" t="s">
        <v>807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938</v>
      </c>
      <c r="Q12" s="1"/>
      <c r="T12" s="1">
        <v>43114</v>
      </c>
      <c r="U12" t="s">
        <v>858</v>
      </c>
      <c r="W12" s="134"/>
    </row>
    <row r="13" spans="1:23" x14ac:dyDescent="0.25">
      <c r="H13" s="70"/>
      <c r="O13" s="11" t="s">
        <v>965</v>
      </c>
      <c r="Q13" s="2">
        <f>Q4/(4.03+4.14)*2</f>
        <v>19.439412484700121</v>
      </c>
      <c r="U13" t="s">
        <v>859</v>
      </c>
      <c r="W13" s="134"/>
    </row>
    <row r="14" spans="1:23" x14ac:dyDescent="0.25">
      <c r="H14" s="70"/>
      <c r="U14" t="s">
        <v>861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6" t="s">
        <v>78</v>
      </c>
      <c r="P16" s="856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87.350999999999999</v>
      </c>
      <c r="Q17" s="2"/>
      <c r="U17" t="s">
        <v>964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86.556899999999999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85.762799999999999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84.968699999999998</v>
      </c>
      <c r="Q20" s="2"/>
      <c r="W20" s="134"/>
    </row>
    <row r="21" spans="1:23" x14ac:dyDescent="0.25">
      <c r="O21" s="81">
        <v>1.06</v>
      </c>
      <c r="P21" s="81">
        <f t="shared" si="0"/>
        <v>84.174599999999998</v>
      </c>
      <c r="Q21" s="2"/>
      <c r="T21" s="1">
        <v>43283</v>
      </c>
      <c r="U21" t="s">
        <v>1142</v>
      </c>
      <c r="W21" s="134"/>
    </row>
    <row r="22" spans="1:23" x14ac:dyDescent="0.25">
      <c r="O22" s="81">
        <v>1.05</v>
      </c>
      <c r="P22" s="81">
        <f t="shared" si="0"/>
        <v>83.380499999999998</v>
      </c>
      <c r="Q22" s="2"/>
      <c r="W22" s="134"/>
    </row>
    <row r="23" spans="1:23" x14ac:dyDescent="0.25">
      <c r="O23" s="81">
        <v>1.04</v>
      </c>
      <c r="P23" s="81">
        <f t="shared" si="0"/>
        <v>82.586399999999998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M24" s="220" t="s">
        <v>150</v>
      </c>
      <c r="O24" s="81">
        <v>1.03</v>
      </c>
      <c r="P24" s="81">
        <f t="shared" si="0"/>
        <v>81.792299999999997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80.998199999999997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80.204099999999997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79.41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78.615899999999996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77.821799999999996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77.027699999999996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76.233599999999996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75.439499999999995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74.645399999999995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73.851299999999995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73.057199999999995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72.263099999999994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71.468999999999994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725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494</v>
      </c>
      <c r="K64" s="488"/>
      <c r="L64" s="488" t="s">
        <v>965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860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885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908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39" priority="49">
      <formula>Q7&gt;0</formula>
    </cfRule>
    <cfRule type="expression" dxfId="938" priority="50">
      <formula>Q7&lt;0</formula>
    </cfRule>
  </conditionalFormatting>
  <conditionalFormatting sqref="Q8">
    <cfRule type="expression" dxfId="937" priority="47">
      <formula>Q8&gt;0</formula>
    </cfRule>
    <cfRule type="expression" dxfId="936" priority="48">
      <formula>Q8&lt;0</formula>
    </cfRule>
  </conditionalFormatting>
  <conditionalFormatting sqref="F26:F38">
    <cfRule type="expression" dxfId="935" priority="45">
      <formula>F26&gt;0</formula>
    </cfRule>
    <cfRule type="expression" dxfId="934" priority="46">
      <formula>F26&lt;0</formula>
    </cfRule>
  </conditionalFormatting>
  <conditionalFormatting sqref="H26:H38">
    <cfRule type="expression" dxfId="933" priority="43">
      <formula>H26&gt;0</formula>
    </cfRule>
    <cfRule type="expression" dxfId="932" priority="44">
      <formula>H26&lt;0</formula>
    </cfRule>
  </conditionalFormatting>
  <conditionalFormatting sqref="H25">
    <cfRule type="expression" dxfId="931" priority="23">
      <formula>H25&gt;0</formula>
    </cfRule>
    <cfRule type="expression" dxfId="930" priority="24">
      <formula>H25&lt;0</formula>
    </cfRule>
  </conditionalFormatting>
  <conditionalFormatting sqref="Q10">
    <cfRule type="expression" dxfId="929" priority="37">
      <formula>Q10&gt;0</formula>
    </cfRule>
    <cfRule type="expression" dxfId="928" priority="38">
      <formula>Q10&lt;0</formula>
    </cfRule>
  </conditionalFormatting>
  <conditionalFormatting sqref="F25">
    <cfRule type="expression" dxfId="927" priority="25">
      <formula>F25&gt;0</formula>
    </cfRule>
    <cfRule type="expression" dxfId="926" priority="26">
      <formula>F25&lt;0</formula>
    </cfRule>
  </conditionalFormatting>
  <conditionalFormatting sqref="J65:K72">
    <cfRule type="expression" dxfId="925" priority="19">
      <formula>J65&gt;0</formula>
    </cfRule>
    <cfRule type="expression" dxfId="924" priority="20">
      <formula>J65&lt;0</formula>
    </cfRule>
  </conditionalFormatting>
  <conditionalFormatting sqref="F65:F83 F89">
    <cfRule type="expression" dxfId="923" priority="17">
      <formula>F65&gt;0</formula>
    </cfRule>
    <cfRule type="expression" dxfId="922" priority="18">
      <formula>F65&lt;0</formula>
    </cfRule>
  </conditionalFormatting>
  <conditionalFormatting sqref="H65:H83 H89">
    <cfRule type="expression" dxfId="921" priority="15">
      <formula>H65&gt;0</formula>
    </cfRule>
    <cfRule type="expression" dxfId="920" priority="16">
      <formula>H65&lt;0</formula>
    </cfRule>
  </conditionalFormatting>
  <conditionalFormatting sqref="J76:J78">
    <cfRule type="expression" dxfId="919" priority="13">
      <formula>J76&gt;0</formula>
    </cfRule>
    <cfRule type="expression" dxfId="918" priority="14">
      <formula>J76&lt;0</formula>
    </cfRule>
  </conditionalFormatting>
  <conditionalFormatting sqref="K76:K78">
    <cfRule type="expression" dxfId="917" priority="11">
      <formula>K76&gt;0</formula>
    </cfRule>
    <cfRule type="expression" dxfId="916" priority="12">
      <formula>K76&lt;0</formula>
    </cfRule>
  </conditionalFormatting>
  <conditionalFormatting sqref="L65:L78">
    <cfRule type="expression" dxfId="915" priority="9">
      <formula>L65&gt;0</formula>
    </cfRule>
    <cfRule type="expression" dxfId="914" priority="10">
      <formula>L65&lt;0</formula>
    </cfRule>
  </conditionalFormatting>
  <conditionalFormatting sqref="F84:F88">
    <cfRule type="expression" dxfId="913" priority="7">
      <formula>F84&gt;0</formula>
    </cfRule>
    <cfRule type="expression" dxfId="912" priority="8">
      <formula>F84&lt;0</formula>
    </cfRule>
  </conditionalFormatting>
  <conditionalFormatting sqref="H84:H88">
    <cfRule type="expression" dxfId="911" priority="5">
      <formula>H84&gt;0</formula>
    </cfRule>
    <cfRule type="expression" dxfId="910" priority="6">
      <formula>H84&lt;0</formula>
    </cfRule>
  </conditionalFormatting>
  <conditionalFormatting sqref="M65:M78">
    <cfRule type="expression" dxfId="909" priority="3">
      <formula>M65&gt;0</formula>
    </cfRule>
    <cfRule type="expression" dxfId="908" priority="4">
      <formula>M65&lt;0</formula>
    </cfRule>
  </conditionalFormatting>
  <conditionalFormatting sqref="M26:M31">
    <cfRule type="expression" dxfId="907" priority="1">
      <formula>M26&gt;0</formula>
    </cfRule>
    <cfRule type="expression" dxfId="90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816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216</v>
      </c>
      <c r="AJ2">
        <f>$Q$2*$Q$4</f>
        <v>9600</v>
      </c>
      <c r="AK2">
        <f ca="1">AJ2*EXP(-$X$2 * AI2/365.25)</f>
        <v>18182.306121934529</v>
      </c>
      <c r="AM2" s="2">
        <f>Q10</f>
        <v>0</v>
      </c>
      <c r="AO2">
        <f ca="1" xml:space="preserve"> (SUM(AB:AB) - SUM(AE:AE) - SUM(AH:AH) - SUM(AK:AK))/SUM(AB:AB)</f>
        <v>-0.40059726868865619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30.191849999999985</v>
      </c>
      <c r="U3" t="s">
        <v>1010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216</v>
      </c>
      <c r="AJ3">
        <f t="shared" ref="AJ3:AJ17" si="11">$Q$2*$Q$4</f>
        <v>9600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</v>
      </c>
      <c r="R4" s="495">
        <v>-8.6999999999999994E-3</v>
      </c>
      <c r="U4" t="s">
        <v>1011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216</v>
      </c>
      <c r="AJ4">
        <f t="shared" si="11"/>
        <v>9600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9600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216</v>
      </c>
      <c r="AJ5">
        <f t="shared" si="11"/>
        <v>9600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12076.739999999994</v>
      </c>
      <c r="T6" s="1">
        <v>43032</v>
      </c>
      <c r="U6" t="s">
        <v>875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216</v>
      </c>
      <c r="AJ6">
        <f t="shared" si="11"/>
        <v>9600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-2476.7399999999943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216</v>
      </c>
      <c r="AJ7">
        <f t="shared" si="11"/>
        <v>9600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-2476.7399999999943</v>
      </c>
      <c r="T8" s="1">
        <v>43121</v>
      </c>
      <c r="U8" t="s">
        <v>893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216</v>
      </c>
      <c r="AJ8">
        <f t="shared" si="11"/>
        <v>9600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207</v>
      </c>
      <c r="Q9" s="134">
        <f>IF(Q2=0, 0, Q8/Q6)</f>
        <v>-0.20508349107457771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216</v>
      </c>
      <c r="AJ9">
        <f t="shared" si="11"/>
        <v>9600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206</v>
      </c>
      <c r="P10" s="33"/>
      <c r="Q10" s="2">
        <f>M78</f>
        <v>0</v>
      </c>
      <c r="T10" s="1">
        <v>43160</v>
      </c>
      <c r="U10" t="s">
        <v>966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216</v>
      </c>
      <c r="AJ10">
        <f t="shared" si="11"/>
        <v>9600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4.3333333333333335E-2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216</v>
      </c>
      <c r="AJ11">
        <f t="shared" si="11"/>
        <v>9600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938</v>
      </c>
      <c r="Q12" s="1" t="s">
        <v>1202</v>
      </c>
      <c r="T12" s="1">
        <v>43223</v>
      </c>
      <c r="U12" t="s">
        <v>1050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216</v>
      </c>
      <c r="AJ12">
        <f t="shared" si="11"/>
        <v>9600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965</v>
      </c>
      <c r="Q13">
        <f>Q4/(1.65+1.75)*2</f>
        <v>14.117647058823529</v>
      </c>
      <c r="U13" t="s">
        <v>1051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216</v>
      </c>
      <c r="AJ13">
        <f t="shared" si="11"/>
        <v>9600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1102</v>
      </c>
      <c r="Q14" s="821">
        <v>-1.08</v>
      </c>
      <c r="U14" t="s">
        <v>1052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216</v>
      </c>
      <c r="AJ14">
        <f t="shared" si="11"/>
        <v>9600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1053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216</v>
      </c>
      <c r="AJ15">
        <f t="shared" si="11"/>
        <v>9600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1064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216</v>
      </c>
      <c r="AJ16">
        <f t="shared" si="11"/>
        <v>9600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216</v>
      </c>
      <c r="AJ17">
        <f t="shared" si="11"/>
        <v>9600</v>
      </c>
      <c r="AM17" s="2"/>
    </row>
    <row r="18" spans="1:39" ht="20.25" thickBot="1" x14ac:dyDescent="0.35">
      <c r="C18" s="4"/>
      <c r="D18" s="3"/>
      <c r="E18" s="3"/>
      <c r="F18" s="3"/>
      <c r="H18" s="70"/>
      <c r="O18" s="856" t="s">
        <v>78</v>
      </c>
      <c r="P18" s="856"/>
      <c r="T18" s="1">
        <v>43236</v>
      </c>
      <c r="U18" t="s">
        <v>1078</v>
      </c>
      <c r="W18" s="134"/>
    </row>
    <row r="19" spans="1:39" ht="15.75" thickTop="1" x14ac:dyDescent="0.25">
      <c r="O19" s="81">
        <v>1.1000000000000001</v>
      </c>
      <c r="P19" s="81">
        <f>O19*$Q$4</f>
        <v>26.400000000000002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26.160000000000004</v>
      </c>
      <c r="T20" s="1">
        <v>43244</v>
      </c>
      <c r="U20" t="s">
        <v>1092</v>
      </c>
      <c r="W20" s="134"/>
    </row>
    <row r="21" spans="1:39" x14ac:dyDescent="0.25">
      <c r="O21" s="81">
        <v>1.08</v>
      </c>
      <c r="P21" s="81">
        <f t="shared" si="13"/>
        <v>25.92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25.68</v>
      </c>
      <c r="T22" s="156">
        <v>43288</v>
      </c>
      <c r="U22" t="s">
        <v>1179</v>
      </c>
      <c r="W22" s="134"/>
    </row>
    <row r="23" spans="1:39" x14ac:dyDescent="0.25">
      <c r="O23" s="81">
        <v>1.06</v>
      </c>
      <c r="P23" s="81">
        <f t="shared" si="13"/>
        <v>25.44</v>
      </c>
      <c r="W23" s="134"/>
    </row>
    <row r="24" spans="1:39" x14ac:dyDescent="0.25">
      <c r="A24" s="31" t="s">
        <v>81</v>
      </c>
      <c r="B24" s="14"/>
      <c r="C24" s="14">
        <f>SUM(C2:C22)</f>
        <v>1397</v>
      </c>
      <c r="D24" s="18"/>
      <c r="E24" s="18"/>
      <c r="F24" s="18">
        <f>SUM(F2:F22)</f>
        <v>36575.699999999997</v>
      </c>
      <c r="G24" s="14"/>
      <c r="H24" s="71">
        <f>SUM(H2:H10)</f>
        <v>997</v>
      </c>
      <c r="I24" s="18"/>
      <c r="J24" s="18"/>
      <c r="K24" s="18">
        <f>SUM(K2:K10)</f>
        <v>24238.960000000003</v>
      </c>
      <c r="L24" s="14"/>
      <c r="M24" s="18">
        <f>SUM(M2:M10)</f>
        <v>260</v>
      </c>
      <c r="O24" s="81">
        <v>1.05</v>
      </c>
      <c r="P24" s="81">
        <f t="shared" si="13"/>
        <v>25.200000000000003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997</v>
      </c>
      <c r="D25" s="343"/>
      <c r="E25" s="343"/>
      <c r="F25" s="344">
        <f>SumByColor($A$25,F2:F23)</f>
        <v>22933</v>
      </c>
      <c r="G25" s="343"/>
      <c r="H25" s="343">
        <f>SumByColor($A$25,H2:H23)</f>
        <v>997</v>
      </c>
      <c r="I25" s="343"/>
      <c r="J25" s="343"/>
      <c r="K25" s="344">
        <f>SumByColor($A$25,K2:K23)</f>
        <v>24239</v>
      </c>
      <c r="L25" s="343"/>
      <c r="M25" s="344">
        <f>SumByColor($A$25,M2:M23)</f>
        <v>260</v>
      </c>
      <c r="O25" s="81">
        <v>1.04</v>
      </c>
      <c r="P25" s="81">
        <f t="shared" si="13"/>
        <v>24.96</v>
      </c>
      <c r="T25" s="156">
        <v>43318</v>
      </c>
      <c r="U25" t="s">
        <v>1185</v>
      </c>
      <c r="W25" s="134"/>
    </row>
    <row r="26" spans="1:39" x14ac:dyDescent="0.25">
      <c r="O26" s="81">
        <v>1.03</v>
      </c>
      <c r="P26" s="81">
        <f t="shared" si="13"/>
        <v>24.72</v>
      </c>
      <c r="W26" s="134"/>
    </row>
    <row r="27" spans="1:39" x14ac:dyDescent="0.25">
      <c r="O27" s="81">
        <v>1.02</v>
      </c>
      <c r="P27" s="81">
        <f t="shared" si="13"/>
        <v>24.48</v>
      </c>
      <c r="W27" s="134"/>
    </row>
    <row r="28" spans="1:39" x14ac:dyDescent="0.25">
      <c r="O28" s="81">
        <v>1.01</v>
      </c>
      <c r="P28" s="81">
        <f t="shared" si="13"/>
        <v>24.240000000000002</v>
      </c>
      <c r="W28" s="134"/>
    </row>
    <row r="29" spans="1:39" x14ac:dyDescent="0.25">
      <c r="O29" s="81">
        <v>1</v>
      </c>
      <c r="P29" s="81">
        <f t="shared" si="13"/>
        <v>24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494</v>
      </c>
      <c r="K30" s="220"/>
      <c r="L30" s="220" t="s">
        <v>965</v>
      </c>
      <c r="O30" s="81">
        <v>0.99</v>
      </c>
      <c r="P30" s="81">
        <f t="shared" si="13"/>
        <v>23.759999999999998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23.52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23.28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22.799999999999997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22.56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22.32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22.080000000000002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21.84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21.6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935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6" si="18">D42*C42</f>
        <v>13285.12</v>
      </c>
      <c r="H42" s="222">
        <f t="shared" ref="H42:H66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6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1129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766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816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05" priority="23">
      <formula>F31&gt;0</formula>
    </cfRule>
    <cfRule type="expression" dxfId="904" priority="24">
      <formula>F31&lt;0</formula>
    </cfRule>
  </conditionalFormatting>
  <conditionalFormatting sqref="Q7">
    <cfRule type="expression" dxfId="903" priority="21">
      <formula>Q7&gt;0</formula>
    </cfRule>
    <cfRule type="expression" dxfId="902" priority="22">
      <formula>Q7&lt;0</formula>
    </cfRule>
  </conditionalFormatting>
  <conditionalFormatting sqref="Q8">
    <cfRule type="expression" dxfId="901" priority="19">
      <formula>Q8&gt;0</formula>
    </cfRule>
    <cfRule type="expression" dxfId="900" priority="20">
      <formula>Q8&lt;0</formula>
    </cfRule>
  </conditionalFormatting>
  <conditionalFormatting sqref="F101:F122">
    <cfRule type="expression" dxfId="899" priority="13">
      <formula>F101&gt;0</formula>
    </cfRule>
    <cfRule type="expression" dxfId="898" priority="14">
      <formula>F101&lt;0</formula>
    </cfRule>
  </conditionalFormatting>
  <conditionalFormatting sqref="H101:H122">
    <cfRule type="expression" dxfId="897" priority="11">
      <formula>H101&gt;0</formula>
    </cfRule>
    <cfRule type="expression" dxfId="896" priority="12">
      <formula>H101&lt;0</formula>
    </cfRule>
  </conditionalFormatting>
  <conditionalFormatting sqref="Q10">
    <cfRule type="expression" dxfId="895" priority="9">
      <formula>Q10&gt;0</formula>
    </cfRule>
    <cfRule type="expression" dxfId="894" priority="10">
      <formula>Q10&lt;0</formula>
    </cfRule>
  </conditionalFormatting>
  <conditionalFormatting sqref="J31:J44">
    <cfRule type="expression" dxfId="893" priority="7">
      <formula>J31&gt;0</formula>
    </cfRule>
    <cfRule type="expression" dxfId="892" priority="8">
      <formula>J31&lt;0</formula>
    </cfRule>
  </conditionalFormatting>
  <conditionalFormatting sqref="K31:K44">
    <cfRule type="expression" dxfId="891" priority="5">
      <formula>K31&gt;0</formula>
    </cfRule>
    <cfRule type="expression" dxfId="890" priority="6">
      <formula>K31&lt;0</formula>
    </cfRule>
  </conditionalFormatting>
  <conditionalFormatting sqref="L31:L44">
    <cfRule type="expression" dxfId="889" priority="3">
      <formula>L31&gt;0</formula>
    </cfRule>
    <cfRule type="expression" dxfId="888" priority="4">
      <formula>L31&lt;0</formula>
    </cfRule>
  </conditionalFormatting>
  <conditionalFormatting sqref="H66:H72 F66:F72">
    <cfRule type="expression" dxfId="887" priority="1">
      <formula>F66&gt;0</formula>
    </cfRule>
    <cfRule type="expression" dxfId="886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238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52.79</v>
      </c>
      <c r="T3" s="1">
        <v>42621</v>
      </c>
      <c r="U3" s="33" t="s">
        <v>254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52.79</v>
      </c>
      <c r="R4" s="475">
        <v>2.63E-2</v>
      </c>
      <c r="T4" s="1">
        <v>42627</v>
      </c>
      <c r="U4" s="33" t="s">
        <v>254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321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460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514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207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206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58.069000000000003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57.5411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57.013200000000005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56.485300000000002</v>
      </c>
      <c r="Q28" s="2"/>
    </row>
    <row r="29" spans="1:32" x14ac:dyDescent="0.25">
      <c r="A29" s="10" t="s">
        <v>702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494</v>
      </c>
      <c r="K29" s="220" t="s">
        <v>462</v>
      </c>
      <c r="L29" s="220" t="s">
        <v>662</v>
      </c>
      <c r="M29" s="4"/>
      <c r="N29" s="4"/>
      <c r="O29" s="81">
        <v>1.06</v>
      </c>
      <c r="P29" s="81">
        <f t="shared" si="0"/>
        <v>55.9574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55.429500000000004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54.901600000000002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54.373699999999999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53.845799999999997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53.317900000000002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52.79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52.262099999999997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51.734200000000001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51.206299999999999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50.678399999999996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50.150499999999994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49.622599999999998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49.094700000000003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48.566800000000001</v>
      </c>
    </row>
    <row r="44" spans="1:32" x14ac:dyDescent="0.25">
      <c r="N44" s="4"/>
      <c r="O44" s="81">
        <v>0.91</v>
      </c>
      <c r="P44" s="81">
        <f t="shared" si="0"/>
        <v>48.038899999999998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47.511000000000003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286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226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259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287</v>
      </c>
      <c r="J168" s="578" t="s">
        <v>285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297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297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297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297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494</v>
      </c>
      <c r="K200" s="220" t="s">
        <v>462</v>
      </c>
      <c r="L200" s="220" t="s">
        <v>662</v>
      </c>
      <c r="M200" s="4"/>
    </row>
    <row r="201" spans="1:17" x14ac:dyDescent="0.25">
      <c r="A201" s="362" t="s">
        <v>340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347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348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349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370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385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410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415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428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428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446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252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308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5" priority="137">
      <formula>F30&gt;0</formula>
    </cfRule>
    <cfRule type="expression" dxfId="884" priority="138">
      <formula>F30&lt;0</formula>
    </cfRule>
  </conditionalFormatting>
  <conditionalFormatting sqref="H47:H58">
    <cfRule type="expression" dxfId="883" priority="129">
      <formula>H47&gt;0</formula>
    </cfRule>
    <cfRule type="expression" dxfId="882" priority="130">
      <formula>H47&lt;0</formula>
    </cfRule>
  </conditionalFormatting>
  <conditionalFormatting sqref="H59">
    <cfRule type="expression" dxfId="881" priority="119">
      <formula>H59&gt;0</formula>
    </cfRule>
    <cfRule type="expression" dxfId="880" priority="120">
      <formula>H59&lt;0</formula>
    </cfRule>
  </conditionalFormatting>
  <conditionalFormatting sqref="H60">
    <cfRule type="expression" dxfId="879" priority="115">
      <formula>H60&gt;0</formula>
    </cfRule>
    <cfRule type="expression" dxfId="878" priority="116">
      <formula>H60&lt;0</formula>
    </cfRule>
  </conditionalFormatting>
  <conditionalFormatting sqref="H61:H66">
    <cfRule type="expression" dxfId="877" priority="111">
      <formula>H61&gt;0</formula>
    </cfRule>
    <cfRule type="expression" dxfId="876" priority="112">
      <formula>H61&lt;0</formula>
    </cfRule>
  </conditionalFormatting>
  <conditionalFormatting sqref="Q8">
    <cfRule type="expression" dxfId="875" priority="95">
      <formula>Q8&gt;0</formula>
    </cfRule>
    <cfRule type="expression" dxfId="874" priority="96">
      <formula>Q8&lt;0</formula>
    </cfRule>
  </conditionalFormatting>
  <conditionalFormatting sqref="Q7">
    <cfRule type="expression" dxfId="873" priority="97">
      <formula>Q7&gt;0</formula>
    </cfRule>
    <cfRule type="expression" dxfId="872" priority="98">
      <formula>Q7&lt;0</formula>
    </cfRule>
  </conditionalFormatting>
  <conditionalFormatting sqref="F178 H178">
    <cfRule type="expression" dxfId="871" priority="93">
      <formula>F178&gt;0</formula>
    </cfRule>
    <cfRule type="expression" dxfId="870" priority="94">
      <formula>F178&lt;0</formula>
    </cfRule>
  </conditionalFormatting>
  <conditionalFormatting sqref="Q10">
    <cfRule type="expression" dxfId="869" priority="87">
      <formula>Q10&gt;0</formula>
    </cfRule>
    <cfRule type="expression" dxfId="868" priority="88">
      <formula>Q10&lt;0</formula>
    </cfRule>
  </conditionalFormatting>
  <conditionalFormatting sqref="Q9">
    <cfRule type="expression" dxfId="867" priority="81">
      <formula>Q9&gt;0</formula>
    </cfRule>
    <cfRule type="expression" dxfId="866" priority="82">
      <formula>Q9&lt;0</formula>
    </cfRule>
  </conditionalFormatting>
  <conditionalFormatting sqref="F201:F248">
    <cfRule type="expression" dxfId="865" priority="41">
      <formula>F201&gt;0</formula>
    </cfRule>
    <cfRule type="expression" dxfId="864" priority="42">
      <formula>F201&lt;0</formula>
    </cfRule>
  </conditionalFormatting>
  <conditionalFormatting sqref="H201:H248">
    <cfRule type="expression" dxfId="863" priority="39">
      <formula>H201&gt;0</formula>
    </cfRule>
    <cfRule type="expression" dxfId="862" priority="40">
      <formula>H201&lt;0</formula>
    </cfRule>
  </conditionalFormatting>
  <conditionalFormatting sqref="J208">
    <cfRule type="expression" dxfId="861" priority="37">
      <formula>J208&gt;0</formula>
    </cfRule>
    <cfRule type="expression" dxfId="860" priority="38">
      <formula>J208&lt;0</formula>
    </cfRule>
  </conditionalFormatting>
  <conditionalFormatting sqref="J214:J215">
    <cfRule type="expression" dxfId="859" priority="35">
      <formula>J214&gt;0</formula>
    </cfRule>
    <cfRule type="expression" dxfId="858" priority="36">
      <formula>J214&lt;0</formula>
    </cfRule>
  </conditionalFormatting>
  <conditionalFormatting sqref="J216">
    <cfRule type="expression" dxfId="857" priority="33">
      <formula>J216&gt;0</formula>
    </cfRule>
    <cfRule type="expression" dxfId="856" priority="34">
      <formula>J216&lt;0</formula>
    </cfRule>
  </conditionalFormatting>
  <conditionalFormatting sqref="J217:J219 J221:J224">
    <cfRule type="expression" dxfId="855" priority="31">
      <formula>J217&gt;0</formula>
    </cfRule>
    <cfRule type="expression" dxfId="854" priority="32">
      <formula>J217&lt;0</formula>
    </cfRule>
  </conditionalFormatting>
  <conditionalFormatting sqref="K208">
    <cfRule type="expression" dxfId="853" priority="29">
      <formula>K208&gt;0</formula>
    </cfRule>
    <cfRule type="expression" dxfId="852" priority="30">
      <formula>K208&lt;0</formula>
    </cfRule>
  </conditionalFormatting>
  <conditionalFormatting sqref="K214:K215">
    <cfRule type="expression" dxfId="851" priority="27">
      <formula>K214&gt;0</formula>
    </cfRule>
    <cfRule type="expression" dxfId="850" priority="28">
      <formula>K214&lt;0</formula>
    </cfRule>
  </conditionalFormatting>
  <conditionalFormatting sqref="K216">
    <cfRule type="expression" dxfId="849" priority="25">
      <formula>K216&gt;0</formula>
    </cfRule>
    <cfRule type="expression" dxfId="848" priority="26">
      <formula>K216&lt;0</formula>
    </cfRule>
  </conditionalFormatting>
  <conditionalFormatting sqref="K217:K224">
    <cfRule type="expression" dxfId="847" priority="23">
      <formula>K217&gt;0</formula>
    </cfRule>
    <cfRule type="expression" dxfId="846" priority="24">
      <formula>K217&lt;0</formula>
    </cfRule>
  </conditionalFormatting>
  <conditionalFormatting sqref="L208">
    <cfRule type="expression" dxfId="845" priority="21">
      <formula>L208&gt;0</formula>
    </cfRule>
    <cfRule type="expression" dxfId="844" priority="22">
      <formula>L208&lt;0</formula>
    </cfRule>
  </conditionalFormatting>
  <conditionalFormatting sqref="L214:L215">
    <cfRule type="expression" dxfId="843" priority="19">
      <formula>L214&gt;0</formula>
    </cfRule>
    <cfRule type="expression" dxfId="842" priority="20">
      <formula>L214&lt;0</formula>
    </cfRule>
  </conditionalFormatting>
  <conditionalFormatting sqref="L216">
    <cfRule type="expression" dxfId="841" priority="17">
      <formula>L216&gt;0</formula>
    </cfRule>
    <cfRule type="expression" dxfId="840" priority="18">
      <formula>L216&lt;0</formula>
    </cfRule>
  </conditionalFormatting>
  <conditionalFormatting sqref="L217:L224">
    <cfRule type="expression" dxfId="839" priority="15">
      <formula>L217&gt;0</formula>
    </cfRule>
    <cfRule type="expression" dxfId="838" priority="16">
      <formula>L217&lt;0</formula>
    </cfRule>
  </conditionalFormatting>
  <conditionalFormatting sqref="K225">
    <cfRule type="expression" dxfId="837" priority="13">
      <formula>K225&gt;0</formula>
    </cfRule>
    <cfRule type="expression" dxfId="836" priority="14">
      <formula>K225&lt;0</formula>
    </cfRule>
  </conditionalFormatting>
  <conditionalFormatting sqref="L225:L232">
    <cfRule type="expression" dxfId="835" priority="11">
      <formula>L225&gt;0</formula>
    </cfRule>
    <cfRule type="expression" dxfId="834" priority="12">
      <formula>L225&lt;0</formula>
    </cfRule>
  </conditionalFormatting>
  <conditionalFormatting sqref="K226">
    <cfRule type="expression" dxfId="833" priority="9">
      <formula>K226&gt;0</formula>
    </cfRule>
    <cfRule type="expression" dxfId="832" priority="10">
      <formula>K226&lt;0</formula>
    </cfRule>
  </conditionalFormatting>
  <conditionalFormatting sqref="K227">
    <cfRule type="expression" dxfId="831" priority="7">
      <formula>K227&gt;0</formula>
    </cfRule>
    <cfRule type="expression" dxfId="830" priority="8">
      <formula>K227&lt;0</formula>
    </cfRule>
  </conditionalFormatting>
  <conditionalFormatting sqref="K228:K248">
    <cfRule type="expression" dxfId="829" priority="5">
      <formula>K228&gt;0</formula>
    </cfRule>
    <cfRule type="expression" dxfId="828" priority="6">
      <formula>K228&lt;0</formula>
    </cfRule>
  </conditionalFormatting>
  <conditionalFormatting sqref="L233:L237">
    <cfRule type="expression" dxfId="827" priority="3">
      <formula>L233&gt;0</formula>
    </cfRule>
    <cfRule type="expression" dxfId="826" priority="4">
      <formula>L233&lt;0</formula>
    </cfRule>
  </conditionalFormatting>
  <conditionalFormatting sqref="L238:L243">
    <cfRule type="expression" dxfId="825" priority="1">
      <formula>L238&gt;0</formula>
    </cfRule>
    <cfRule type="expression" dxfId="82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53.73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53.73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207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206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206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302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6" t="s">
        <v>78</v>
      </c>
      <c r="P40" s="85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59.103000000000002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58.5657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58.028399999999998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57.491100000000003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56.953800000000001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56.416499999999999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55.879199999999997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55.341899999999995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54.804600000000001</v>
      </c>
      <c r="Q49" s="2"/>
      <c r="T49" s="85" t="s">
        <v>103</v>
      </c>
      <c r="U49" s="87" t="s">
        <v>388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54.267299999999999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53.73</v>
      </c>
      <c r="Q51" s="2"/>
      <c r="T51" s="85" t="s">
        <v>104</v>
      </c>
      <c r="U51" s="86" t="s">
        <v>597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53.192699999999995</v>
      </c>
      <c r="Q52" s="2"/>
      <c r="T52" s="85" t="s">
        <v>105</v>
      </c>
      <c r="U52" s="86" t="s">
        <v>496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52.655399999999993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52.118099999999998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51.580799999999996</v>
      </c>
      <c r="T55" s="85" t="s">
        <v>107</v>
      </c>
      <c r="U55" s="86" t="s">
        <v>598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51.043499999999995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50.506199999999993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49.968899999999998</v>
      </c>
      <c r="T58" s="85" t="s">
        <v>108</v>
      </c>
      <c r="U58" s="86" t="s">
        <v>537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49.431599999999996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48.894300000000001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48.356999999999999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3" priority="11">
      <formula>F27&gt;0</formula>
    </cfRule>
    <cfRule type="expression" dxfId="822" priority="12">
      <formula>F27&lt;0</formula>
    </cfRule>
  </conditionalFormatting>
  <conditionalFormatting sqref="H27:H29">
    <cfRule type="expression" dxfId="821" priority="9">
      <formula>H27&gt;0</formula>
    </cfRule>
    <cfRule type="expression" dxfId="820" priority="10">
      <formula>H27&lt;0</formula>
    </cfRule>
  </conditionalFormatting>
  <conditionalFormatting sqref="F23:F26">
    <cfRule type="expression" dxfId="819" priority="7">
      <formula>F23&gt;0</formula>
    </cfRule>
    <cfRule type="expression" dxfId="818" priority="8">
      <formula>F23&lt;0</formula>
    </cfRule>
  </conditionalFormatting>
  <conditionalFormatting sqref="H23:H26">
    <cfRule type="expression" dxfId="817" priority="5">
      <formula>H23&gt;0</formula>
    </cfRule>
    <cfRule type="expression" dxfId="816" priority="6">
      <formula>H23&lt;0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48.1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48.1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207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206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206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6" t="s">
        <v>78</v>
      </c>
      <c r="P40" s="85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52.910000000000004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52.429000000000002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51.948000000000008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51.467000000000006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50.986000000000004</v>
      </c>
      <c r="Q45" s="2"/>
      <c r="T45" s="85" t="s">
        <v>99</v>
      </c>
      <c r="U45" s="86" t="s">
        <v>599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50.505000000000003</v>
      </c>
      <c r="Q46" s="2"/>
      <c r="T46" s="85" t="s">
        <v>100</v>
      </c>
      <c r="U46" s="86" t="s">
        <v>600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50.024000000000001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49.542999999999999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49.062000000000005</v>
      </c>
      <c r="Q49" s="2"/>
      <c r="T49" s="85" t="s">
        <v>103</v>
      </c>
      <c r="U49" s="87" t="s">
        <v>420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48.581000000000003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48.1</v>
      </c>
      <c r="Q51" s="2"/>
      <c r="T51" s="85" t="s">
        <v>104</v>
      </c>
      <c r="U51" s="86" t="s">
        <v>601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47.619</v>
      </c>
      <c r="Q52" s="2"/>
      <c r="T52" s="85" t="s">
        <v>105</v>
      </c>
      <c r="U52" s="86" t="s">
        <v>504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47.137999999999998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46.657000000000004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46.176000000000002</v>
      </c>
      <c r="T55" s="85" t="s">
        <v>107</v>
      </c>
      <c r="U55" s="86" t="s">
        <v>602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45.695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45.213999999999999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44.733000000000004</v>
      </c>
      <c r="T58" s="85" t="s">
        <v>108</v>
      </c>
      <c r="U58" s="86" t="s">
        <v>538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44.252000000000002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43.771000000000001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43.29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1" priority="7">
      <formula>F21&gt;0</formula>
    </cfRule>
    <cfRule type="expression" dxfId="810" priority="8">
      <formula>F21&lt;0</formula>
    </cfRule>
  </conditionalFormatting>
  <conditionalFormatting sqref="F22">
    <cfRule type="expression" dxfId="809" priority="5">
      <formula>F22&gt;0</formula>
    </cfRule>
    <cfRule type="expression" dxfId="808" priority="6">
      <formula>F22&lt;0</formula>
    </cfRule>
  </conditionalFormatting>
  <conditionalFormatting sqref="Q8">
    <cfRule type="expression" dxfId="807" priority="1">
      <formula>Q8&gt;0</formula>
    </cfRule>
    <cfRule type="expression" dxfId="806" priority="2">
      <formula>Q8&lt;0</formula>
    </cfRule>
  </conditionalFormatting>
  <conditionalFormatting sqref="Q7">
    <cfRule type="expression" dxfId="805" priority="3">
      <formula>Q7&gt;0</formula>
    </cfRule>
    <cfRule type="expression" dxfId="8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65.63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207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206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6" t="s">
        <v>78</v>
      </c>
      <c r="P44" s="85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72.192999999999998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71.536699999999996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70.880399999999995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70.224099999999993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69.567800000000005</v>
      </c>
      <c r="Q49" s="2"/>
      <c r="R49" s="33"/>
      <c r="T49" s="106" t="s">
        <v>121</v>
      </c>
      <c r="U49" s="104" t="s">
        <v>368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68.911500000000004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68.255200000000002</v>
      </c>
      <c r="Q51" s="2"/>
      <c r="R51" s="33"/>
      <c r="T51" s="106" t="s">
        <v>104</v>
      </c>
      <c r="U51" s="104" t="s">
        <v>603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67.5989</v>
      </c>
      <c r="Q52" s="2"/>
      <c r="R52" s="33"/>
      <c r="T52" s="106" t="s">
        <v>105</v>
      </c>
      <c r="U52" s="104" t="s">
        <v>520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66.942599999999999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66.286299999999997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65.63</v>
      </c>
      <c r="Q55" s="2"/>
      <c r="R55" s="33"/>
      <c r="T55" s="106" t="s">
        <v>107</v>
      </c>
      <c r="U55" s="104" t="s">
        <v>604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64.973699999999994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64.317399999999992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63.66109999999999</v>
      </c>
      <c r="Q58" s="2"/>
      <c r="R58" s="33"/>
      <c r="T58" s="106" t="s">
        <v>108</v>
      </c>
      <c r="U58" s="104" t="s">
        <v>539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63.004799999999996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62.348499999999994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61.692199999999993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61.035899999999998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60.379599999999996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59.723299999999995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59.067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206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3" priority="17">
      <formula>F38&gt;0</formula>
    </cfRule>
    <cfRule type="expression" dxfId="802" priority="18">
      <formula>F38&lt;0</formula>
    </cfRule>
  </conditionalFormatting>
  <conditionalFormatting sqref="H38:H72">
    <cfRule type="expression" dxfId="801" priority="9">
      <formula>H38&gt;0</formula>
    </cfRule>
    <cfRule type="expression" dxfId="800" priority="10">
      <formula>H38&lt;0</formula>
    </cfRule>
  </conditionalFormatting>
  <conditionalFormatting sqref="F21:F37">
    <cfRule type="expression" dxfId="799" priority="7">
      <formula>F21&gt;0</formula>
    </cfRule>
    <cfRule type="expression" dxfId="798" priority="8">
      <formula>F21&lt;0</formula>
    </cfRule>
  </conditionalFormatting>
  <conditionalFormatting sqref="H21:H37">
    <cfRule type="expression" dxfId="797" priority="5">
      <formula>H21&gt;0</formula>
    </cfRule>
    <cfRule type="expression" dxfId="796" priority="6">
      <formula>H21&lt;0</formula>
    </cfRule>
  </conditionalFormatting>
  <conditionalFormatting sqref="Q8">
    <cfRule type="expression" dxfId="795" priority="1">
      <formula>Q8&gt;0</formula>
    </cfRule>
    <cfRule type="expression" dxfId="794" priority="2">
      <formula>Q8&lt;0</formula>
    </cfRule>
  </conditionalFormatting>
  <conditionalFormatting sqref="Q7">
    <cfRule type="expression" dxfId="793" priority="3">
      <formula>Q7&gt;0</formula>
    </cfRule>
    <cfRule type="expression" dxfId="7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149.88999999999999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149.88999999999999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206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6" t="s">
        <v>78</v>
      </c>
      <c r="P46" s="856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164.87899999999999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163.3801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161.88120000000001</v>
      </c>
      <c r="Q49" s="33"/>
      <c r="R49"/>
      <c r="T49" s="85" t="s">
        <v>103</v>
      </c>
      <c r="U49" s="92" t="s">
        <v>605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160.38229999999999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158.88339999999999</v>
      </c>
      <c r="Q51" s="81"/>
      <c r="R51"/>
      <c r="T51" s="85" t="s">
        <v>104</v>
      </c>
      <c r="U51" s="127" t="s">
        <v>606</v>
      </c>
    </row>
    <row r="52" spans="1:21" x14ac:dyDescent="0.25">
      <c r="O52" s="81">
        <v>1.05</v>
      </c>
      <c r="P52" s="81">
        <f t="shared" si="1"/>
        <v>157.3845</v>
      </c>
      <c r="Q52" s="81"/>
      <c r="R52"/>
      <c r="T52" s="85" t="s">
        <v>105</v>
      </c>
      <c r="U52" s="127" t="s">
        <v>498</v>
      </c>
    </row>
    <row r="53" spans="1:21" x14ac:dyDescent="0.25">
      <c r="O53" s="81">
        <v>1.04</v>
      </c>
      <c r="P53" s="81">
        <f t="shared" si="1"/>
        <v>155.88559999999998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154.38669999999999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152.8878</v>
      </c>
      <c r="Q55" s="81"/>
      <c r="R55"/>
      <c r="T55" s="85" t="s">
        <v>107</v>
      </c>
      <c r="U55" s="127" t="s">
        <v>607</v>
      </c>
    </row>
    <row r="56" spans="1:21" x14ac:dyDescent="0.25">
      <c r="O56" s="81">
        <v>1.01</v>
      </c>
      <c r="P56" s="81">
        <f t="shared" si="1"/>
        <v>151.38889999999998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149.88999999999999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148.39109999999999</v>
      </c>
      <c r="Q58" s="81"/>
      <c r="R58"/>
      <c r="T58" s="85" t="s">
        <v>108</v>
      </c>
      <c r="U58" s="127" t="s">
        <v>540</v>
      </c>
    </row>
    <row r="59" spans="1:21" x14ac:dyDescent="0.25">
      <c r="O59" s="81">
        <v>0.98</v>
      </c>
      <c r="P59" s="81">
        <f t="shared" si="1"/>
        <v>146.89219999999997</v>
      </c>
      <c r="Q59" s="81"/>
      <c r="R59"/>
    </row>
    <row r="60" spans="1:21" x14ac:dyDescent="0.25">
      <c r="O60" s="81">
        <v>0.97</v>
      </c>
      <c r="P60" s="81">
        <f t="shared" si="1"/>
        <v>145.39329999999998</v>
      </c>
      <c r="Q60" s="81"/>
      <c r="R60"/>
    </row>
    <row r="61" spans="1:21" x14ac:dyDescent="0.25">
      <c r="O61" s="81">
        <v>0.96</v>
      </c>
      <c r="P61" s="81">
        <f t="shared" si="1"/>
        <v>143.89439999999999</v>
      </c>
      <c r="Q61" s="81"/>
      <c r="R61"/>
    </row>
    <row r="62" spans="1:21" x14ac:dyDescent="0.25">
      <c r="O62" s="81">
        <v>0.95</v>
      </c>
      <c r="P62" s="81">
        <f t="shared" si="1"/>
        <v>142.39549999999997</v>
      </c>
      <c r="Q62" s="81"/>
      <c r="R62"/>
    </row>
    <row r="63" spans="1:21" x14ac:dyDescent="0.25">
      <c r="O63" s="81">
        <v>0.94</v>
      </c>
      <c r="P63" s="81">
        <f t="shared" si="1"/>
        <v>140.89659999999998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139.39769999999999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137.89879999999999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136.3999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134.90099999999998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1" priority="11">
      <formula>F24&gt;0</formula>
    </cfRule>
    <cfRule type="expression" dxfId="790" priority="12">
      <formula>F24&lt;0</formula>
    </cfRule>
  </conditionalFormatting>
  <conditionalFormatting sqref="H27:H30">
    <cfRule type="expression" dxfId="789" priority="9">
      <formula>H27&gt;0</formula>
    </cfRule>
    <cfRule type="expression" dxfId="788" priority="10">
      <formula>H27&lt;0</formula>
    </cfRule>
  </conditionalFormatting>
  <conditionalFormatting sqref="F25">
    <cfRule type="expression" dxfId="787" priority="7">
      <formula>F25&gt;0</formula>
    </cfRule>
    <cfRule type="expression" dxfId="786" priority="8">
      <formula>F25&lt;0</formula>
    </cfRule>
  </conditionalFormatting>
  <conditionalFormatting sqref="H24:H26">
    <cfRule type="expression" dxfId="785" priority="5">
      <formula>H24&gt;0</formula>
    </cfRule>
    <cfRule type="expression" dxfId="784" priority="6">
      <formula>H24&lt;0</formula>
    </cfRule>
  </conditionalFormatting>
  <conditionalFormatting sqref="Q7">
    <cfRule type="expression" dxfId="783" priority="3">
      <formula>Q7&gt;0</formula>
    </cfRule>
    <cfRule type="expression" dxfId="782" priority="4">
      <formula>Q7&lt;0</formula>
    </cfRule>
  </conditionalFormatting>
  <conditionalFormatting sqref="Q8">
    <cfRule type="expression" dxfId="781" priority="1">
      <formula>Q8&gt;0</formula>
    </cfRule>
    <cfRule type="expression" dxfId="7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50.03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50.03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206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206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265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6" t="s">
        <v>78</v>
      </c>
      <c r="Q39" s="856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55.033000000000008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54.532700000000006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54.032400000000003</v>
      </c>
      <c r="R42" s="33"/>
      <c r="T42" s="85" t="s">
        <v>99</v>
      </c>
      <c r="U42" s="127" t="s">
        <v>608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53.532100000000007</v>
      </c>
      <c r="R43" s="81"/>
      <c r="T43" s="85" t="s">
        <v>100</v>
      </c>
      <c r="U43" s="127" t="s">
        <v>609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53.031800000000004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52.531500000000001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52.031200000000005</v>
      </c>
      <c r="R46" s="81"/>
      <c r="T46" s="85" t="s">
        <v>121</v>
      </c>
      <c r="U46" s="223" t="s">
        <v>417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51.530900000000003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51.0306</v>
      </c>
      <c r="R48" s="81"/>
      <c r="T48" s="85" t="s">
        <v>104</v>
      </c>
      <c r="U48" s="127" t="s">
        <v>610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50.530300000000004</v>
      </c>
      <c r="R49" s="81"/>
      <c r="T49" s="85" t="s">
        <v>105</v>
      </c>
      <c r="U49" s="127" t="s">
        <v>541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50.03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49.529699999999998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49.029400000000003</v>
      </c>
      <c r="R52" s="81"/>
      <c r="T52" s="85" t="s">
        <v>107</v>
      </c>
      <c r="U52" s="127" t="s">
        <v>611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48.5291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48.028799999999997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47.528500000000001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47.028199999999998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46.527900000000002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46.0276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45.527300000000004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45.027000000000001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79" priority="17">
      <formula>F28&gt;0</formula>
    </cfRule>
    <cfRule type="expression" dxfId="778" priority="18">
      <formula>F28&lt;0</formula>
    </cfRule>
  </conditionalFormatting>
  <conditionalFormatting sqref="F28 F33:F35">
    <cfRule type="expression" dxfId="777" priority="19">
      <formula>F28&gt;0</formula>
    </cfRule>
    <cfRule type="expression" dxfId="776" priority="20">
      <formula>F28&lt;0</formula>
    </cfRule>
  </conditionalFormatting>
  <conditionalFormatting sqref="H28 H33:H35">
    <cfRule type="expression" dxfId="775" priority="15">
      <formula>H28&gt;0</formula>
    </cfRule>
    <cfRule type="expression" dxfId="774" priority="16">
      <formula>H28&lt;0</formula>
    </cfRule>
  </conditionalFormatting>
  <conditionalFormatting sqref="F21:F27">
    <cfRule type="expression" dxfId="773" priority="13">
      <formula>F21&gt;0</formula>
    </cfRule>
    <cfRule type="expression" dxfId="772" priority="14">
      <formula>F21&lt;0</formula>
    </cfRule>
  </conditionalFormatting>
  <conditionalFormatting sqref="H21:H27">
    <cfRule type="expression" dxfId="771" priority="11">
      <formula>H21&gt;0</formula>
    </cfRule>
    <cfRule type="expression" dxfId="770" priority="12">
      <formula>H21&lt;0</formula>
    </cfRule>
  </conditionalFormatting>
  <conditionalFormatting sqref="Q8">
    <cfRule type="expression" dxfId="769" priority="7">
      <formula>Q8&gt;0</formula>
    </cfRule>
    <cfRule type="expression" dxfId="768" priority="8">
      <formula>Q8&lt;0</formula>
    </cfRule>
  </conditionalFormatting>
  <conditionalFormatting sqref="Q7">
    <cfRule type="expression" dxfId="767" priority="9">
      <formula>Q7&gt;0</formula>
    </cfRule>
    <cfRule type="expression" dxfId="766" priority="10">
      <formula>Q7&lt;0</formula>
    </cfRule>
  </conditionalFormatting>
  <conditionalFormatting sqref="F29:F32">
    <cfRule type="expression" dxfId="765" priority="5">
      <formula>F29&gt;0</formula>
    </cfRule>
    <cfRule type="expression" dxfId="764" priority="6">
      <formula>F29&lt;0</formula>
    </cfRule>
  </conditionalFormatting>
  <conditionalFormatting sqref="H29:H32">
    <cfRule type="expression" dxfId="763" priority="3">
      <formula>H29&gt;0</formula>
    </cfRule>
    <cfRule type="expression" dxfId="762" priority="4">
      <formula>H29&lt;0</formula>
    </cfRule>
  </conditionalFormatting>
  <conditionalFormatting sqref="M37">
    <cfRule type="expression" dxfId="761" priority="1">
      <formula>M37&gt;0</formula>
    </cfRule>
    <cfRule type="expression" dxfId="76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281.33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281.33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207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206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965</v>
      </c>
      <c r="Q13" s="2">
        <f>Q4/13</f>
        <v>21.64076923076923</v>
      </c>
      <c r="R13" s="22" t="s">
        <v>970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6" t="s">
        <v>78</v>
      </c>
      <c r="Q17" s="856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309.46300000000002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306.6497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303.83640000000003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301.0231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298.20979999999997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295.3965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292.58319999999998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289.76990000000001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286.95659999999998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284.14330000000001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281.33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278.51669999999996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275.70339999999999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272.89009999999996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270.07679999999999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267.26349999999996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264.4502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261.63690000000003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258.8236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256.01029999999997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253.197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206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59" priority="47">
      <formula>F26&gt;0</formula>
    </cfRule>
    <cfRule type="expression" dxfId="758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7" priority="35">
      <formula>F22&gt;0</formula>
    </cfRule>
    <cfRule type="expression" dxfId="756" priority="36">
      <formula>F22&lt;0</formula>
    </cfRule>
  </conditionalFormatting>
  <conditionalFormatting sqref="H22:H25">
    <cfRule type="expression" dxfId="755" priority="33">
      <formula>H22&gt;0</formula>
    </cfRule>
    <cfRule type="expression" dxfId="754" priority="34">
      <formula>H22&lt;0</formula>
    </cfRule>
  </conditionalFormatting>
  <conditionalFormatting sqref="Q8">
    <cfRule type="expression" dxfId="753" priority="29">
      <formula>Q8&gt;0</formula>
    </cfRule>
    <cfRule type="expression" dxfId="752" priority="30">
      <formula>Q8&lt;0</formula>
    </cfRule>
  </conditionalFormatting>
  <conditionalFormatting sqref="Q7">
    <cfRule type="expression" dxfId="751" priority="31">
      <formula>Q7&gt;0</formula>
    </cfRule>
    <cfRule type="expression" dxfId="750" priority="32">
      <formula>Q7&lt;0</formula>
    </cfRule>
  </conditionalFormatting>
  <conditionalFormatting sqref="F72:F74">
    <cfRule type="expression" dxfId="749" priority="27">
      <formula>F72&gt;0</formula>
    </cfRule>
    <cfRule type="expression" dxfId="748" priority="28">
      <formula>F72&lt;0</formula>
    </cfRule>
  </conditionalFormatting>
  <conditionalFormatting sqref="F75:F82">
    <cfRule type="expression" dxfId="747" priority="23">
      <formula>F75&gt;0</formula>
    </cfRule>
    <cfRule type="expression" dxfId="746" priority="24">
      <formula>F75&lt;0</formula>
    </cfRule>
  </conditionalFormatting>
  <conditionalFormatting sqref="F75:F82">
    <cfRule type="expression" dxfId="745" priority="25">
      <formula>F75&gt;0</formula>
    </cfRule>
    <cfRule type="expression" dxfId="744" priority="26">
      <formula>F75&lt;0</formula>
    </cfRule>
  </conditionalFormatting>
  <conditionalFormatting sqref="H72:H82">
    <cfRule type="expression" dxfId="743" priority="21">
      <formula>H72&gt;0</formula>
    </cfRule>
    <cfRule type="expression" dxfId="742" priority="22">
      <formula>H72&lt;0</formula>
    </cfRule>
  </conditionalFormatting>
  <conditionalFormatting sqref="F68:F71">
    <cfRule type="expression" dxfId="741" priority="19">
      <formula>F68&gt;0</formula>
    </cfRule>
    <cfRule type="expression" dxfId="740" priority="20">
      <formula>F68&lt;0</formula>
    </cfRule>
  </conditionalFormatting>
  <conditionalFormatting sqref="H68:H71">
    <cfRule type="expression" dxfId="739" priority="17">
      <formula>H68&gt;0</formula>
    </cfRule>
    <cfRule type="expression" dxfId="738" priority="18">
      <formula>H68&lt;0</formula>
    </cfRule>
  </conditionalFormatting>
  <conditionalFormatting sqref="Q10">
    <cfRule type="expression" dxfId="737" priority="15">
      <formula>Q10&gt;0</formula>
    </cfRule>
    <cfRule type="expression" dxfId="736" priority="16">
      <formula>Q10&lt;0</formula>
    </cfRule>
  </conditionalFormatting>
  <conditionalFormatting sqref="H43 F43">
    <cfRule type="expression" dxfId="735" priority="11">
      <formula>F43&gt;0</formula>
    </cfRule>
    <cfRule type="expression" dxfId="734" priority="12">
      <formula>F43&lt;0</formula>
    </cfRule>
  </conditionalFormatting>
  <conditionalFormatting sqref="H37:H39 F37:F39">
    <cfRule type="expression" dxfId="733" priority="9">
      <formula>F37&gt;0</formula>
    </cfRule>
    <cfRule type="expression" dxfId="732" priority="10">
      <formula>F37&lt;0</formula>
    </cfRule>
  </conditionalFormatting>
  <conditionalFormatting sqref="H35:H36 F35:F36">
    <cfRule type="expression" dxfId="731" priority="7">
      <formula>F35&gt;0</formula>
    </cfRule>
    <cfRule type="expression" dxfId="730" priority="8">
      <formula>F35&lt;0</formula>
    </cfRule>
  </conditionalFormatting>
  <conditionalFormatting sqref="H41:H42 F41:F42 J40:J41">
    <cfRule type="expression" dxfId="729" priority="5">
      <formula>F40&gt;0</formula>
    </cfRule>
    <cfRule type="expression" dxfId="728" priority="6">
      <formula>F40&lt;0</formula>
    </cfRule>
  </conditionalFormatting>
  <conditionalFormatting sqref="H40 F40">
    <cfRule type="expression" dxfId="727" priority="3">
      <formula>F40&gt;0</formula>
    </cfRule>
    <cfRule type="expression" dxfId="726" priority="4">
      <formula>F40&lt;0</formula>
    </cfRule>
  </conditionalFormatting>
  <conditionalFormatting sqref="J42:J45">
    <cfRule type="expression" dxfId="725" priority="1">
      <formula>J42&gt;0</formula>
    </cfRule>
    <cfRule type="expression" dxfId="724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94.58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94.58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206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243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104.03800000000001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248</v>
      </c>
      <c r="O38" s="2"/>
      <c r="P38" s="81">
        <v>1.0900000000000001</v>
      </c>
      <c r="Q38" s="81">
        <f t="shared" ref="Q38:Q57" si="5">P38*$Q$4</f>
        <v>103.09220000000001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102.1464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101.20060000000001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100.2548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99.308999999999997</v>
      </c>
      <c r="R42" s="81"/>
      <c r="T42" s="85" t="s">
        <v>99</v>
      </c>
      <c r="U42" s="127" t="s">
        <v>612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98.363200000000006</v>
      </c>
      <c r="R43" s="81"/>
      <c r="T43" s="85" t="s">
        <v>100</v>
      </c>
      <c r="U43" s="127" t="s">
        <v>613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97.417400000000001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96.471599999999995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95.525800000000004</v>
      </c>
      <c r="R46" s="81"/>
      <c r="T46" s="85" t="s">
        <v>121</v>
      </c>
      <c r="U46" s="92" t="s">
        <v>366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94.58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93.634199999999993</v>
      </c>
      <c r="R48" s="81"/>
      <c r="T48" s="85" t="s">
        <v>104</v>
      </c>
      <c r="U48" s="127" t="s">
        <v>614</v>
      </c>
      <c r="W48" s="92">
        <v>42766</v>
      </c>
      <c r="X48" s="10" t="s">
        <v>309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92.688400000000001</v>
      </c>
      <c r="R49" s="81"/>
      <c r="T49" s="85" t="s">
        <v>105</v>
      </c>
      <c r="U49" s="127" t="s">
        <v>615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91.742599999999996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90.79679999999999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89.850999999999999</v>
      </c>
      <c r="R52" s="81"/>
      <c r="T52" s="85" t="s">
        <v>107</v>
      </c>
      <c r="U52" s="127" t="s">
        <v>616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88.905199999999994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87.959400000000002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87.013599999999997</v>
      </c>
      <c r="R55" s="81"/>
      <c r="T55" s="85" t="s">
        <v>108</v>
      </c>
      <c r="U55" s="127" t="s">
        <v>529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86.067800000000005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85.122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3" priority="29">
      <formula>F40&gt;0</formula>
    </cfRule>
    <cfRule type="expression" dxfId="722" priority="30">
      <formula>F40&lt;0</formula>
    </cfRule>
  </conditionalFormatting>
  <conditionalFormatting sqref="F40:F45">
    <cfRule type="expression" dxfId="721" priority="31">
      <formula>F40&gt;0</formula>
    </cfRule>
    <cfRule type="expression" dxfId="720" priority="32">
      <formula>F40&lt;0</formula>
    </cfRule>
  </conditionalFormatting>
  <conditionalFormatting sqref="H40:H45">
    <cfRule type="expression" dxfId="719" priority="27">
      <formula>H40&gt;0</formula>
    </cfRule>
    <cfRule type="expression" dxfId="718" priority="28">
      <formula>H40&lt;0</formula>
    </cfRule>
  </conditionalFormatting>
  <conditionalFormatting sqref="F23:F39">
    <cfRule type="expression" dxfId="717" priority="13">
      <formula>F23&gt;0</formula>
    </cfRule>
    <cfRule type="expression" dxfId="716" priority="14">
      <formula>F23&lt;0</formula>
    </cfRule>
  </conditionalFormatting>
  <conditionalFormatting sqref="H23:H39">
    <cfRule type="expression" dxfId="715" priority="11">
      <formula>H23&gt;0</formula>
    </cfRule>
    <cfRule type="expression" dxfId="714" priority="12">
      <formula>H23&lt;0</formula>
    </cfRule>
  </conditionalFormatting>
  <conditionalFormatting sqref="Q7">
    <cfRule type="expression" dxfId="713" priority="9">
      <formula>Q7&gt;0</formula>
    </cfRule>
    <cfRule type="expression" dxfId="712" priority="10">
      <formula>Q7&lt;0</formula>
    </cfRule>
  </conditionalFormatting>
  <conditionalFormatting sqref="Q8">
    <cfRule type="expression" dxfId="711" priority="7">
      <formula>Q8&gt;0</formula>
    </cfRule>
    <cfRule type="expression" dxfId="710" priority="8">
      <formula>Q8&lt;0</formula>
    </cfRule>
  </conditionalFormatting>
  <conditionalFormatting sqref="Q10">
    <cfRule type="expression" dxfId="709" priority="1">
      <formula>Q10&gt;0</formula>
    </cfRule>
    <cfRule type="expression" dxfId="70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89.15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207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206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206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98.065000000000012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97.173500000000018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96.282000000000011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95.390500000000017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94.499000000000009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93.607500000000016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92.716000000000008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91.824500000000015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90.933000000000007</v>
      </c>
      <c r="Q51" s="2"/>
      <c r="T51" s="106" t="s">
        <v>104</v>
      </c>
      <c r="U51" s="104" t="s">
        <v>617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90.041500000000013</v>
      </c>
      <c r="Q52" s="2"/>
      <c r="T52" s="106" t="s">
        <v>105</v>
      </c>
      <c r="U52" s="104" t="s">
        <v>618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88.258499999999998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87.367000000000004</v>
      </c>
      <c r="T55" s="106" t="s">
        <v>107</v>
      </c>
      <c r="U55" s="104" t="s">
        <v>619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86.475499999999997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85.584000000000003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84.692499999999995</v>
      </c>
      <c r="T58" s="106" t="s">
        <v>108</v>
      </c>
      <c r="U58" s="104" t="s">
        <v>515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83.801000000000002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82.909500000000008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82.018000000000015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81.126500000000007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80.235000000000014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7" priority="39">
      <formula>Q12&gt;0</formula>
    </cfRule>
    <cfRule type="expression" dxfId="70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5" priority="33">
      <formula>F25&gt;0</formula>
    </cfRule>
    <cfRule type="expression" dxfId="704" priority="34">
      <formula>F25&lt;0</formula>
    </cfRule>
  </conditionalFormatting>
  <conditionalFormatting sqref="F30">
    <cfRule type="expression" dxfId="703" priority="31">
      <formula>F30&gt;0</formula>
    </cfRule>
    <cfRule type="expression" dxfId="702" priority="32">
      <formula>F30&lt;0</formula>
    </cfRule>
  </conditionalFormatting>
  <conditionalFormatting sqref="F31">
    <cfRule type="expression" dxfId="701" priority="29">
      <formula>F31&gt;0</formula>
    </cfRule>
    <cfRule type="expression" dxfId="700" priority="30">
      <formula>F31&lt;0</formula>
    </cfRule>
  </conditionalFormatting>
  <conditionalFormatting sqref="F32:F34">
    <cfRule type="expression" dxfId="699" priority="27">
      <formula>F32&gt;0</formula>
    </cfRule>
    <cfRule type="expression" dxfId="698" priority="28">
      <formula>F32&lt;0</formula>
    </cfRule>
  </conditionalFormatting>
  <conditionalFormatting sqref="H25:H29">
    <cfRule type="expression" dxfId="697" priority="25">
      <formula>H25&gt;0</formula>
    </cfRule>
    <cfRule type="expression" dxfId="696" priority="26">
      <formula>H25&lt;0</formula>
    </cfRule>
  </conditionalFormatting>
  <conditionalFormatting sqref="H30">
    <cfRule type="expression" dxfId="695" priority="23">
      <formula>H30&gt;0</formula>
    </cfRule>
    <cfRule type="expression" dxfId="694" priority="24">
      <formula>H30&lt;0</formula>
    </cfRule>
  </conditionalFormatting>
  <conditionalFormatting sqref="H31">
    <cfRule type="expression" dxfId="693" priority="21">
      <formula>H31&gt;0</formula>
    </cfRule>
    <cfRule type="expression" dxfId="692" priority="22">
      <formula>H31&lt;0</formula>
    </cfRule>
  </conditionalFormatting>
  <conditionalFormatting sqref="H32:H34">
    <cfRule type="expression" dxfId="691" priority="19">
      <formula>H32&gt;0</formula>
    </cfRule>
    <cfRule type="expression" dxfId="690" priority="20">
      <formula>H32&lt;0</formula>
    </cfRule>
  </conditionalFormatting>
  <conditionalFormatting sqref="F35">
    <cfRule type="expression" dxfId="689" priority="17">
      <formula>F35&gt;0</formula>
    </cfRule>
    <cfRule type="expression" dxfId="688" priority="18">
      <formula>F35&lt;0</formula>
    </cfRule>
  </conditionalFormatting>
  <conditionalFormatting sqref="H35">
    <cfRule type="expression" dxfId="687" priority="15">
      <formula>H35&gt;0</formula>
    </cfRule>
    <cfRule type="expression" dxfId="686" priority="16">
      <formula>H35&lt;0</formula>
    </cfRule>
  </conditionalFormatting>
  <conditionalFormatting sqref="F36">
    <cfRule type="expression" dxfId="685" priority="13">
      <formula>F36&gt;0</formula>
    </cfRule>
    <cfRule type="expression" dxfId="684" priority="14">
      <formula>F36&lt;0</formula>
    </cfRule>
  </conditionalFormatting>
  <conditionalFormatting sqref="H36">
    <cfRule type="expression" dxfId="683" priority="11">
      <formula>H36&gt;0</formula>
    </cfRule>
    <cfRule type="expression" dxfId="682" priority="12">
      <formula>H36&lt;0</formula>
    </cfRule>
  </conditionalFormatting>
  <conditionalFormatting sqref="H23:H24">
    <cfRule type="expression" dxfId="681" priority="5">
      <formula>H23&gt;0</formula>
    </cfRule>
    <cfRule type="expression" dxfId="680" priority="6">
      <formula>H23&lt;0</formula>
    </cfRule>
  </conditionalFormatting>
  <conditionalFormatting sqref="F23:F24">
    <cfRule type="expression" dxfId="679" priority="7">
      <formula>F23&gt;0</formula>
    </cfRule>
    <cfRule type="expression" dxfId="678" priority="8">
      <formula>F23&lt;0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231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58.29</v>
      </c>
      <c r="R4" s="475">
        <v>1.11E-2</v>
      </c>
      <c r="T4" s="816">
        <v>43203</v>
      </c>
      <c r="U4" t="s">
        <v>992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6994.8</v>
      </c>
      <c r="U5" t="s">
        <v>994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2860.7599999999957</v>
      </c>
      <c r="R7" s="29">
        <v>43325</v>
      </c>
      <c r="T7" s="83">
        <v>43237</v>
      </c>
      <c r="U7" t="s">
        <v>1076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1256.1799999999939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207</v>
      </c>
      <c r="P9"/>
      <c r="Q9" s="134">
        <f>IF(Q2=0, 0, Q8/Q6)</f>
        <v>0.21889931725745781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206</v>
      </c>
      <c r="Q10" s="2">
        <f>M62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2.9507634242580204E-2</v>
      </c>
      <c r="R11">
        <v>0.43</v>
      </c>
      <c r="T11" s="83">
        <v>43294</v>
      </c>
      <c r="U11" t="s">
        <v>1194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965</v>
      </c>
      <c r="Q13" s="2">
        <f>Q4/4.52</f>
        <v>12.896017699115045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64.119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63.536100000000005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62.953200000000002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62.3703</v>
      </c>
      <c r="W20" s="2"/>
      <c r="X20" s="134"/>
    </row>
    <row r="21" spans="1:33" x14ac:dyDescent="0.25">
      <c r="P21" s="81">
        <v>1.06</v>
      </c>
      <c r="Q21" s="81">
        <f t="shared" si="2"/>
        <v>61.787400000000005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61.204500000000003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494</v>
      </c>
      <c r="L23" s="220" t="s">
        <v>965</v>
      </c>
      <c r="M23" s="10"/>
      <c r="P23" s="81">
        <v>1.04</v>
      </c>
      <c r="Q23" s="81">
        <f t="shared" si="2"/>
        <v>60.621600000000001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60.038699999999999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59.455800000000004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58.872900000000001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58.29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762</v>
      </c>
      <c r="J28" s="39">
        <v>2047</v>
      </c>
      <c r="K28" s="39"/>
      <c r="L28" s="10"/>
      <c r="M28" s="10"/>
      <c r="P28" s="81">
        <v>0.99</v>
      </c>
      <c r="Q28" s="81">
        <f t="shared" si="2"/>
        <v>57.707099999999997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847</v>
      </c>
      <c r="J29" s="39">
        <v>2514</v>
      </c>
      <c r="K29" s="39"/>
      <c r="L29" s="10"/>
      <c r="M29" s="10"/>
      <c r="P29" s="81">
        <v>0.98</v>
      </c>
      <c r="Q29" s="81">
        <f t="shared" si="2"/>
        <v>57.124199999999995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56.5413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55.958399999999997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954</v>
      </c>
      <c r="J32" s="39">
        <v>1927</v>
      </c>
      <c r="K32" s="39"/>
      <c r="L32" s="10"/>
      <c r="M32" s="10"/>
      <c r="P32" s="81">
        <v>0.95</v>
      </c>
      <c r="Q32" s="81">
        <f t="shared" si="2"/>
        <v>55.375499999999995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54.792599999999993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54.209700000000005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53.626800000000003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53.043900000000001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52.460999999999999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1074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1087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1091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1139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1141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ref="F51" si="9">C51*(E51-D51)</f>
        <v>1136.1839999999995</v>
      </c>
      <c r="G51" s="39">
        <f t="shared" ref="G51" si="10">D51*C51</f>
        <v>5738.616</v>
      </c>
      <c r="H51" s="222">
        <f t="shared" ref="H51" si="11"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12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12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3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12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3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12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3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12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3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12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3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12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3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12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3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12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4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4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4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4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4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4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3" priority="69">
      <formula>J8&gt;0</formula>
    </cfRule>
    <cfRule type="expression" dxfId="672" priority="70">
      <formula>J8&lt;0</formula>
    </cfRule>
  </conditionalFormatting>
  <conditionalFormatting sqref="Q7">
    <cfRule type="expression" dxfId="671" priority="71">
      <formula>Q7&gt;0</formula>
    </cfRule>
    <cfRule type="expression" dxfId="670" priority="72">
      <formula>Q7&lt;0</formula>
    </cfRule>
  </conditionalFormatting>
  <conditionalFormatting sqref="M62">
    <cfRule type="expression" dxfId="669" priority="59">
      <formula>M62&gt;0</formula>
    </cfRule>
    <cfRule type="expression" dxfId="668" priority="60">
      <formula>M62&lt;0</formula>
    </cfRule>
  </conditionalFormatting>
  <conditionalFormatting sqref="M62">
    <cfRule type="expression" dxfId="667" priority="61">
      <formula>M62&gt;0</formula>
    </cfRule>
    <cfRule type="expression" dxfId="666" priority="62">
      <formula>M62&lt;0</formula>
    </cfRule>
  </conditionalFormatting>
  <conditionalFormatting sqref="F24:F51">
    <cfRule type="expression" dxfId="665" priority="47">
      <formula>F24&gt;0</formula>
    </cfRule>
    <cfRule type="expression" dxfId="664" priority="48">
      <formula>F24&lt;0</formula>
    </cfRule>
  </conditionalFormatting>
  <conditionalFormatting sqref="F24:F51">
    <cfRule type="expression" dxfId="663" priority="49">
      <formula>F24&gt;0</formula>
    </cfRule>
    <cfRule type="expression" dxfId="662" priority="50">
      <formula>F24&lt;0</formula>
    </cfRule>
  </conditionalFormatting>
  <conditionalFormatting sqref="H24:H51">
    <cfRule type="expression" dxfId="661" priority="45">
      <formula>H24&gt;0</formula>
    </cfRule>
    <cfRule type="expression" dxfId="660" priority="46">
      <formula>H24&lt;0</formula>
    </cfRule>
  </conditionalFormatting>
  <conditionalFormatting sqref="J27:J38">
    <cfRule type="expression" dxfId="659" priority="15">
      <formula>J27&gt;0</formula>
    </cfRule>
    <cfRule type="expression" dxfId="658" priority="16">
      <formula>J27&lt;0</formula>
    </cfRule>
  </conditionalFormatting>
  <conditionalFormatting sqref="J27:J38">
    <cfRule type="expression" dxfId="657" priority="17">
      <formula>J27&gt;0</formula>
    </cfRule>
    <cfRule type="expression" dxfId="656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5" priority="11">
      <formula>J39&gt;0</formula>
    </cfRule>
    <cfRule type="expression" dxfId="654" priority="12">
      <formula>J39&lt;0</formula>
    </cfRule>
  </conditionalFormatting>
  <conditionalFormatting sqref="J39">
    <cfRule type="expression" dxfId="653" priority="13">
      <formula>J39&gt;0</formula>
    </cfRule>
    <cfRule type="expression" dxfId="652" priority="14">
      <formula>J39&lt;0</formula>
    </cfRule>
  </conditionalFormatting>
  <conditionalFormatting sqref="J51:J56">
    <cfRule type="expression" dxfId="651" priority="1">
      <formula>J51&gt;0</formula>
    </cfRule>
    <cfRule type="expression" dxfId="650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229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43.27</v>
      </c>
      <c r="T3" s="118">
        <v>42568</v>
      </c>
      <c r="U3" t="s">
        <v>234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43.27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206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6" t="s">
        <v>78</v>
      </c>
      <c r="Q39" s="85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47.597000000000008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47.164300000000004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46.731600000000007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46.298900000000003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45.866200000000006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45.433500000000002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45.000800000000005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44.568100000000001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44.135400000000004</v>
      </c>
      <c r="R48" s="81"/>
      <c r="T48" s="85" t="s">
        <v>104</v>
      </c>
      <c r="U48" s="86" t="s">
        <v>620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43.7027</v>
      </c>
      <c r="R49" s="81"/>
      <c r="T49" s="85" t="s">
        <v>105</v>
      </c>
      <c r="U49" s="86" t="s">
        <v>421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43.27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42.837300000000006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42.404600000000002</v>
      </c>
      <c r="R52" s="81"/>
      <c r="T52" s="85" t="s">
        <v>107</v>
      </c>
      <c r="U52" s="86" t="s">
        <v>621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41.971900000000005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41.539200000000001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41.106500000000004</v>
      </c>
      <c r="R55" s="81"/>
      <c r="T55" s="85" t="s">
        <v>108</v>
      </c>
      <c r="U55" s="86" t="s">
        <v>505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40.6738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40.241100000000003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39.808400000000006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39.375700000000002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38.943000000000005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228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49" priority="66">
      <formula>F22&gt;0</formula>
    </cfRule>
    <cfRule type="expression" dxfId="64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7" priority="53">
      <formula>F41&gt;0</formula>
    </cfRule>
    <cfRule type="expression" dxfId="646" priority="54">
      <formula>F41&lt;0</formula>
    </cfRule>
  </conditionalFormatting>
  <conditionalFormatting sqref="F41">
    <cfRule type="expression" dxfId="645" priority="57">
      <formula>F41&gt;0</formula>
    </cfRule>
    <cfRule type="expression" dxfId="644" priority="58">
      <formula>F41&lt;0</formula>
    </cfRule>
  </conditionalFormatting>
  <conditionalFormatting sqref="H41">
    <cfRule type="expression" dxfId="643" priority="35">
      <formula>H41&gt;0</formula>
    </cfRule>
    <cfRule type="expression" dxfId="642" priority="36">
      <formula>H41&lt;0</formula>
    </cfRule>
  </conditionalFormatting>
  <conditionalFormatting sqref="F89:F95">
    <cfRule type="expression" dxfId="641" priority="29">
      <formula>F89&gt;0</formula>
    </cfRule>
    <cfRule type="expression" dxfId="640" priority="30">
      <formula>F89&lt;0</formula>
    </cfRule>
  </conditionalFormatting>
  <conditionalFormatting sqref="F96:F110">
    <cfRule type="expression" dxfId="639" priority="25">
      <formula>F96&gt;0</formula>
    </cfRule>
    <cfRule type="expression" dxfId="638" priority="26">
      <formula>F96&lt;0</formula>
    </cfRule>
  </conditionalFormatting>
  <conditionalFormatting sqref="F96:F110">
    <cfRule type="expression" dxfId="637" priority="27">
      <formula>F96&gt;0</formula>
    </cfRule>
    <cfRule type="expression" dxfId="636" priority="28">
      <formula>F96&lt;0</formula>
    </cfRule>
  </conditionalFormatting>
  <conditionalFormatting sqref="H89:H100">
    <cfRule type="expression" dxfId="635" priority="23">
      <formula>H89&gt;0</formula>
    </cfRule>
    <cfRule type="expression" dxfId="634" priority="24">
      <formula>H89&lt;0</formula>
    </cfRule>
  </conditionalFormatting>
  <conditionalFormatting sqref="H101">
    <cfRule type="expression" dxfId="633" priority="21">
      <formula>H101&gt;0</formula>
    </cfRule>
    <cfRule type="expression" dxfId="632" priority="22">
      <formula>H101&lt;0</formula>
    </cfRule>
  </conditionalFormatting>
  <conditionalFormatting sqref="F111:F116">
    <cfRule type="expression" dxfId="631" priority="19">
      <formula>F111&gt;0</formula>
    </cfRule>
    <cfRule type="expression" dxfId="630" priority="20">
      <formula>F111&lt;0</formula>
    </cfRule>
  </conditionalFormatting>
  <conditionalFormatting sqref="H103:H116">
    <cfRule type="expression" dxfId="629" priority="17">
      <formula>H103&gt;0</formula>
    </cfRule>
    <cfRule type="expression" dxfId="628" priority="18">
      <formula>H103&lt;0</formula>
    </cfRule>
  </conditionalFormatting>
  <conditionalFormatting sqref="H102">
    <cfRule type="expression" dxfId="627" priority="15">
      <formula>H102&gt;0</formula>
    </cfRule>
    <cfRule type="expression" dxfId="626" priority="16">
      <formula>H102&lt;0</formula>
    </cfRule>
  </conditionalFormatting>
  <conditionalFormatting sqref="M42">
    <cfRule type="expression" dxfId="625" priority="13">
      <formula>M42&gt;0</formula>
    </cfRule>
    <cfRule type="expression" dxfId="624" priority="14">
      <formula>M42&lt;0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Q8">
    <cfRule type="expression" dxfId="621" priority="7">
      <formula>Q8&gt;0</formula>
    </cfRule>
    <cfRule type="expression" dxfId="620" priority="8">
      <formula>Q8&lt;0</formula>
    </cfRule>
  </conditionalFormatting>
  <conditionalFormatting sqref="F117:F130 H117:H130">
    <cfRule type="expression" dxfId="619" priority="1">
      <formula>F117&gt;0</formula>
    </cfRule>
    <cfRule type="expression" dxfId="61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221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235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44.42</v>
      </c>
      <c r="T3" s="1" t="s">
        <v>236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44.42</v>
      </c>
      <c r="R4" s="493">
        <v>8.9999999999999998E-4</v>
      </c>
      <c r="T4" s="156">
        <v>42633</v>
      </c>
      <c r="U4" s="1" t="s">
        <v>268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322</v>
      </c>
      <c r="U6" t="s">
        <v>451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450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452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987</v>
      </c>
      <c r="Q12" s="1" t="s">
        <v>1198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500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48.862000000000009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48.417800000000007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47.973600000000005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47.529400000000003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47.085200000000007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46.641000000000005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46.196800000000003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45.752600000000001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45.308400000000006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44.864200000000004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44.42</v>
      </c>
      <c r="W39" s="134"/>
    </row>
    <row r="40" spans="1:23" x14ac:dyDescent="0.25">
      <c r="O40" s="81">
        <v>0.99</v>
      </c>
      <c r="P40" s="81">
        <f t="shared" si="0"/>
        <v>43.9758</v>
      </c>
      <c r="W40" s="134"/>
    </row>
    <row r="41" spans="1:23" x14ac:dyDescent="0.25">
      <c r="O41" s="81">
        <v>0.98</v>
      </c>
      <c r="P41" s="81">
        <f t="shared" si="0"/>
        <v>43.531599999999997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43.087400000000002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42.6432</v>
      </c>
      <c r="W43" s="134"/>
    </row>
    <row r="44" spans="1:23" x14ac:dyDescent="0.25">
      <c r="A44" s="687" t="s">
        <v>221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42.198999999999998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41.754799999999996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41.310600000000001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40.866400000000006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40.422200000000004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39.978000000000002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418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622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468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623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542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224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500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280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281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281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306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500</v>
      </c>
    </row>
    <row r="167" spans="1:10" x14ac:dyDescent="0.25">
      <c r="A167" t="s">
        <v>335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335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423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437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442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355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463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666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667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671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700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7" priority="84">
      <formula>F7&gt;0</formula>
    </cfRule>
    <cfRule type="expression" dxfId="616" priority="85">
      <formula>F7&lt;0</formula>
    </cfRule>
  </conditionalFormatting>
  <conditionalFormatting sqref="Q8">
    <cfRule type="expression" dxfId="615" priority="82">
      <formula>Q8&gt;0</formula>
    </cfRule>
    <cfRule type="expression" dxfId="614" priority="83">
      <formula>Q8&lt;0</formula>
    </cfRule>
  </conditionalFormatting>
  <conditionalFormatting sqref="F29:F36">
    <cfRule type="expression" dxfId="613" priority="62">
      <formula>F29&gt;0</formula>
    </cfRule>
    <cfRule type="expression" dxfId="612" priority="63">
      <formula>F29&lt;0</formula>
    </cfRule>
  </conditionalFormatting>
  <conditionalFormatting sqref="J32:J38">
    <cfRule type="expression" dxfId="611" priority="57">
      <formula>J32&gt;0</formula>
    </cfRule>
    <cfRule type="expression" dxfId="610" priority="58">
      <formula>J32&lt;0</formula>
    </cfRule>
  </conditionalFormatting>
  <conditionalFormatting sqref="M42">
    <cfRule type="expression" dxfId="609" priority="55">
      <formula>M42&gt;0</formula>
    </cfRule>
    <cfRule type="expression" dxfId="608" priority="56">
      <formula>M42&lt;0</formula>
    </cfRule>
  </conditionalFormatting>
  <conditionalFormatting sqref="F98:F134 H98:H134 H137:H142 F137:F142 F144:F153 H144:H153">
    <cfRule type="expression" dxfId="607" priority="53">
      <formula>F98&gt;0</formula>
    </cfRule>
    <cfRule type="expression" dxfId="606" priority="54">
      <formula>F98&lt;0</formula>
    </cfRule>
  </conditionalFormatting>
  <conditionalFormatting sqref="F90:F97">
    <cfRule type="expression" dxfId="605" priority="51">
      <formula>F90&gt;0</formula>
    </cfRule>
    <cfRule type="expression" dxfId="604" priority="52">
      <formula>F90&lt;0</formula>
    </cfRule>
  </conditionalFormatting>
  <conditionalFormatting sqref="H90:H97">
    <cfRule type="expression" dxfId="603" priority="49">
      <formula>H90&gt;0</formula>
    </cfRule>
    <cfRule type="expression" dxfId="602" priority="50">
      <formula>H90&lt;0</formula>
    </cfRule>
  </conditionalFormatting>
  <conditionalFormatting sqref="F135:F136 H135:H136">
    <cfRule type="expression" dxfId="601" priority="47">
      <formula>F135&gt;0</formula>
    </cfRule>
    <cfRule type="expression" dxfId="600" priority="48">
      <formula>F135&lt;0</formula>
    </cfRule>
  </conditionalFormatting>
  <conditionalFormatting sqref="H143 F143">
    <cfRule type="expression" dxfId="599" priority="45">
      <formula>F143&gt;0</formula>
    </cfRule>
    <cfRule type="expression" dxfId="598" priority="46">
      <formula>F143&lt;0</formula>
    </cfRule>
  </conditionalFormatting>
  <conditionalFormatting sqref="F154:F161">
    <cfRule type="expression" dxfId="597" priority="31">
      <formula>F154&gt;0</formula>
    </cfRule>
    <cfRule type="expression" dxfId="596" priority="32">
      <formula>F154&lt;0</formula>
    </cfRule>
  </conditionalFormatting>
  <conditionalFormatting sqref="H154:H161">
    <cfRule type="expression" dxfId="595" priority="29">
      <formula>H154&gt;0</formula>
    </cfRule>
    <cfRule type="expression" dxfId="594" priority="30">
      <formula>H154&lt;0</formula>
    </cfRule>
  </conditionalFormatting>
  <conditionalFormatting sqref="Q10">
    <cfRule type="expression" dxfId="593" priority="27">
      <formula>Q10&gt;0</formula>
    </cfRule>
    <cfRule type="expression" dxfId="592" priority="28">
      <formula>Q10&lt;0</formula>
    </cfRule>
  </conditionalFormatting>
  <conditionalFormatting sqref="F37:F38">
    <cfRule type="expression" dxfId="591" priority="25">
      <formula>F37&gt;0</formula>
    </cfRule>
    <cfRule type="expression" dxfId="590" priority="26">
      <formula>F37&lt;0</formula>
    </cfRule>
  </conditionalFormatting>
  <conditionalFormatting sqref="H37:H38">
    <cfRule type="expression" dxfId="589" priority="23">
      <formula>H37&gt;0</formula>
    </cfRule>
    <cfRule type="expression" dxfId="588" priority="24">
      <formula>H37&lt;0</formula>
    </cfRule>
  </conditionalFormatting>
  <conditionalFormatting sqref="F167">
    <cfRule type="expression" dxfId="587" priority="21">
      <formula>F167&gt;0</formula>
    </cfRule>
    <cfRule type="expression" dxfId="586" priority="22">
      <formula>F167&lt;0</formula>
    </cfRule>
  </conditionalFormatting>
  <conditionalFormatting sqref="F168:F179">
    <cfRule type="expression" dxfId="585" priority="19">
      <formula>F168&gt;0</formula>
    </cfRule>
    <cfRule type="expression" dxfId="584" priority="20">
      <formula>F168&lt;0</formula>
    </cfRule>
  </conditionalFormatting>
  <conditionalFormatting sqref="H167:H179">
    <cfRule type="expression" dxfId="583" priority="17">
      <formula>H167&gt;0</formula>
    </cfRule>
    <cfRule type="expression" dxfId="582" priority="18">
      <formula>H167&lt;0</formula>
    </cfRule>
  </conditionalFormatting>
  <conditionalFormatting sqref="J175:J197 J201">
    <cfRule type="expression" dxfId="581" priority="15">
      <formula>J175&gt;0</formula>
    </cfRule>
    <cfRule type="expression" dxfId="580" priority="16">
      <formula>J175&lt;0</formula>
    </cfRule>
  </conditionalFormatting>
  <conditionalFormatting sqref="F180:F197 F201">
    <cfRule type="expression" dxfId="579" priority="13">
      <formula>F180&gt;0</formula>
    </cfRule>
    <cfRule type="expression" dxfId="578" priority="14">
      <formula>F180&lt;0</formula>
    </cfRule>
  </conditionalFormatting>
  <conditionalFormatting sqref="H180:H197 H201">
    <cfRule type="expression" dxfId="577" priority="11">
      <formula>H180&gt;0</formula>
    </cfRule>
    <cfRule type="expression" dxfId="576" priority="12">
      <formula>H180&lt;0</formula>
    </cfRule>
  </conditionalFormatting>
  <conditionalFormatting sqref="I32:J35">
    <cfRule type="expression" dxfId="575" priority="9">
      <formula>I32&gt;0</formula>
    </cfRule>
    <cfRule type="expression" dxfId="574" priority="10">
      <formula>I32&lt;0</formula>
    </cfRule>
  </conditionalFormatting>
  <conditionalFormatting sqref="F198:F200">
    <cfRule type="expression" dxfId="573" priority="7">
      <formula>F198&gt;0</formula>
    </cfRule>
    <cfRule type="expression" dxfId="572" priority="8">
      <formula>F198&lt;0</formula>
    </cfRule>
  </conditionalFormatting>
  <conditionalFormatting sqref="H198:H200">
    <cfRule type="expression" dxfId="571" priority="5">
      <formula>H198&gt;0</formula>
    </cfRule>
    <cfRule type="expression" dxfId="570" priority="6">
      <formula>H198&lt;0</formula>
    </cfRule>
  </conditionalFormatting>
  <conditionalFormatting sqref="J198:J200">
    <cfRule type="expression" dxfId="569" priority="3">
      <formula>J198&gt;0</formula>
    </cfRule>
    <cfRule type="expression" dxfId="568" priority="4">
      <formula>J198&lt;0</formula>
    </cfRule>
  </conditionalFormatting>
  <conditionalFormatting sqref="F202:F211 H202:H211 J202:J211">
    <cfRule type="expression" dxfId="567" priority="1">
      <formula>F202&gt;0</formula>
    </cfRule>
    <cfRule type="expression" dxfId="56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337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80.680000000000007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80.680000000000007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965</v>
      </c>
      <c r="Q13">
        <f>Q4/5.25</f>
        <v>15.36761904761905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681</v>
      </c>
      <c r="Q15" s="679" t="s">
        <v>682</v>
      </c>
      <c r="R15" s="677" t="s">
        <v>675</v>
      </c>
      <c r="S15" s="677" t="s">
        <v>676</v>
      </c>
      <c r="T15" s="679" t="s">
        <v>678</v>
      </c>
      <c r="U15" s="679" t="s">
        <v>679</v>
      </c>
      <c r="V15" s="677" t="s">
        <v>677</v>
      </c>
      <c r="W15" s="678" t="s">
        <v>680</v>
      </c>
    </row>
    <row r="16" spans="1:23" x14ac:dyDescent="0.25">
      <c r="G16" s="29"/>
      <c r="H16" s="70"/>
      <c r="O16" s="680">
        <v>42963</v>
      </c>
      <c r="P16" s="676" t="s">
        <v>683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685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6" t="s">
        <v>78</v>
      </c>
      <c r="P40" s="856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88.748000000000019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87.941200000000009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87.134400000000014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86.327600000000018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85.520800000000008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84.714000000000013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83.907200000000003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83.100400000000008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82.293600000000012</v>
      </c>
      <c r="Q49" s="2"/>
      <c r="T49" s="91" t="s">
        <v>103</v>
      </c>
      <c r="U49" s="127" t="s">
        <v>476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81.486800000000002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80.680000000000007</v>
      </c>
      <c r="Q51" s="2"/>
      <c r="T51" s="91" t="s">
        <v>104</v>
      </c>
      <c r="U51" s="127" t="s">
        <v>624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79.873200000000011</v>
      </c>
      <c r="Q52" s="2"/>
      <c r="T52" s="91" t="s">
        <v>105</v>
      </c>
      <c r="U52" s="127" t="s">
        <v>625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79.066400000000002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78.259600000000006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77.452800000000011</v>
      </c>
      <c r="T55" s="91" t="s">
        <v>107</v>
      </c>
      <c r="U55" s="127" t="s">
        <v>626</v>
      </c>
    </row>
    <row r="56" spans="1:21" x14ac:dyDescent="0.25">
      <c r="O56" s="81">
        <v>0.95</v>
      </c>
      <c r="P56" s="81">
        <f t="shared" si="0"/>
        <v>76.646000000000001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75.839200000000005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75.03240000000001</v>
      </c>
      <c r="T58" s="91" t="s">
        <v>108</v>
      </c>
      <c r="U58" s="127" t="s">
        <v>543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74.225600000000014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73.418800000000005</v>
      </c>
    </row>
    <row r="61" spans="1:21" x14ac:dyDescent="0.25">
      <c r="A61" s="371" t="s">
        <v>337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72.612000000000009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445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445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470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5" priority="80">
      <formula>Q7&gt;0</formula>
    </cfRule>
    <cfRule type="expression" dxfId="564" priority="81">
      <formula>Q7&lt;0</formula>
    </cfRule>
  </conditionalFormatting>
  <conditionalFormatting sqref="Q8">
    <cfRule type="expression" dxfId="563" priority="78">
      <formula>Q8&gt;0</formula>
    </cfRule>
    <cfRule type="expression" dxfId="562" priority="79">
      <formula>Q8&lt;0</formula>
    </cfRule>
  </conditionalFormatting>
  <conditionalFormatting sqref="F29:F43">
    <cfRule type="expression" dxfId="561" priority="62">
      <formula>F29&gt;0</formula>
    </cfRule>
    <cfRule type="expression" dxfId="560" priority="63">
      <formula>F29&lt;0</formula>
    </cfRule>
  </conditionalFormatting>
  <conditionalFormatting sqref="H45 H47:H48 H50:H51 H53 H29:H43">
    <cfRule type="expression" dxfId="559" priority="60">
      <formula>H29&gt;0</formula>
    </cfRule>
    <cfRule type="expression" dxfId="558" priority="61">
      <formula>H29&lt;0</formula>
    </cfRule>
  </conditionalFormatting>
  <conditionalFormatting sqref="J35">
    <cfRule type="expression" dxfId="557" priority="56">
      <formula>J35&gt;0</formula>
    </cfRule>
    <cfRule type="expression" dxfId="556" priority="57">
      <formula>J35&lt;0</formula>
    </cfRule>
  </conditionalFormatting>
  <conditionalFormatting sqref="J36:J37">
    <cfRule type="expression" dxfId="555" priority="54">
      <formula>J36&gt;0</formula>
    </cfRule>
    <cfRule type="expression" dxfId="554" priority="55">
      <formula>J36&lt;0</formula>
    </cfRule>
  </conditionalFormatting>
  <conditionalFormatting sqref="J38:J45 J48 J51">
    <cfRule type="expression" dxfId="553" priority="52">
      <formula>J38&gt;0</formula>
    </cfRule>
    <cfRule type="expression" dxfId="55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1" priority="49">
      <formula>M59&gt;0</formula>
    </cfRule>
    <cfRule type="expression" dxfId="550" priority="50">
      <formula>M59&lt;0</formula>
    </cfRule>
  </conditionalFormatting>
  <conditionalFormatting sqref="Q10">
    <cfRule type="expression" dxfId="549" priority="47">
      <formula>Q10&gt;0</formula>
    </cfRule>
    <cfRule type="expression" dxfId="548" priority="48">
      <formula>Q10&lt;0</formula>
    </cfRule>
  </conditionalFormatting>
  <conditionalFormatting sqref="F84:F103">
    <cfRule type="expression" dxfId="547" priority="45">
      <formula>F84&gt;0</formula>
    </cfRule>
    <cfRule type="expression" dxfId="546" priority="46">
      <formula>F84&lt;0</formula>
    </cfRule>
  </conditionalFormatting>
  <conditionalFormatting sqref="H107 H84:H103">
    <cfRule type="expression" dxfId="545" priority="43">
      <formula>H84&gt;0</formula>
    </cfRule>
    <cfRule type="expression" dxfId="544" priority="44">
      <formula>H84&lt;0</formula>
    </cfRule>
  </conditionalFormatting>
  <conditionalFormatting sqref="J89">
    <cfRule type="expression" dxfId="543" priority="41">
      <formula>J89&gt;0</formula>
    </cfRule>
    <cfRule type="expression" dxfId="542" priority="42">
      <formula>J89&lt;0</formula>
    </cfRule>
  </conditionalFormatting>
  <conditionalFormatting sqref="J90:J95">
    <cfRule type="expression" dxfId="541" priority="39">
      <formula>J90&gt;0</formula>
    </cfRule>
    <cfRule type="expression" dxfId="540" priority="40">
      <formula>J90&lt;0</formula>
    </cfRule>
  </conditionalFormatting>
  <conditionalFormatting sqref="J96:J97">
    <cfRule type="expression" dxfId="539" priority="37">
      <formula>J96&gt;0</formula>
    </cfRule>
    <cfRule type="expression" dxfId="538" priority="38">
      <formula>J96&lt;0</formula>
    </cfRule>
  </conditionalFormatting>
  <conditionalFormatting sqref="J98:J104">
    <cfRule type="expression" dxfId="537" priority="35">
      <formula>J98&gt;0</formula>
    </cfRule>
    <cfRule type="expression" dxfId="536" priority="36">
      <formula>J98&lt;0</formula>
    </cfRule>
  </conditionalFormatting>
  <conditionalFormatting sqref="J25">
    <cfRule type="expression" dxfId="535" priority="31">
      <formula>J25&gt;0</formula>
    </cfRule>
    <cfRule type="expression" dxfId="534" priority="32">
      <formula>J25&lt;0</formula>
    </cfRule>
  </conditionalFormatting>
  <conditionalFormatting sqref="F105:F106">
    <cfRule type="expression" dxfId="533" priority="29">
      <formula>F105&gt;0</formula>
    </cfRule>
    <cfRule type="expression" dxfId="532" priority="30">
      <formula>F105&lt;0</formula>
    </cfRule>
  </conditionalFormatting>
  <conditionalFormatting sqref="H105:H106">
    <cfRule type="expression" dxfId="531" priority="27">
      <formula>H105&gt;0</formula>
    </cfRule>
    <cfRule type="expression" dxfId="530" priority="28">
      <formula>H105&lt;0</formula>
    </cfRule>
  </conditionalFormatting>
  <conditionalFormatting sqref="J105">
    <cfRule type="expression" dxfId="529" priority="25">
      <formula>J105&gt;0</formula>
    </cfRule>
    <cfRule type="expression" dxfId="528" priority="26">
      <formula>J105&lt;0</formula>
    </cfRule>
  </conditionalFormatting>
  <conditionalFormatting sqref="J106">
    <cfRule type="expression" dxfId="527" priority="23">
      <formula>J106&gt;0</formula>
    </cfRule>
    <cfRule type="expression" dxfId="526" priority="24">
      <formula>J106&lt;0</formula>
    </cfRule>
  </conditionalFormatting>
  <conditionalFormatting sqref="F24 F27:F28">
    <cfRule type="expression" dxfId="525" priority="21">
      <formula>F24&gt;0</formula>
    </cfRule>
    <cfRule type="expression" dxfId="524" priority="22">
      <formula>F24&lt;0</formula>
    </cfRule>
  </conditionalFormatting>
  <conditionalFormatting sqref="H24:H28">
    <cfRule type="expression" dxfId="523" priority="19">
      <formula>H24&gt;0</formula>
    </cfRule>
    <cfRule type="expression" dxfId="522" priority="20">
      <formula>H24&lt;0</formula>
    </cfRule>
  </conditionalFormatting>
  <conditionalFormatting sqref="J26:J34">
    <cfRule type="expression" dxfId="521" priority="17">
      <formula>J26&gt;0</formula>
    </cfRule>
    <cfRule type="expression" dxfId="520" priority="18">
      <formula>J26&lt;0</formula>
    </cfRule>
  </conditionalFormatting>
  <conditionalFormatting sqref="F113">
    <cfRule type="expression" dxfId="519" priority="15">
      <formula>F113&gt;0</formula>
    </cfRule>
    <cfRule type="expression" dxfId="518" priority="16">
      <formula>F113&lt;0</formula>
    </cfRule>
  </conditionalFormatting>
  <conditionalFormatting sqref="H113">
    <cfRule type="expression" dxfId="517" priority="13">
      <formula>H113&gt;0</formula>
    </cfRule>
    <cfRule type="expression" dxfId="516" priority="14">
      <formula>H113&lt;0</formula>
    </cfRule>
  </conditionalFormatting>
  <conditionalFormatting sqref="J109">
    <cfRule type="expression" dxfId="515" priority="11">
      <formula>J109&gt;0</formula>
    </cfRule>
    <cfRule type="expression" dxfId="514" priority="12">
      <formula>J109&lt;0</formula>
    </cfRule>
  </conditionalFormatting>
  <conditionalFormatting sqref="F108:F112">
    <cfRule type="expression" dxfId="513" priority="9">
      <formula>F108&gt;0</formula>
    </cfRule>
    <cfRule type="expression" dxfId="512" priority="10">
      <formula>F108&lt;0</formula>
    </cfRule>
  </conditionalFormatting>
  <conditionalFormatting sqref="H108:H112">
    <cfRule type="expression" dxfId="511" priority="7">
      <formula>H108&gt;0</formula>
    </cfRule>
    <cfRule type="expression" dxfId="510" priority="8">
      <formula>H108&lt;0</formula>
    </cfRule>
  </conditionalFormatting>
  <conditionalFormatting sqref="J110:J113">
    <cfRule type="expression" dxfId="509" priority="5">
      <formula>J110&gt;0</formula>
    </cfRule>
    <cfRule type="expression" dxfId="508" priority="6">
      <formula>J110&lt;0</formula>
    </cfRule>
  </conditionalFormatting>
  <conditionalFormatting sqref="F25:F26">
    <cfRule type="expression" dxfId="507" priority="3">
      <formula>F25&gt;0</formula>
    </cfRule>
    <cfRule type="expression" dxfId="506" priority="4">
      <formula>F25&lt;0</formula>
    </cfRule>
  </conditionalFormatting>
  <conditionalFormatting sqref="Q9">
    <cfRule type="expression" dxfId="505" priority="1">
      <formula>Q9&gt;0</formula>
    </cfRule>
    <cfRule type="expression" dxfId="50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C29-H29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(F29-K29-M29)/Q2)</f>
        <v>32.78063157894735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26.52</v>
      </c>
      <c r="R4" s="223">
        <v>1.2999999999999999E-2</v>
      </c>
      <c r="T4" s="1">
        <v>43096</v>
      </c>
      <c r="U4" t="s">
        <v>777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10077.6</v>
      </c>
      <c r="U5" t="s">
        <v>778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12456.639999999992</v>
      </c>
      <c r="U6" t="s">
        <v>779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-2304.0199999999918</v>
      </c>
      <c r="R7">
        <v>160</v>
      </c>
      <c r="U7" t="s">
        <v>780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K29+M29-F29+Q2*Q4</f>
        <v>-2379.0399999999918</v>
      </c>
      <c r="U8" t="s">
        <v>781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207</v>
      </c>
      <c r="Q9" s="134">
        <f>IF(Q2=0, 0, Q8/Q6)</f>
        <v>-0.19098569116551439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206</v>
      </c>
      <c r="P10" s="33"/>
      <c r="Q10" s="2">
        <f>M81</f>
        <v>75.019999999999982</v>
      </c>
      <c r="T10" s="1">
        <v>43103</v>
      </c>
      <c r="U10" t="s">
        <v>828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3.4690799396681751E-2</v>
      </c>
      <c r="R11">
        <f>0.23</f>
        <v>0.23</v>
      </c>
      <c r="U11" t="s">
        <v>829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938</v>
      </c>
      <c r="Q12" s="1" t="s">
        <v>1216</v>
      </c>
      <c r="T12" s="1">
        <v>43110</v>
      </c>
      <c r="U12" t="s">
        <v>857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965</v>
      </c>
      <c r="Q13">
        <f>Q4/2.67</f>
        <v>9.9325842696629216</v>
      </c>
      <c r="T13" s="1">
        <v>43112</v>
      </c>
      <c r="U13" t="s">
        <v>853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U14" t="s">
        <v>854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856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892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29.172000000000001</v>
      </c>
      <c r="T19" s="1">
        <v>43125</v>
      </c>
      <c r="U19" t="s">
        <v>906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28.9068</v>
      </c>
      <c r="T20" s="1">
        <v>43126</v>
      </c>
      <c r="U20" t="s">
        <v>904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28.6416</v>
      </c>
      <c r="U21" t="s">
        <v>905</v>
      </c>
    </row>
    <row r="22" spans="1:21" x14ac:dyDescent="0.25">
      <c r="C22" s="4"/>
      <c r="D22" s="3"/>
      <c r="E22" s="3"/>
      <c r="F22" s="3"/>
      <c r="O22" s="81">
        <v>1.07</v>
      </c>
      <c r="P22" s="81">
        <f t="shared" si="3"/>
        <v>28.3764</v>
      </c>
    </row>
    <row r="23" spans="1:21" x14ac:dyDescent="0.25">
      <c r="C23" s="4"/>
      <c r="D23" s="3"/>
      <c r="E23" s="3"/>
      <c r="F23" s="3"/>
      <c r="O23" s="81">
        <v>1.06</v>
      </c>
      <c r="P23" s="81">
        <f t="shared" si="3"/>
        <v>28.1112</v>
      </c>
      <c r="T23" s="1">
        <v>43128</v>
      </c>
      <c r="U23" t="s">
        <v>907</v>
      </c>
    </row>
    <row r="24" spans="1:21" x14ac:dyDescent="0.25">
      <c r="O24" s="81">
        <v>1.05</v>
      </c>
      <c r="P24" s="81">
        <f t="shared" si="3"/>
        <v>27.846</v>
      </c>
    </row>
    <row r="25" spans="1:21" x14ac:dyDescent="0.25">
      <c r="C25" s="4"/>
      <c r="D25" s="3"/>
      <c r="E25" s="3"/>
      <c r="F25" s="3"/>
      <c r="O25" s="81">
        <v>1.04</v>
      </c>
      <c r="P25" s="81">
        <f t="shared" si="3"/>
        <v>27.5808</v>
      </c>
    </row>
    <row r="26" spans="1:21" x14ac:dyDescent="0.25">
      <c r="O26" s="81">
        <v>1.03</v>
      </c>
      <c r="P26" s="81">
        <f t="shared" si="3"/>
        <v>27.3156</v>
      </c>
    </row>
    <row r="27" spans="1:21" x14ac:dyDescent="0.25">
      <c r="C27" s="4"/>
      <c r="D27" s="3"/>
      <c r="E27" s="3"/>
      <c r="F27" s="3"/>
      <c r="O27" s="81">
        <v>1.02</v>
      </c>
      <c r="P27" s="81">
        <f t="shared" si="3"/>
        <v>27.0504</v>
      </c>
    </row>
    <row r="28" spans="1:21" x14ac:dyDescent="0.25">
      <c r="O28" s="81">
        <v>1.01</v>
      </c>
      <c r="P28" s="81">
        <f t="shared" si="3"/>
        <v>26.7852</v>
      </c>
      <c r="T28" s="770">
        <v>43136</v>
      </c>
      <c r="U28" t="s">
        <v>855</v>
      </c>
    </row>
    <row r="29" spans="1:21" x14ac:dyDescent="0.25">
      <c r="A29" s="35" t="s">
        <v>81</v>
      </c>
      <c r="B29" s="36"/>
      <c r="C29" s="36">
        <f>SUM(C2:C28)</f>
        <v>1720</v>
      </c>
      <c r="D29" s="37"/>
      <c r="E29" s="37"/>
      <c r="F29" s="37">
        <f>SUM(F2:F28)</f>
        <v>50067.099999999991</v>
      </c>
      <c r="G29" s="36"/>
      <c r="H29" s="175">
        <f>SUM(H2:H28)</f>
        <v>1340</v>
      </c>
      <c r="I29" s="37"/>
      <c r="J29" s="37"/>
      <c r="K29" s="37">
        <f>SUM(K2:K28)</f>
        <v>37316.06</v>
      </c>
      <c r="L29" s="37"/>
      <c r="M29" s="37">
        <f>SUM(M2:M28)</f>
        <v>294.39999999999998</v>
      </c>
      <c r="O29" s="81">
        <v>1</v>
      </c>
      <c r="P29" s="81">
        <f t="shared" si="3"/>
        <v>26.52</v>
      </c>
    </row>
    <row r="30" spans="1:21" ht="15.75" thickBot="1" x14ac:dyDescent="0.3">
      <c r="A30" s="341" t="s">
        <v>193</v>
      </c>
      <c r="B30" s="342"/>
      <c r="C30" s="343">
        <f>SumByColor($A$30,C2:C28)</f>
        <v>1340</v>
      </c>
      <c r="D30" s="343"/>
      <c r="E30" s="343"/>
      <c r="F30" s="344">
        <f>SumByColor($A$30,F2:F29)</f>
        <v>36637</v>
      </c>
      <c r="G30" s="343"/>
      <c r="H30" s="343">
        <f>SumByColor($A$30,H2:H28)</f>
        <v>1340</v>
      </c>
      <c r="I30" s="343"/>
      <c r="J30" s="343"/>
      <c r="K30" s="344">
        <f>SumByColor($A$30,K2:K28)</f>
        <v>37317</v>
      </c>
      <c r="L30" s="343"/>
      <c r="M30" s="344">
        <f>SumByColor($A$30,M2:M28)</f>
        <v>294</v>
      </c>
      <c r="O30" s="81">
        <v>0.99</v>
      </c>
      <c r="P30" s="81">
        <f t="shared" si="3"/>
        <v>26.254799999999999</v>
      </c>
      <c r="T30" s="1">
        <v>43175</v>
      </c>
      <c r="U30" t="s">
        <v>1109</v>
      </c>
    </row>
    <row r="31" spans="1:21" x14ac:dyDescent="0.25">
      <c r="O31" s="81">
        <v>0.98</v>
      </c>
      <c r="P31" s="81">
        <f t="shared" si="3"/>
        <v>25.989599999999999</v>
      </c>
      <c r="T31" s="1">
        <v>43178</v>
      </c>
      <c r="U31" t="s">
        <v>953</v>
      </c>
    </row>
    <row r="32" spans="1:21" x14ac:dyDescent="0.25">
      <c r="B32" s="182" t="s">
        <v>113</v>
      </c>
      <c r="C32" s="182" t="s">
        <v>146</v>
      </c>
      <c r="D32" s="183" t="s">
        <v>145</v>
      </c>
      <c r="E32" s="185" t="s">
        <v>147</v>
      </c>
      <c r="F32" s="186" t="s">
        <v>65</v>
      </c>
      <c r="G32" s="220" t="s">
        <v>151</v>
      </c>
      <c r="H32" s="186" t="s">
        <v>88</v>
      </c>
      <c r="I32" s="186" t="s">
        <v>154</v>
      </c>
      <c r="J32" s="186" t="s">
        <v>494</v>
      </c>
      <c r="K32" s="186" t="s">
        <v>150</v>
      </c>
      <c r="L32" s="186" t="s">
        <v>965</v>
      </c>
      <c r="O32" s="81">
        <v>0.97</v>
      </c>
      <c r="P32" s="81">
        <f t="shared" si="3"/>
        <v>25.724399999999999</v>
      </c>
    </row>
    <row r="33" spans="1:21" x14ac:dyDescent="0.25">
      <c r="B33" s="184">
        <v>42985</v>
      </c>
      <c r="C33" s="10">
        <v>50</v>
      </c>
      <c r="D33" s="39">
        <v>44.98</v>
      </c>
      <c r="E33" s="39">
        <v>44.76</v>
      </c>
      <c r="F33" s="39">
        <f t="shared" ref="F33:F47" si="4">C33*(E33-D33)</f>
        <v>-10.999999999999943</v>
      </c>
      <c r="G33" s="39">
        <f t="shared" ref="G33:G47" si="5">D33*C33</f>
        <v>2249</v>
      </c>
      <c r="H33" s="222">
        <f t="shared" ref="H33:H47" si="6">(E33-D33)/D33</f>
        <v>-4.891062694530878E-3</v>
      </c>
      <c r="I33" s="222"/>
      <c r="J33" s="222"/>
      <c r="K33" s="222"/>
      <c r="L33" s="222"/>
      <c r="O33" s="81">
        <v>0.96</v>
      </c>
      <c r="P33" s="81">
        <f t="shared" si="3"/>
        <v>25.459199999999999</v>
      </c>
      <c r="T33" s="1">
        <v>43217</v>
      </c>
      <c r="U33" t="s">
        <v>1026</v>
      </c>
    </row>
    <row r="34" spans="1:21" x14ac:dyDescent="0.25">
      <c r="B34" s="184">
        <v>42994</v>
      </c>
      <c r="C34" s="10">
        <v>110</v>
      </c>
      <c r="D34" s="39">
        <v>43.796399999999998</v>
      </c>
      <c r="E34" s="39">
        <v>43.2</v>
      </c>
      <c r="F34" s="39">
        <f t="shared" si="4"/>
        <v>-65.603999999999516</v>
      </c>
      <c r="G34" s="39">
        <f t="shared" si="5"/>
        <v>4817.6040000000003</v>
      </c>
      <c r="H34" s="222">
        <f t="shared" si="6"/>
        <v>-1.3617557607474486E-2</v>
      </c>
      <c r="I34" s="222"/>
      <c r="J34" s="222"/>
      <c r="K34" s="222"/>
      <c r="L34" s="222"/>
      <c r="O34" s="81">
        <v>0.95</v>
      </c>
      <c r="P34" s="81">
        <f t="shared" si="3"/>
        <v>25.193999999999999</v>
      </c>
    </row>
    <row r="35" spans="1:21" x14ac:dyDescent="0.25">
      <c r="B35" s="184">
        <v>42999</v>
      </c>
      <c r="C35" s="10">
        <v>110</v>
      </c>
      <c r="D35" s="39">
        <v>43.796399999999998</v>
      </c>
      <c r="E35" s="39">
        <v>41.48</v>
      </c>
      <c r="F35" s="39">
        <f t="shared" si="4"/>
        <v>-254.80400000000017</v>
      </c>
      <c r="G35" s="39">
        <f t="shared" si="5"/>
        <v>4817.6040000000003</v>
      </c>
      <c r="H35" s="222">
        <f t="shared" si="6"/>
        <v>-5.2890191887917763E-2</v>
      </c>
      <c r="I35" s="222"/>
      <c r="J35" s="222"/>
      <c r="K35" s="222"/>
      <c r="L35" s="222"/>
      <c r="O35" s="81">
        <v>0.94</v>
      </c>
      <c r="P35" s="81">
        <f t="shared" si="3"/>
        <v>24.928799999999999</v>
      </c>
      <c r="T35" s="1">
        <v>43224</v>
      </c>
      <c r="U35" t="s">
        <v>82</v>
      </c>
    </row>
    <row r="36" spans="1:21" x14ac:dyDescent="0.25">
      <c r="B36" s="184">
        <v>43028</v>
      </c>
      <c r="C36" s="10">
        <v>180</v>
      </c>
      <c r="D36" s="39">
        <v>42.494999999999997</v>
      </c>
      <c r="E36" s="39">
        <v>40.369999999999997</v>
      </c>
      <c r="F36" s="39">
        <f t="shared" si="4"/>
        <v>-382.5</v>
      </c>
      <c r="G36" s="39">
        <f t="shared" si="5"/>
        <v>7649.0999999999995</v>
      </c>
      <c r="H36" s="222">
        <f t="shared" si="6"/>
        <v>-5.0005883045064127E-2</v>
      </c>
      <c r="I36" s="222"/>
      <c r="J36" s="222"/>
      <c r="K36" s="222"/>
      <c r="L36" s="222"/>
      <c r="O36" s="81">
        <v>0.93</v>
      </c>
      <c r="P36" s="81">
        <f t="shared" si="3"/>
        <v>24.663600000000002</v>
      </c>
    </row>
    <row r="37" spans="1:21" x14ac:dyDescent="0.25">
      <c r="B37" s="184">
        <v>43042</v>
      </c>
      <c r="C37" s="7">
        <v>280</v>
      </c>
      <c r="D37" s="43">
        <v>39.311100000000003</v>
      </c>
      <c r="E37" s="39">
        <v>30.77</v>
      </c>
      <c r="F37" s="39">
        <f t="shared" si="4"/>
        <v>-2391.5080000000012</v>
      </c>
      <c r="G37" s="39">
        <f t="shared" si="5"/>
        <v>11007.108</v>
      </c>
      <c r="H37" s="223">
        <f t="shared" si="6"/>
        <v>-0.21726942263126708</v>
      </c>
      <c r="I37" s="223"/>
      <c r="J37" s="223"/>
      <c r="K37" s="223"/>
      <c r="L37" s="223"/>
      <c r="O37" s="81">
        <v>0.92</v>
      </c>
      <c r="P37" s="81">
        <f t="shared" si="3"/>
        <v>24.398400000000002</v>
      </c>
    </row>
    <row r="38" spans="1:21" x14ac:dyDescent="0.25">
      <c r="B38" s="184">
        <v>43045</v>
      </c>
      <c r="C38" s="10">
        <v>500</v>
      </c>
      <c r="D38" s="39">
        <v>35.243400000000001</v>
      </c>
      <c r="E38" s="39">
        <v>30.82</v>
      </c>
      <c r="F38" s="39">
        <f t="shared" si="4"/>
        <v>-2211.7000000000003</v>
      </c>
      <c r="G38" s="39">
        <f t="shared" si="5"/>
        <v>17621.7</v>
      </c>
      <c r="H38" s="223">
        <f t="shared" si="6"/>
        <v>-0.12551002457197663</v>
      </c>
      <c r="I38" s="223"/>
      <c r="J38" s="223"/>
      <c r="K38" s="223"/>
      <c r="L38" s="223"/>
      <c r="O38" s="81">
        <v>0.91</v>
      </c>
      <c r="P38" s="81">
        <f t="shared" si="3"/>
        <v>24.133200000000002</v>
      </c>
    </row>
    <row r="39" spans="1:21" x14ac:dyDescent="0.25">
      <c r="B39" s="184">
        <v>43047</v>
      </c>
      <c r="C39" s="10">
        <v>380</v>
      </c>
      <c r="D39" s="39">
        <v>36.485799999999998</v>
      </c>
      <c r="E39" s="39">
        <v>31.31</v>
      </c>
      <c r="F39" s="39">
        <f t="shared" si="4"/>
        <v>-1966.8039999999996</v>
      </c>
      <c r="G39" s="39">
        <f t="shared" si="5"/>
        <v>13864.603999999999</v>
      </c>
      <c r="H39" s="223">
        <f t="shared" si="6"/>
        <v>-0.14185792828991003</v>
      </c>
      <c r="I39" s="223"/>
      <c r="J39" s="223"/>
      <c r="K39" s="223"/>
      <c r="L39" s="223"/>
      <c r="O39" s="81">
        <v>0.9</v>
      </c>
      <c r="P39" s="81">
        <f t="shared" si="3"/>
        <v>23.867999999999999</v>
      </c>
      <c r="T39" s="156">
        <v>43318</v>
      </c>
      <c r="U39" t="s">
        <v>82</v>
      </c>
    </row>
    <row r="40" spans="1:21" x14ac:dyDescent="0.25">
      <c r="B40" s="184">
        <v>43048</v>
      </c>
      <c r="C40" s="10">
        <v>500</v>
      </c>
      <c r="D40" s="39">
        <v>35.020400000000002</v>
      </c>
      <c r="E40" s="39">
        <v>30.1</v>
      </c>
      <c r="F40" s="39">
        <f t="shared" si="4"/>
        <v>-2460.2000000000003</v>
      </c>
      <c r="G40" s="39">
        <f t="shared" si="5"/>
        <v>17510.2</v>
      </c>
      <c r="H40" s="223">
        <f t="shared" si="6"/>
        <v>-0.14050096515174015</v>
      </c>
      <c r="I40" s="39">
        <v>34.5</v>
      </c>
      <c r="J40" s="39"/>
      <c r="K40" s="39"/>
      <c r="L40" s="39"/>
    </row>
    <row r="41" spans="1:21" x14ac:dyDescent="0.25">
      <c r="B41" s="184">
        <v>43052</v>
      </c>
      <c r="C41" s="10">
        <v>600</v>
      </c>
      <c r="D41" s="39">
        <v>33.913699999999999</v>
      </c>
      <c r="E41" s="39">
        <v>28.45</v>
      </c>
      <c r="F41" s="39">
        <f t="shared" si="4"/>
        <v>-3278.22</v>
      </c>
      <c r="G41" s="39">
        <f t="shared" si="5"/>
        <v>20348.219999999998</v>
      </c>
      <c r="H41" s="223">
        <f t="shared" si="6"/>
        <v>-0.16110598371749468</v>
      </c>
      <c r="I41" s="39">
        <v>33.5</v>
      </c>
      <c r="J41" s="39"/>
      <c r="K41" s="39"/>
      <c r="L41" s="39"/>
      <c r="O41" s="33"/>
      <c r="R41" s="33"/>
    </row>
    <row r="42" spans="1:21" x14ac:dyDescent="0.25">
      <c r="A42">
        <v>0</v>
      </c>
      <c r="B42" s="184">
        <v>43066</v>
      </c>
      <c r="C42" s="10">
        <v>500</v>
      </c>
      <c r="D42" s="39">
        <v>34.780500000000004</v>
      </c>
      <c r="E42" s="39">
        <v>29.79</v>
      </c>
      <c r="F42" s="39">
        <f t="shared" si="4"/>
        <v>-2495.2500000000023</v>
      </c>
      <c r="G42" s="39">
        <f t="shared" si="5"/>
        <v>17390.25</v>
      </c>
      <c r="H42" s="223">
        <f t="shared" si="6"/>
        <v>-0.14348557381291252</v>
      </c>
      <c r="I42" s="39">
        <v>34.5</v>
      </c>
      <c r="J42" s="39"/>
      <c r="K42" s="39"/>
      <c r="L42" s="39"/>
      <c r="Q42" s="33"/>
      <c r="R42" s="33"/>
    </row>
    <row r="43" spans="1:21" x14ac:dyDescent="0.25">
      <c r="B43" s="184">
        <v>43074</v>
      </c>
      <c r="C43" s="10">
        <v>440</v>
      </c>
      <c r="D43" s="39">
        <v>35.309699999999999</v>
      </c>
      <c r="E43" s="39">
        <v>31.78</v>
      </c>
      <c r="F43" s="39">
        <f t="shared" si="4"/>
        <v>-1553.0679999999993</v>
      </c>
      <c r="G43" s="39">
        <f t="shared" si="5"/>
        <v>15536.268</v>
      </c>
      <c r="H43" s="223">
        <f t="shared" si="6"/>
        <v>-9.9964032546297432E-2</v>
      </c>
      <c r="I43" s="39"/>
      <c r="J43" s="39"/>
      <c r="K43" s="39"/>
      <c r="L43" s="39"/>
      <c r="Q43" s="33"/>
      <c r="R43" s="33"/>
    </row>
    <row r="44" spans="1:21" x14ac:dyDescent="0.25">
      <c r="A44">
        <v>440</v>
      </c>
      <c r="B44" s="184">
        <v>43087</v>
      </c>
      <c r="C44" s="10">
        <v>440</v>
      </c>
      <c r="D44" s="39">
        <v>35.049999999999997</v>
      </c>
      <c r="E44" s="39">
        <v>30.7</v>
      </c>
      <c r="F44" s="39">
        <f t="shared" si="4"/>
        <v>-1913.9999999999991</v>
      </c>
      <c r="G44" s="39">
        <f t="shared" si="5"/>
        <v>15421.999999999998</v>
      </c>
      <c r="H44" s="223">
        <f t="shared" si="6"/>
        <v>-0.12410841654778883</v>
      </c>
      <c r="I44" s="39"/>
      <c r="J44" s="39"/>
      <c r="K44" s="39"/>
      <c r="L44" s="39"/>
      <c r="Q44" s="33"/>
      <c r="R44" s="33"/>
    </row>
    <row r="45" spans="1:21" x14ac:dyDescent="0.25">
      <c r="A45">
        <v>440</v>
      </c>
      <c r="B45" s="184">
        <v>43089</v>
      </c>
      <c r="C45" s="10">
        <v>500</v>
      </c>
      <c r="D45" s="39">
        <v>34.463999999999999</v>
      </c>
      <c r="E45" s="39">
        <v>30.21</v>
      </c>
      <c r="F45" s="39">
        <f t="shared" si="4"/>
        <v>-2126.9999999999991</v>
      </c>
      <c r="G45" s="39">
        <f t="shared" si="5"/>
        <v>17232</v>
      </c>
      <c r="H45" s="223">
        <f t="shared" si="6"/>
        <v>-0.12343314763231192</v>
      </c>
      <c r="I45" s="39" t="s">
        <v>771</v>
      </c>
      <c r="J45" s="39"/>
      <c r="K45" s="39"/>
      <c r="L45" s="39"/>
      <c r="Q45" s="33"/>
      <c r="R45" s="33"/>
    </row>
    <row r="46" spans="1:21" x14ac:dyDescent="0.25">
      <c r="A46">
        <v>320</v>
      </c>
      <c r="B46" s="184">
        <v>43090</v>
      </c>
      <c r="C46" s="425">
        <v>380</v>
      </c>
      <c r="D46" s="426">
        <v>35.658999999999999</v>
      </c>
      <c r="E46" s="39">
        <v>30.68</v>
      </c>
      <c r="F46" s="39">
        <f t="shared" si="4"/>
        <v>-1892.0199999999998</v>
      </c>
      <c r="G46" s="39">
        <f t="shared" si="5"/>
        <v>13550.42</v>
      </c>
      <c r="H46" s="223">
        <f t="shared" si="6"/>
        <v>-0.13962814436748083</v>
      </c>
      <c r="I46" s="39"/>
      <c r="J46" s="39"/>
      <c r="K46" s="39"/>
      <c r="L46" s="39"/>
      <c r="Q46" s="81"/>
      <c r="R46" s="33"/>
    </row>
    <row r="47" spans="1:21" x14ac:dyDescent="0.25">
      <c r="A47">
        <v>260</v>
      </c>
      <c r="B47" s="184">
        <v>43097</v>
      </c>
      <c r="C47" s="10">
        <v>320</v>
      </c>
      <c r="D47" s="39">
        <v>36.552</v>
      </c>
      <c r="E47" s="39">
        <v>30.9</v>
      </c>
      <c r="F47" s="39">
        <f t="shared" si="4"/>
        <v>-1808.6400000000003</v>
      </c>
      <c r="G47" s="39">
        <f t="shared" si="5"/>
        <v>11696.64</v>
      </c>
      <c r="H47" s="223">
        <f t="shared" si="6"/>
        <v>-0.15462902166776102</v>
      </c>
      <c r="I47" s="39"/>
      <c r="J47" s="39"/>
      <c r="K47" s="39"/>
      <c r="L47" s="39"/>
      <c r="Q47" s="81"/>
      <c r="R47" s="33"/>
    </row>
    <row r="48" spans="1:21" x14ac:dyDescent="0.25">
      <c r="A48">
        <v>260</v>
      </c>
      <c r="B48" s="184">
        <v>43103</v>
      </c>
      <c r="C48" s="10">
        <v>320</v>
      </c>
      <c r="D48" s="39">
        <v>36.552</v>
      </c>
      <c r="E48" s="39">
        <v>31.83</v>
      </c>
      <c r="F48" s="39">
        <f t="shared" ref="F48:F74" si="7">C48*(E48-D48)</f>
        <v>-1511.0400000000004</v>
      </c>
      <c r="G48" s="39">
        <f t="shared" ref="G48:G74" si="8">D48*C48</f>
        <v>11696.64</v>
      </c>
      <c r="H48" s="223">
        <f t="shared" ref="H48:H74" si="9">(E48-D48)/D48</f>
        <v>-0.1291858174655286</v>
      </c>
      <c r="I48" s="39"/>
      <c r="J48" s="39">
        <v>55.37</v>
      </c>
      <c r="K48" s="39"/>
      <c r="L48" s="39"/>
      <c r="Q48" s="81"/>
      <c r="R48" s="33"/>
    </row>
    <row r="49" spans="1:18" x14ac:dyDescent="0.25">
      <c r="A49">
        <v>260</v>
      </c>
      <c r="B49" s="184">
        <v>43110</v>
      </c>
      <c r="C49" s="10">
        <v>320</v>
      </c>
      <c r="D49" s="39">
        <v>36.552</v>
      </c>
      <c r="E49" s="39">
        <v>31.15</v>
      </c>
      <c r="F49" s="39">
        <f t="shared" si="7"/>
        <v>-1728.6400000000003</v>
      </c>
      <c r="G49" s="39">
        <f t="shared" si="8"/>
        <v>11696.64</v>
      </c>
      <c r="H49" s="223">
        <f t="shared" si="9"/>
        <v>-0.14778945064565555</v>
      </c>
      <c r="I49" s="39"/>
      <c r="J49" s="39">
        <v>57.27</v>
      </c>
      <c r="K49" s="39"/>
      <c r="L49" s="39"/>
      <c r="Q49" s="81"/>
      <c r="R49" s="33"/>
    </row>
    <row r="50" spans="1:18" x14ac:dyDescent="0.25">
      <c r="A50">
        <v>320</v>
      </c>
      <c r="B50" s="184">
        <v>43125</v>
      </c>
      <c r="C50" s="10">
        <v>500</v>
      </c>
      <c r="D50" s="39">
        <v>32.3932</v>
      </c>
      <c r="E50" s="39">
        <v>24.81</v>
      </c>
      <c r="F50" s="39">
        <f t="shared" si="7"/>
        <v>-3791.6000000000008</v>
      </c>
      <c r="G50" s="39">
        <f t="shared" si="8"/>
        <v>16196.6</v>
      </c>
      <c r="H50" s="223">
        <f t="shared" si="9"/>
        <v>-0.23409851450304389</v>
      </c>
      <c r="I50" s="39"/>
      <c r="J50" s="39"/>
      <c r="K50" s="39"/>
      <c r="L50" s="39"/>
      <c r="Q50" s="81"/>
      <c r="R50" s="33"/>
    </row>
    <row r="51" spans="1:18" x14ac:dyDescent="0.25">
      <c r="A51">
        <v>140</v>
      </c>
      <c r="B51" s="184">
        <v>43126</v>
      </c>
      <c r="C51" s="10">
        <v>320</v>
      </c>
      <c r="D51" s="39">
        <v>36.340000000000003</v>
      </c>
      <c r="E51" s="39">
        <v>25.38</v>
      </c>
      <c r="F51" s="39">
        <f t="shared" si="7"/>
        <v>-3507.2000000000016</v>
      </c>
      <c r="G51" s="39">
        <f t="shared" si="8"/>
        <v>11628.800000000001</v>
      </c>
      <c r="H51" s="223">
        <f t="shared" si="9"/>
        <v>-0.30159603742432589</v>
      </c>
      <c r="I51" s="39"/>
      <c r="J51" s="39"/>
      <c r="K51" s="39"/>
      <c r="L51" s="39"/>
      <c r="Q51" s="81"/>
      <c r="R51" s="33"/>
    </row>
    <row r="52" spans="1:18" x14ac:dyDescent="0.25">
      <c r="A52">
        <v>100</v>
      </c>
      <c r="B52" s="184">
        <v>43126</v>
      </c>
      <c r="C52" s="7">
        <v>280</v>
      </c>
      <c r="D52" s="43">
        <v>37.770000000000003</v>
      </c>
      <c r="E52" s="39">
        <v>26.358000000000001</v>
      </c>
      <c r="F52" s="39">
        <f t="shared" si="7"/>
        <v>-3195.3600000000006</v>
      </c>
      <c r="G52" s="39">
        <f t="shared" si="8"/>
        <v>10575.6</v>
      </c>
      <c r="H52" s="223">
        <f t="shared" si="9"/>
        <v>-0.30214455917394761</v>
      </c>
      <c r="I52" s="39">
        <v>37</v>
      </c>
      <c r="J52" s="39"/>
      <c r="K52" s="39"/>
      <c r="L52" s="39"/>
      <c r="Q52" s="81"/>
      <c r="R52" s="33"/>
    </row>
    <row r="53" spans="1:18" x14ac:dyDescent="0.25">
      <c r="A53">
        <v>100</v>
      </c>
      <c r="B53" s="184">
        <v>43142</v>
      </c>
      <c r="C53" s="10">
        <v>280</v>
      </c>
      <c r="D53" s="39">
        <v>37.770000000000003</v>
      </c>
      <c r="E53" s="39">
        <v>27.61</v>
      </c>
      <c r="F53" s="39">
        <f t="shared" si="7"/>
        <v>-2844.8000000000011</v>
      </c>
      <c r="G53" s="39">
        <f t="shared" si="8"/>
        <v>10575.6</v>
      </c>
      <c r="H53" s="223">
        <f t="shared" si="9"/>
        <v>-0.26899655811490608</v>
      </c>
      <c r="I53" s="39"/>
      <c r="J53" s="39"/>
      <c r="K53" s="39"/>
      <c r="L53" s="39"/>
      <c r="Q53" s="81"/>
      <c r="R53" s="33"/>
    </row>
    <row r="54" spans="1:18" x14ac:dyDescent="0.25">
      <c r="A54">
        <v>280</v>
      </c>
      <c r="B54" s="184">
        <v>43143</v>
      </c>
      <c r="C54" s="10">
        <v>280</v>
      </c>
      <c r="D54" s="39">
        <v>37.770000000000003</v>
      </c>
      <c r="E54" s="39">
        <v>26.96</v>
      </c>
      <c r="F54" s="39">
        <f t="shared" si="7"/>
        <v>-3026.8000000000006</v>
      </c>
      <c r="G54" s="39">
        <f t="shared" si="8"/>
        <v>10575.6</v>
      </c>
      <c r="H54" s="223">
        <f t="shared" si="9"/>
        <v>-0.28620598358485572</v>
      </c>
      <c r="I54" s="39"/>
      <c r="J54" s="39"/>
      <c r="K54" s="39"/>
      <c r="L54" s="39"/>
      <c r="Q54" s="81"/>
      <c r="R54" s="33"/>
    </row>
    <row r="55" spans="1:18" x14ac:dyDescent="0.25">
      <c r="B55" s="184">
        <v>43172</v>
      </c>
      <c r="C55" s="10">
        <v>280</v>
      </c>
      <c r="D55" s="39">
        <v>37.770000000000003</v>
      </c>
      <c r="E55" s="39">
        <v>28.6</v>
      </c>
      <c r="F55" s="39">
        <f t="shared" si="7"/>
        <v>-2567.6000000000004</v>
      </c>
      <c r="G55" s="39">
        <f t="shared" si="8"/>
        <v>10575.6</v>
      </c>
      <c r="H55" s="223">
        <f t="shared" si="9"/>
        <v>-0.24278527932221342</v>
      </c>
      <c r="I55" s="39"/>
      <c r="J55" s="39"/>
      <c r="K55" s="39">
        <v>-2491</v>
      </c>
      <c r="L55" s="39"/>
      <c r="Q55" s="81"/>
    </row>
    <row r="56" spans="1:18" x14ac:dyDescent="0.25">
      <c r="B56" s="184">
        <v>43178</v>
      </c>
      <c r="C56" s="10">
        <v>380</v>
      </c>
      <c r="D56" s="39">
        <v>34.729999999999997</v>
      </c>
      <c r="E56" s="39">
        <v>26.79</v>
      </c>
      <c r="F56" s="39">
        <f t="shared" si="7"/>
        <v>-3017.1999999999989</v>
      </c>
      <c r="G56" s="39">
        <f t="shared" si="8"/>
        <v>13197.4</v>
      </c>
      <c r="H56" s="223">
        <f t="shared" si="9"/>
        <v>-0.22862078894327667</v>
      </c>
      <c r="I56" s="39"/>
      <c r="J56" s="39"/>
      <c r="K56" s="39"/>
      <c r="L56" s="39"/>
      <c r="Q56" s="81"/>
    </row>
    <row r="57" spans="1:18" x14ac:dyDescent="0.25">
      <c r="B57" s="184">
        <v>43185</v>
      </c>
      <c r="C57" s="425">
        <v>380</v>
      </c>
      <c r="D57" s="426">
        <v>34.729999999999997</v>
      </c>
      <c r="E57" s="39">
        <v>26.06</v>
      </c>
      <c r="F57" s="39">
        <f t="shared" si="7"/>
        <v>-3294.5999999999995</v>
      </c>
      <c r="G57" s="39">
        <f t="shared" si="8"/>
        <v>13197.4</v>
      </c>
      <c r="H57" s="223">
        <f t="shared" si="9"/>
        <v>-0.24964008062194065</v>
      </c>
      <c r="I57" s="39"/>
      <c r="J57" s="39"/>
      <c r="K57" s="39">
        <v>-3220</v>
      </c>
      <c r="L57" s="39"/>
      <c r="Q57" s="81"/>
    </row>
    <row r="58" spans="1:18" x14ac:dyDescent="0.25">
      <c r="A58">
        <v>280</v>
      </c>
      <c r="B58" s="184">
        <v>43186</v>
      </c>
      <c r="C58" s="10">
        <v>500</v>
      </c>
      <c r="D58" s="39">
        <v>32.32</v>
      </c>
      <c r="E58" s="39">
        <v>25.19</v>
      </c>
      <c r="F58" s="39">
        <f t="shared" si="7"/>
        <v>-3564.9999999999995</v>
      </c>
      <c r="G58" s="39">
        <f t="shared" si="8"/>
        <v>16160</v>
      </c>
      <c r="H58" s="223">
        <f t="shared" si="9"/>
        <v>-0.22060643564356433</v>
      </c>
      <c r="I58" s="39"/>
      <c r="J58" s="39"/>
      <c r="K58" s="39">
        <v>-3490</v>
      </c>
      <c r="L58" s="39"/>
      <c r="Q58" s="81"/>
    </row>
    <row r="59" spans="1:18" x14ac:dyDescent="0.25">
      <c r="A59">
        <v>160</v>
      </c>
      <c r="B59" s="184">
        <v>43194</v>
      </c>
      <c r="C59" s="10">
        <v>380</v>
      </c>
      <c r="D59" s="39">
        <v>34.42</v>
      </c>
      <c r="E59" s="39">
        <v>25.67</v>
      </c>
      <c r="F59" s="39">
        <f t="shared" si="7"/>
        <v>-3325</v>
      </c>
      <c r="G59" s="39">
        <f t="shared" si="8"/>
        <v>13079.6</v>
      </c>
      <c r="H59" s="223">
        <f t="shared" si="9"/>
        <v>-0.25421266705403833</v>
      </c>
      <c r="I59" s="39"/>
      <c r="J59" s="39"/>
      <c r="K59" s="39">
        <v>-3248</v>
      </c>
      <c r="L59" s="39"/>
      <c r="Q59" s="81"/>
    </row>
    <row r="60" spans="1:18" x14ac:dyDescent="0.25">
      <c r="A60">
        <v>260</v>
      </c>
      <c r="B60" s="184">
        <v>43216</v>
      </c>
      <c r="C60" s="10">
        <v>380</v>
      </c>
      <c r="D60" s="39">
        <v>34.42</v>
      </c>
      <c r="E60" s="39">
        <v>26.96</v>
      </c>
      <c r="F60" s="39">
        <f t="shared" si="7"/>
        <v>-2834.8</v>
      </c>
      <c r="G60" s="39">
        <f t="shared" si="8"/>
        <v>13079.6</v>
      </c>
      <c r="H60" s="223">
        <f t="shared" si="9"/>
        <v>-0.21673445671121441</v>
      </c>
      <c r="I60" s="39"/>
      <c r="J60" s="39"/>
      <c r="K60" s="39">
        <v>-2758</v>
      </c>
      <c r="L60" s="39"/>
      <c r="Q60" s="81"/>
    </row>
    <row r="61" spans="1:18" x14ac:dyDescent="0.25">
      <c r="A61">
        <v>280</v>
      </c>
      <c r="B61" s="184">
        <v>43217</v>
      </c>
      <c r="C61" s="7">
        <v>280</v>
      </c>
      <c r="D61" s="43">
        <v>36.86</v>
      </c>
      <c r="E61" s="39">
        <v>27.58</v>
      </c>
      <c r="F61" s="39">
        <f t="shared" si="7"/>
        <v>-2598.4000000000005</v>
      </c>
      <c r="G61" s="39">
        <f t="shared" si="8"/>
        <v>10320.799999999999</v>
      </c>
      <c r="H61" s="223">
        <f t="shared" si="9"/>
        <v>-0.25176342919153555</v>
      </c>
      <c r="I61" s="193" t="s">
        <v>1037</v>
      </c>
      <c r="J61" s="39"/>
      <c r="K61" s="39">
        <v>-2523</v>
      </c>
      <c r="L61" s="39"/>
      <c r="Q61" s="81"/>
    </row>
    <row r="62" spans="1:18" x14ac:dyDescent="0.25">
      <c r="A62">
        <v>280</v>
      </c>
      <c r="B62" s="184">
        <v>43221</v>
      </c>
      <c r="C62" s="425">
        <v>380</v>
      </c>
      <c r="D62" s="426">
        <v>34.158099999999997</v>
      </c>
      <c r="E62" s="39">
        <v>27.05</v>
      </c>
      <c r="F62" s="39">
        <f t="shared" si="7"/>
        <v>-2701.0779999999986</v>
      </c>
      <c r="G62" s="39">
        <f t="shared" si="8"/>
        <v>12980.078</v>
      </c>
      <c r="H62" s="223">
        <f t="shared" si="9"/>
        <v>-0.20809412701526131</v>
      </c>
      <c r="I62" s="193">
        <v>34</v>
      </c>
      <c r="J62" s="39"/>
      <c r="K62" s="39">
        <v>-2626</v>
      </c>
      <c r="L62" s="193"/>
      <c r="Q62" s="81"/>
    </row>
    <row r="63" spans="1:18" x14ac:dyDescent="0.25">
      <c r="A63">
        <v>180</v>
      </c>
      <c r="B63" s="184">
        <v>43222</v>
      </c>
      <c r="C63" s="7">
        <v>280</v>
      </c>
      <c r="D63" s="43">
        <v>36.472000000000001</v>
      </c>
      <c r="E63" s="39">
        <v>26.85</v>
      </c>
      <c r="F63" s="39">
        <f t="shared" si="7"/>
        <v>-2694.16</v>
      </c>
      <c r="G63" s="39">
        <f t="shared" si="8"/>
        <v>10212.16</v>
      </c>
      <c r="H63" s="223">
        <f t="shared" si="9"/>
        <v>-0.26381881991664835</v>
      </c>
      <c r="I63" s="193">
        <v>36</v>
      </c>
      <c r="J63" s="39"/>
      <c r="K63" s="39">
        <v>-2619</v>
      </c>
      <c r="L63" s="193"/>
      <c r="Q63" s="81"/>
    </row>
    <row r="64" spans="1:18" x14ac:dyDescent="0.25">
      <c r="A64">
        <v>180</v>
      </c>
      <c r="B64" s="184">
        <v>43223</v>
      </c>
      <c r="C64" s="425">
        <v>380</v>
      </c>
      <c r="D64" s="426">
        <v>33.9133</v>
      </c>
      <c r="E64" s="39">
        <v>26.69</v>
      </c>
      <c r="F64" s="39">
        <f t="shared" si="7"/>
        <v>-2744.8539999999994</v>
      </c>
      <c r="G64" s="39">
        <f t="shared" si="8"/>
        <v>12887.054</v>
      </c>
      <c r="H64" s="223">
        <f t="shared" si="9"/>
        <v>-0.21299313248784396</v>
      </c>
      <c r="I64" s="39"/>
      <c r="J64" s="39"/>
      <c r="K64" s="39">
        <v>-2670</v>
      </c>
      <c r="L64" s="193"/>
      <c r="O64" s="33"/>
    </row>
    <row r="65" spans="1:15" x14ac:dyDescent="0.25">
      <c r="A65">
        <v>180</v>
      </c>
      <c r="B65" s="184">
        <v>43241</v>
      </c>
      <c r="C65" s="425">
        <v>380</v>
      </c>
      <c r="D65" s="426">
        <v>33.9133</v>
      </c>
      <c r="E65" s="39">
        <v>26.39</v>
      </c>
      <c r="F65" s="39">
        <f t="shared" si="7"/>
        <v>-2858.8539999999998</v>
      </c>
      <c r="G65" s="39">
        <f t="shared" si="8"/>
        <v>12887.054</v>
      </c>
      <c r="H65" s="223">
        <f t="shared" si="9"/>
        <v>-0.22183921942128895</v>
      </c>
      <c r="I65" s="39"/>
      <c r="J65" s="39"/>
      <c r="K65" s="39">
        <v>-2669</v>
      </c>
      <c r="L65" s="193">
        <v>9.8800000000000008</v>
      </c>
    </row>
    <row r="66" spans="1:15" x14ac:dyDescent="0.25">
      <c r="A66">
        <v>180</v>
      </c>
      <c r="B66" s="184">
        <v>43249</v>
      </c>
      <c r="C66" s="10">
        <v>500</v>
      </c>
      <c r="D66" s="39">
        <v>31.690200000000001</v>
      </c>
      <c r="E66" s="39">
        <v>24.83</v>
      </c>
      <c r="F66" s="39">
        <f t="shared" si="7"/>
        <v>-3430.1000000000013</v>
      </c>
      <c r="G66" s="39">
        <f t="shared" si="8"/>
        <v>15845.1</v>
      </c>
      <c r="H66" s="223">
        <f t="shared" si="9"/>
        <v>-0.21647701813178846</v>
      </c>
      <c r="I66" s="39"/>
      <c r="J66" s="39"/>
      <c r="K66" s="39">
        <v>-3355</v>
      </c>
      <c r="L66" s="193">
        <v>9.3000000000000007</v>
      </c>
    </row>
    <row r="67" spans="1:15" x14ac:dyDescent="0.25">
      <c r="A67">
        <v>380</v>
      </c>
      <c r="B67" s="184">
        <v>43254</v>
      </c>
      <c r="C67" s="10">
        <v>500</v>
      </c>
      <c r="D67" s="39">
        <v>31.690200000000001</v>
      </c>
      <c r="E67" s="39">
        <v>23.12</v>
      </c>
      <c r="F67" s="39">
        <f t="shared" si="7"/>
        <v>-4285.1000000000004</v>
      </c>
      <c r="G67" s="39">
        <f t="shared" si="8"/>
        <v>15845.1</v>
      </c>
      <c r="H67" s="223">
        <f t="shared" si="9"/>
        <v>-0.27043691740664305</v>
      </c>
      <c r="I67" s="39"/>
      <c r="J67" s="39"/>
      <c r="K67" s="39">
        <v>-4210</v>
      </c>
      <c r="L67" s="193">
        <v>8.66</v>
      </c>
    </row>
    <row r="68" spans="1:15" x14ac:dyDescent="0.25">
      <c r="A68">
        <v>260</v>
      </c>
      <c r="B68" s="184">
        <v>43262</v>
      </c>
      <c r="C68" s="425">
        <v>380</v>
      </c>
      <c r="D68" s="426">
        <v>33.588299999999997</v>
      </c>
      <c r="E68" s="39">
        <v>25.59</v>
      </c>
      <c r="F68" s="39">
        <f t="shared" si="7"/>
        <v>-3039.3539999999989</v>
      </c>
      <c r="G68" s="39">
        <f t="shared" si="8"/>
        <v>12763.553999999998</v>
      </c>
      <c r="H68" s="223">
        <f t="shared" si="9"/>
        <v>-0.23812756227614967</v>
      </c>
      <c r="I68" s="39"/>
      <c r="J68" s="39"/>
      <c r="K68" s="39">
        <v>-2964</v>
      </c>
      <c r="L68" s="193">
        <v>9.58</v>
      </c>
    </row>
    <row r="69" spans="1:15" x14ac:dyDescent="0.25">
      <c r="A69">
        <v>260</v>
      </c>
      <c r="B69" s="184">
        <v>43266</v>
      </c>
      <c r="C69" s="425">
        <v>380</v>
      </c>
      <c r="D69" s="426">
        <v>33.285699999999999</v>
      </c>
      <c r="E69" s="39">
        <v>26.05</v>
      </c>
      <c r="F69" s="39">
        <f t="shared" si="7"/>
        <v>-2749.5659999999993</v>
      </c>
      <c r="G69" s="39">
        <f t="shared" si="8"/>
        <v>12648.565999999999</v>
      </c>
      <c r="H69" s="223">
        <f t="shared" si="9"/>
        <v>-0.21738163836121813</v>
      </c>
      <c r="I69" s="39"/>
      <c r="J69" s="39"/>
      <c r="K69" s="39">
        <v>-2675</v>
      </c>
      <c r="L69" s="193"/>
      <c r="O69" s="33"/>
    </row>
    <row r="70" spans="1:15" x14ac:dyDescent="0.25">
      <c r="A70">
        <v>280</v>
      </c>
      <c r="B70" s="184">
        <v>43286</v>
      </c>
      <c r="C70" s="7">
        <v>280</v>
      </c>
      <c r="D70" s="43">
        <v>35.47</v>
      </c>
      <c r="E70" s="39">
        <v>27.15</v>
      </c>
      <c r="F70" s="39">
        <f t="shared" si="7"/>
        <v>-2329.6</v>
      </c>
      <c r="G70" s="39">
        <f t="shared" si="8"/>
        <v>9931.6</v>
      </c>
      <c r="H70" s="223">
        <f t="shared" si="9"/>
        <v>-0.23456442063715818</v>
      </c>
      <c r="I70" s="39" t="s">
        <v>1165</v>
      </c>
      <c r="J70" s="39"/>
      <c r="K70" s="39">
        <v>-2254</v>
      </c>
      <c r="L70" s="193">
        <v>10.17</v>
      </c>
    </row>
    <row r="71" spans="1:15" x14ac:dyDescent="0.25">
      <c r="A71">
        <v>280</v>
      </c>
      <c r="B71" s="184">
        <v>43288</v>
      </c>
      <c r="C71" s="10">
        <v>280</v>
      </c>
      <c r="D71" s="39">
        <v>35.47</v>
      </c>
      <c r="E71" s="39">
        <v>27.42</v>
      </c>
      <c r="F71" s="39">
        <f t="shared" si="7"/>
        <v>-2253.9999999999991</v>
      </c>
      <c r="G71" s="39">
        <f t="shared" si="8"/>
        <v>9931.6</v>
      </c>
      <c r="H71" s="223">
        <f t="shared" si="9"/>
        <v>-0.226952354102058</v>
      </c>
      <c r="I71" s="39"/>
      <c r="J71" s="39"/>
      <c r="K71" s="39">
        <v>-2254</v>
      </c>
      <c r="L71" s="193">
        <v>10.27</v>
      </c>
    </row>
    <row r="72" spans="1:15" x14ac:dyDescent="0.25">
      <c r="A72">
        <v>280</v>
      </c>
      <c r="B72" s="184">
        <v>43301</v>
      </c>
      <c r="C72" s="425">
        <v>380</v>
      </c>
      <c r="D72" s="426">
        <v>33.048900000000003</v>
      </c>
      <c r="E72" s="39">
        <v>26.28</v>
      </c>
      <c r="F72" s="39">
        <f t="shared" si="7"/>
        <v>-2572.1820000000007</v>
      </c>
      <c r="G72" s="39">
        <f t="shared" si="8"/>
        <v>12558.582000000002</v>
      </c>
      <c r="H72" s="223">
        <f t="shared" si="9"/>
        <v>-0.20481468369597783</v>
      </c>
      <c r="I72" s="39"/>
      <c r="J72" s="39"/>
      <c r="K72" s="39">
        <v>-2497</v>
      </c>
      <c r="L72" s="193">
        <v>9.84</v>
      </c>
    </row>
    <row r="73" spans="1:15" x14ac:dyDescent="0.25">
      <c r="A73">
        <v>280</v>
      </c>
      <c r="B73" s="184">
        <v>43306</v>
      </c>
      <c r="C73" s="10">
        <v>500</v>
      </c>
      <c r="D73" s="39">
        <v>31.277999999999999</v>
      </c>
      <c r="E73" s="39">
        <v>25.67</v>
      </c>
      <c r="F73" s="39">
        <f t="shared" si="7"/>
        <v>-2803.9999999999986</v>
      </c>
      <c r="G73" s="39">
        <f t="shared" si="8"/>
        <v>15639</v>
      </c>
      <c r="H73" s="223">
        <f t="shared" si="9"/>
        <v>-0.17929535136517671</v>
      </c>
      <c r="I73" s="39"/>
      <c r="J73" s="39"/>
      <c r="K73" s="39">
        <v>-2729</v>
      </c>
      <c r="L73" s="193"/>
    </row>
    <row r="74" spans="1:15" x14ac:dyDescent="0.25">
      <c r="A74">
        <v>160</v>
      </c>
      <c r="B74" s="184">
        <v>43307</v>
      </c>
      <c r="C74" s="425">
        <v>380</v>
      </c>
      <c r="D74" s="426">
        <v>32.78</v>
      </c>
      <c r="E74" s="39">
        <v>26.52</v>
      </c>
      <c r="F74" s="39">
        <f t="shared" si="7"/>
        <v>-2378.8000000000006</v>
      </c>
      <c r="G74" s="39">
        <f t="shared" si="8"/>
        <v>12456.4</v>
      </c>
      <c r="H74" s="223">
        <f t="shared" si="9"/>
        <v>-0.19097010372178161</v>
      </c>
      <c r="I74" s="39"/>
      <c r="J74" s="39"/>
      <c r="K74" s="39">
        <v>-2304</v>
      </c>
      <c r="L74" s="193">
        <v>9.93</v>
      </c>
    </row>
    <row r="75" spans="1:15" x14ac:dyDescent="0.25">
      <c r="B75" s="184"/>
      <c r="C75" s="10"/>
      <c r="D75" s="39"/>
      <c r="E75" s="39"/>
      <c r="F75" s="39"/>
      <c r="G75" s="39"/>
      <c r="H75" s="223"/>
      <c r="I75" s="39"/>
      <c r="J75" s="39"/>
      <c r="K75" s="39"/>
      <c r="L75" s="193"/>
    </row>
    <row r="76" spans="1:15" x14ac:dyDescent="0.25">
      <c r="B76" s="184"/>
      <c r="C76" s="10"/>
      <c r="D76" s="39"/>
      <c r="E76" s="39"/>
      <c r="F76" s="39"/>
      <c r="G76" s="39"/>
      <c r="H76" s="223"/>
      <c r="I76" s="39"/>
      <c r="J76" s="39"/>
      <c r="K76" s="39"/>
      <c r="L76" s="193"/>
    </row>
    <row r="77" spans="1:15" x14ac:dyDescent="0.25">
      <c r="B77" s="184"/>
      <c r="C77" s="10"/>
      <c r="D77" s="39"/>
      <c r="E77" s="39"/>
      <c r="F77" s="39"/>
      <c r="G77" s="39"/>
      <c r="H77" s="223"/>
      <c r="I77" s="39"/>
      <c r="J77" s="39"/>
      <c r="K77" s="39"/>
      <c r="L77" s="193"/>
    </row>
    <row r="78" spans="1:15" x14ac:dyDescent="0.25">
      <c r="B78" s="184"/>
      <c r="C78" s="10"/>
      <c r="D78" s="39"/>
      <c r="E78" s="39"/>
      <c r="F78" s="39"/>
      <c r="G78" s="39"/>
      <c r="H78" s="223"/>
      <c r="I78" s="39"/>
      <c r="J78" s="39"/>
      <c r="K78" s="39"/>
      <c r="L78" s="193"/>
    </row>
    <row r="79" spans="1:15" x14ac:dyDescent="0.25">
      <c r="B79" s="184"/>
      <c r="C79" s="10"/>
      <c r="D79" s="39"/>
      <c r="E79" s="39"/>
      <c r="F79" s="39"/>
      <c r="G79" s="39"/>
      <c r="H79" s="223"/>
      <c r="I79" s="39"/>
      <c r="J79" s="39"/>
      <c r="K79" s="39"/>
      <c r="L79" s="193"/>
    </row>
    <row r="80" spans="1:15" x14ac:dyDescent="0.25">
      <c r="B80" s="4"/>
      <c r="C80" s="4"/>
      <c r="D80" s="3"/>
      <c r="E80" s="3"/>
      <c r="F80" s="3"/>
      <c r="G80" s="3"/>
      <c r="H80" s="224"/>
      <c r="I80" s="3"/>
      <c r="J80" s="3"/>
      <c r="K80" s="3"/>
    </row>
    <row r="81" spans="1:13" x14ac:dyDescent="0.25">
      <c r="L81" t="s">
        <v>208</v>
      </c>
      <c r="M81" s="2">
        <f>M95+K95-F95</f>
        <v>75.019999999999982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70" t="s">
        <v>7</v>
      </c>
      <c r="J82" s="370" t="s">
        <v>95</v>
      </c>
      <c r="K82" s="370" t="s">
        <v>61</v>
      </c>
      <c r="L82" s="368" t="s">
        <v>77</v>
      </c>
      <c r="M82" s="368" t="s">
        <v>38</v>
      </c>
    </row>
    <row r="83" spans="1:13" x14ac:dyDescent="0.25">
      <c r="A83" s="371" t="s">
        <v>174</v>
      </c>
      <c r="B83" s="361">
        <v>42376</v>
      </c>
      <c r="C83" s="362">
        <v>60</v>
      </c>
      <c r="D83" s="363">
        <v>41.01</v>
      </c>
      <c r="E83" s="363">
        <v>0</v>
      </c>
      <c r="F83" s="363">
        <f>C83*D83</f>
        <v>2460.6</v>
      </c>
      <c r="G83" s="361">
        <v>42426</v>
      </c>
      <c r="H83" s="366">
        <v>20</v>
      </c>
      <c r="I83" s="363">
        <v>38.450000000000003</v>
      </c>
      <c r="J83" s="363">
        <v>0.02</v>
      </c>
      <c r="K83" s="363">
        <f>H83*I83-J83</f>
        <v>768.98</v>
      </c>
      <c r="L83" s="361">
        <v>42444</v>
      </c>
      <c r="M83" s="363">
        <v>15.2</v>
      </c>
    </row>
    <row r="84" spans="1:13" x14ac:dyDescent="0.25">
      <c r="A84" s="372" t="s">
        <v>71</v>
      </c>
      <c r="B84" s="361">
        <v>42403</v>
      </c>
      <c r="C84" s="362">
        <v>20</v>
      </c>
      <c r="D84" s="363">
        <v>35.5</v>
      </c>
      <c r="E84" s="363">
        <v>0</v>
      </c>
      <c r="F84" s="363">
        <f>C84*D84</f>
        <v>710</v>
      </c>
      <c r="G84" s="361">
        <v>42426</v>
      </c>
      <c r="H84" s="366">
        <v>30</v>
      </c>
      <c r="I84" s="363">
        <v>38.75</v>
      </c>
      <c r="J84" s="363">
        <v>0.03</v>
      </c>
      <c r="K84" s="363">
        <f>H84*I84-J84</f>
        <v>1162.47</v>
      </c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1">
        <v>42447</v>
      </c>
      <c r="H85" s="366">
        <v>30</v>
      </c>
      <c r="I85" s="363">
        <v>43.3</v>
      </c>
      <c r="J85" s="363">
        <v>0.03</v>
      </c>
      <c r="K85" s="363">
        <f>H85*I85-J85</f>
        <v>1298.97</v>
      </c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3"/>
      <c r="J93" s="363"/>
      <c r="K93" s="363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2"/>
      <c r="I94" s="363"/>
      <c r="J94" s="363"/>
      <c r="K94" s="363"/>
      <c r="L94" s="362"/>
      <c r="M94" s="362"/>
    </row>
    <row r="95" spans="1:13" x14ac:dyDescent="0.25">
      <c r="A95" s="35" t="s">
        <v>81</v>
      </c>
      <c r="B95" s="36"/>
      <c r="C95" s="36">
        <f>SUM(C83:C94)</f>
        <v>80</v>
      </c>
      <c r="D95" s="37"/>
      <c r="E95" s="37"/>
      <c r="F95" s="37">
        <f>SUM(F83:F94)</f>
        <v>3170.6</v>
      </c>
      <c r="G95" s="36"/>
      <c r="H95" s="175">
        <f>SUM(H83:H94)</f>
        <v>80</v>
      </c>
      <c r="I95" s="37"/>
      <c r="J95" s="37"/>
      <c r="K95" s="37">
        <f>SUM(K83:K94)</f>
        <v>3230.42</v>
      </c>
      <c r="L95" s="37"/>
      <c r="M95" s="37">
        <f>SUM(M83:M84)</f>
        <v>15.2</v>
      </c>
    </row>
    <row r="96" spans="1:13" x14ac:dyDescent="0.25">
      <c r="G96" s="2"/>
    </row>
    <row r="98" spans="2:9" x14ac:dyDescent="0.25">
      <c r="B98" s="258" t="s">
        <v>113</v>
      </c>
      <c r="C98" s="258" t="s">
        <v>146</v>
      </c>
      <c r="D98" s="259" t="s">
        <v>145</v>
      </c>
      <c r="E98" s="260" t="s">
        <v>147</v>
      </c>
      <c r="F98" s="261" t="s">
        <v>65</v>
      </c>
      <c r="G98" s="262" t="s">
        <v>151</v>
      </c>
      <c r="H98" s="261" t="s">
        <v>88</v>
      </c>
      <c r="I98" s="261" t="s">
        <v>154</v>
      </c>
    </row>
    <row r="99" spans="2:9" x14ac:dyDescent="0.25">
      <c r="B99" s="255">
        <v>42376</v>
      </c>
      <c r="C99" s="250">
        <v>60</v>
      </c>
      <c r="D99" s="251">
        <v>41.01</v>
      </c>
      <c r="E99" s="251">
        <v>40.33</v>
      </c>
      <c r="F99" s="251">
        <f>C99*(E99-D99)</f>
        <v>-40.799999999999983</v>
      </c>
      <c r="G99" s="251">
        <f>D99*C99</f>
        <v>2460.6</v>
      </c>
      <c r="H99" s="265">
        <f>(E99-D99)/D99</f>
        <v>-1.6581321628871E-2</v>
      </c>
      <c r="I99" s="265"/>
    </row>
    <row r="100" spans="2:9" x14ac:dyDescent="0.25">
      <c r="B100" s="255">
        <v>42403</v>
      </c>
      <c r="C100" s="250">
        <v>80</v>
      </c>
      <c r="D100" s="251">
        <v>39.630000000000003</v>
      </c>
      <c r="E100" s="251">
        <v>36.229999999999997</v>
      </c>
      <c r="F100" s="251">
        <f>C100*(E100-D100)</f>
        <v>-272.00000000000045</v>
      </c>
      <c r="G100" s="251">
        <f>D100*C100</f>
        <v>3170.4</v>
      </c>
      <c r="H100" s="265">
        <f>(E100-D100)/D100</f>
        <v>-8.5793590714105611E-2</v>
      </c>
      <c r="I100" s="265"/>
    </row>
    <row r="101" spans="2:9" x14ac:dyDescent="0.25">
      <c r="B101" s="255">
        <v>42421</v>
      </c>
      <c r="C101" s="250">
        <v>80</v>
      </c>
      <c r="D101" s="251">
        <v>39.630000000000003</v>
      </c>
      <c r="E101" s="251">
        <v>37.46</v>
      </c>
      <c r="F101" s="251">
        <f>C101*(E101-D101)</f>
        <v>-173.60000000000014</v>
      </c>
      <c r="G101" s="251">
        <f>D101*C101</f>
        <v>3170.4</v>
      </c>
      <c r="H101" s="265">
        <f>(E101-D101)/D101</f>
        <v>-5.4756497602826179E-2</v>
      </c>
      <c r="I101" s="265"/>
    </row>
    <row r="102" spans="2:9" x14ac:dyDescent="0.25">
      <c r="B102" s="255">
        <v>42426</v>
      </c>
      <c r="C102" s="250">
        <v>60</v>
      </c>
      <c r="D102" s="251">
        <v>40.03</v>
      </c>
      <c r="E102" s="251">
        <v>38.450000000000003</v>
      </c>
      <c r="F102" s="251">
        <f t="shared" ref="F102:F108" si="10">C102*(E102-D102)</f>
        <v>-94.799999999999898</v>
      </c>
      <c r="G102" s="251">
        <f t="shared" ref="G102:G108" si="11">D102*C102</f>
        <v>2401.8000000000002</v>
      </c>
      <c r="H102" s="265">
        <f t="shared" ref="H102:H108" si="12">(E102-D102)/D102</f>
        <v>-3.9470397202098384E-2</v>
      </c>
      <c r="I102" s="265"/>
    </row>
    <row r="103" spans="2:9" x14ac:dyDescent="0.25">
      <c r="B103" s="255">
        <v>42426</v>
      </c>
      <c r="C103" s="250">
        <v>30</v>
      </c>
      <c r="D103" s="251">
        <v>41.31</v>
      </c>
      <c r="E103" s="251">
        <v>38.44</v>
      </c>
      <c r="F103" s="251">
        <f t="shared" si="10"/>
        <v>-86.100000000000136</v>
      </c>
      <c r="G103" s="251">
        <f t="shared" si="11"/>
        <v>1239.3000000000002</v>
      </c>
      <c r="H103" s="263">
        <f t="shared" si="12"/>
        <v>-6.9474703461631676E-2</v>
      </c>
      <c r="I103" s="263"/>
    </row>
    <row r="104" spans="2:9" x14ac:dyDescent="0.25">
      <c r="B104" s="255">
        <v>42430</v>
      </c>
      <c r="C104" s="250">
        <v>30</v>
      </c>
      <c r="D104" s="251">
        <v>41.31</v>
      </c>
      <c r="E104" s="251">
        <v>39.51</v>
      </c>
      <c r="F104" s="251">
        <f t="shared" si="10"/>
        <v>-54.000000000000128</v>
      </c>
      <c r="G104" s="251">
        <f t="shared" si="11"/>
        <v>1239.3000000000002</v>
      </c>
      <c r="H104" s="263">
        <f t="shared" si="12"/>
        <v>-4.3572984749455437E-2</v>
      </c>
      <c r="I104" s="263"/>
    </row>
    <row r="105" spans="2:9" x14ac:dyDescent="0.25">
      <c r="B105" s="255">
        <v>42431</v>
      </c>
      <c r="C105" s="250">
        <v>30</v>
      </c>
      <c r="D105" s="251">
        <v>41.305</v>
      </c>
      <c r="E105" s="251">
        <v>40.31</v>
      </c>
      <c r="F105" s="251">
        <f t="shared" si="10"/>
        <v>-29.849999999999923</v>
      </c>
      <c r="G105" s="251">
        <f t="shared" si="11"/>
        <v>1239.1500000000001</v>
      </c>
      <c r="H105" s="263">
        <f t="shared" si="12"/>
        <v>-2.4089093330105251E-2</v>
      </c>
      <c r="I105" s="263"/>
    </row>
    <row r="106" spans="2:9" x14ac:dyDescent="0.25">
      <c r="B106" s="255">
        <v>42435</v>
      </c>
      <c r="C106" s="250">
        <v>30</v>
      </c>
      <c r="D106" s="251">
        <v>41.305</v>
      </c>
      <c r="E106" s="251">
        <v>40.98</v>
      </c>
      <c r="F106" s="251">
        <f t="shared" si="10"/>
        <v>-9.7500000000000853</v>
      </c>
      <c r="G106" s="251">
        <f t="shared" si="11"/>
        <v>1239.1500000000001</v>
      </c>
      <c r="H106" s="263">
        <f t="shared" si="12"/>
        <v>-7.8682968163661261E-3</v>
      </c>
      <c r="I106" s="263"/>
    </row>
    <row r="107" spans="2:9" x14ac:dyDescent="0.25">
      <c r="B107" s="255">
        <v>42436</v>
      </c>
      <c r="C107" s="250">
        <v>30</v>
      </c>
      <c r="D107" s="251">
        <v>41.305</v>
      </c>
      <c r="E107" s="251">
        <v>39.590000000000003</v>
      </c>
      <c r="F107" s="251">
        <f t="shared" si="10"/>
        <v>-51.449999999999889</v>
      </c>
      <c r="G107" s="251">
        <f t="shared" si="11"/>
        <v>1239.1500000000001</v>
      </c>
      <c r="H107" s="263">
        <f t="shared" si="12"/>
        <v>-4.1520397046362338E-2</v>
      </c>
      <c r="I107" s="263"/>
    </row>
    <row r="108" spans="2:9" x14ac:dyDescent="0.25">
      <c r="B108" s="255">
        <v>42444</v>
      </c>
      <c r="C108" s="250">
        <v>30</v>
      </c>
      <c r="D108" s="251">
        <v>41.305</v>
      </c>
      <c r="E108" s="251">
        <v>41.37</v>
      </c>
      <c r="F108" s="251">
        <f t="shared" si="10"/>
        <v>1.9499999999999318</v>
      </c>
      <c r="G108" s="251">
        <f t="shared" si="11"/>
        <v>1239.1500000000001</v>
      </c>
      <c r="H108" s="263">
        <f t="shared" si="12"/>
        <v>1.5736593632731564E-3</v>
      </c>
      <c r="I108" s="263"/>
    </row>
    <row r="109" spans="2:9" x14ac:dyDescent="0.25">
      <c r="B109" s="255">
        <v>42444</v>
      </c>
      <c r="C109" s="250">
        <v>30</v>
      </c>
      <c r="D109" s="251">
        <v>40.47983</v>
      </c>
      <c r="E109" s="251">
        <v>41.37</v>
      </c>
      <c r="F109" s="251">
        <f>C109*(E109-D109)</f>
        <v>26.705099999999931</v>
      </c>
      <c r="G109" s="251">
        <f>D109*C109</f>
        <v>1214.3949</v>
      </c>
      <c r="H109" s="263">
        <f>(E109-D109)/D109</f>
        <v>2.1990457963879731E-2</v>
      </c>
      <c r="I109" s="263" t="s">
        <v>182</v>
      </c>
    </row>
    <row r="110" spans="2:9" x14ac:dyDescent="0.25">
      <c r="B110" s="255">
        <v>42447</v>
      </c>
      <c r="C110" s="250">
        <v>0</v>
      </c>
      <c r="D110" s="251"/>
      <c r="E110" s="251"/>
      <c r="F110" s="251">
        <v>75.02</v>
      </c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  <row r="112" spans="2:9" x14ac:dyDescent="0.25">
      <c r="B112" s="250"/>
      <c r="C112" s="250"/>
      <c r="D112" s="251"/>
      <c r="E112" s="251"/>
      <c r="F112" s="251"/>
      <c r="G112" s="251"/>
      <c r="H112" s="263"/>
      <c r="I112" s="263"/>
    </row>
    <row r="113" spans="2:9" x14ac:dyDescent="0.25">
      <c r="B113" s="250"/>
      <c r="C113" s="250"/>
      <c r="D113" s="251"/>
      <c r="E113" s="251"/>
      <c r="F113" s="251"/>
      <c r="G113" s="251"/>
      <c r="H113" s="263"/>
      <c r="I113" s="263"/>
    </row>
    <row r="114" spans="2:9" x14ac:dyDescent="0.25">
      <c r="B114" s="250"/>
      <c r="C114" s="250"/>
      <c r="D114" s="251"/>
      <c r="E114" s="251"/>
      <c r="F114" s="251"/>
      <c r="G114" s="251"/>
      <c r="H114" s="263"/>
      <c r="I114" s="263"/>
    </row>
    <row r="115" spans="2:9" x14ac:dyDescent="0.25">
      <c r="B115" s="250"/>
      <c r="C115" s="250"/>
      <c r="D115" s="251"/>
      <c r="E115" s="251"/>
      <c r="F115" s="251"/>
      <c r="G115" s="251"/>
      <c r="H115" s="263"/>
      <c r="I115" s="263"/>
    </row>
    <row r="116" spans="2:9" x14ac:dyDescent="0.25">
      <c r="B116" s="250"/>
      <c r="C116" s="250"/>
      <c r="D116" s="251"/>
      <c r="E116" s="251"/>
      <c r="F116" s="251"/>
      <c r="G116" s="251"/>
      <c r="H116" s="263"/>
      <c r="I116" s="263"/>
    </row>
    <row r="117" spans="2:9" x14ac:dyDescent="0.25">
      <c r="B117" s="250"/>
      <c r="C117" s="250"/>
      <c r="D117" s="251"/>
      <c r="E117" s="251"/>
      <c r="F117" s="251"/>
      <c r="G117" s="251"/>
      <c r="H117" s="263"/>
      <c r="I117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41 H42:H57 F56:F57 I59:K60 F61:F63 H61:H63 J61:K63 I53:L57 L59:L61 F68:F70 H68:K70 H77:K80 F77:F79 K71">
    <cfRule type="expression" dxfId="492" priority="71">
      <formula>F37&gt;0</formula>
    </cfRule>
    <cfRule type="expression" dxfId="491" priority="72">
      <formula>F37&lt;0</formula>
    </cfRule>
  </conditionalFormatting>
  <conditionalFormatting sqref="H37:H39">
    <cfRule type="expression" dxfId="490" priority="69">
      <formula>H37&gt;0</formula>
    </cfRule>
    <cfRule type="expression" dxfId="489" priority="70">
      <formula>H37&lt;0</formula>
    </cfRule>
  </conditionalFormatting>
  <conditionalFormatting sqref="H40">
    <cfRule type="expression" dxfId="488" priority="67">
      <formula>H40&gt;0</formula>
    </cfRule>
    <cfRule type="expression" dxfId="487" priority="68">
      <formula>H40&lt;0</formula>
    </cfRule>
  </conditionalFormatting>
  <conditionalFormatting sqref="H41">
    <cfRule type="expression" dxfId="486" priority="65">
      <formula>H41&gt;0</formula>
    </cfRule>
    <cfRule type="expression" dxfId="485" priority="66">
      <formula>H41&lt;0</formula>
    </cfRule>
  </conditionalFormatting>
  <conditionalFormatting sqref="F33:F36">
    <cfRule type="expression" dxfId="484" priority="61">
      <formula>F33&gt;0</formula>
    </cfRule>
    <cfRule type="expression" dxfId="483" priority="62">
      <formula>F33&lt;0</formula>
    </cfRule>
  </conditionalFormatting>
  <conditionalFormatting sqref="H33:H36">
    <cfRule type="expression" dxfId="482" priority="59">
      <formula>H33&gt;0</formula>
    </cfRule>
    <cfRule type="expression" dxfId="481" priority="60">
      <formula>H33&lt;0</formula>
    </cfRule>
  </conditionalFormatting>
  <conditionalFormatting sqref="F42:F43">
    <cfRule type="expression" dxfId="480" priority="55">
      <formula>F42&gt;0</formula>
    </cfRule>
    <cfRule type="expression" dxfId="479" priority="56">
      <formula>F42&lt;0</formula>
    </cfRule>
  </conditionalFormatting>
  <conditionalFormatting sqref="I37:L39">
    <cfRule type="expression" dxfId="478" priority="53">
      <formula>I37&gt;0</formula>
    </cfRule>
    <cfRule type="expression" dxfId="477" priority="54">
      <formula>I37&lt;0</formula>
    </cfRule>
  </conditionalFormatting>
  <conditionalFormatting sqref="I46:I51 I43:L44">
    <cfRule type="expression" dxfId="476" priority="47">
      <formula>I43&gt;0</formula>
    </cfRule>
    <cfRule type="expression" dxfId="475" priority="48">
      <formula>I43&lt;0</formula>
    </cfRule>
  </conditionalFormatting>
  <conditionalFormatting sqref="I33:L36">
    <cfRule type="expression" dxfId="474" priority="45">
      <formula>I33&gt;0</formula>
    </cfRule>
    <cfRule type="expression" dxfId="473" priority="46">
      <formula>I33&lt;0</formula>
    </cfRule>
  </conditionalFormatting>
  <conditionalFormatting sqref="F44:F55">
    <cfRule type="expression" dxfId="472" priority="43">
      <formula>F44&gt;0</formula>
    </cfRule>
    <cfRule type="expression" dxfId="471" priority="44">
      <formula>F44&lt;0</formula>
    </cfRule>
  </conditionalFormatting>
  <conditionalFormatting sqref="Q8">
    <cfRule type="expression" dxfId="470" priority="39">
      <formula>Q8&gt;0</formula>
    </cfRule>
    <cfRule type="expression" dxfId="469" priority="40">
      <formula>Q8&lt;0</formula>
    </cfRule>
  </conditionalFormatting>
  <conditionalFormatting sqref="Q7">
    <cfRule type="expression" dxfId="468" priority="41">
      <formula>Q7&gt;0</formula>
    </cfRule>
    <cfRule type="expression" dxfId="467" priority="42">
      <formula>Q7&lt;0</formula>
    </cfRule>
  </conditionalFormatting>
  <conditionalFormatting sqref="F103:F107">
    <cfRule type="expression" dxfId="466" priority="37">
      <formula>F103&gt;0</formula>
    </cfRule>
    <cfRule type="expression" dxfId="465" priority="38">
      <formula>F103&lt;0</formula>
    </cfRule>
  </conditionalFormatting>
  <conditionalFormatting sqref="H103:H105">
    <cfRule type="expression" dxfId="464" priority="35">
      <formula>H103&gt;0</formula>
    </cfRule>
    <cfRule type="expression" dxfId="463" priority="36">
      <formula>H103&lt;0</formula>
    </cfRule>
  </conditionalFormatting>
  <conditionalFormatting sqref="H106">
    <cfRule type="expression" dxfId="462" priority="33">
      <formula>H106&gt;0</formula>
    </cfRule>
    <cfRule type="expression" dxfId="461" priority="34">
      <formula>H106&lt;0</formula>
    </cfRule>
  </conditionalFormatting>
  <conditionalFormatting sqref="H107">
    <cfRule type="expression" dxfId="460" priority="31">
      <formula>H107&gt;0</formula>
    </cfRule>
    <cfRule type="expression" dxfId="459" priority="32">
      <formula>H107&lt;0</formula>
    </cfRule>
  </conditionalFormatting>
  <conditionalFormatting sqref="H108:H117">
    <cfRule type="expression" dxfId="458" priority="29">
      <formula>H108&gt;0</formula>
    </cfRule>
    <cfRule type="expression" dxfId="457" priority="30">
      <formula>H108&lt;0</formula>
    </cfRule>
  </conditionalFormatting>
  <conditionalFormatting sqref="F99:F102">
    <cfRule type="expression" dxfId="456" priority="27">
      <formula>F99&gt;0</formula>
    </cfRule>
    <cfRule type="expression" dxfId="455" priority="28">
      <formula>F99&lt;0</formula>
    </cfRule>
  </conditionalFormatting>
  <conditionalFormatting sqref="H99:H102">
    <cfRule type="expression" dxfId="454" priority="25">
      <formula>H99&gt;0</formula>
    </cfRule>
    <cfRule type="expression" dxfId="453" priority="26">
      <formula>H99&lt;0</formula>
    </cfRule>
  </conditionalFormatting>
  <conditionalFormatting sqref="F108:F109">
    <cfRule type="expression" dxfId="452" priority="23">
      <formula>F108&gt;0</formula>
    </cfRule>
    <cfRule type="expression" dxfId="451" priority="24">
      <formula>F108&lt;0</formula>
    </cfRule>
  </conditionalFormatting>
  <conditionalFormatting sqref="I103:I105">
    <cfRule type="expression" dxfId="450" priority="21">
      <formula>I103&gt;0</formula>
    </cfRule>
    <cfRule type="expression" dxfId="449" priority="22">
      <formula>I103&lt;0</formula>
    </cfRule>
  </conditionalFormatting>
  <conditionalFormatting sqref="I106">
    <cfRule type="expression" dxfId="448" priority="19">
      <formula>I106&gt;0</formula>
    </cfRule>
    <cfRule type="expression" dxfId="447" priority="20">
      <formula>I106&lt;0</formula>
    </cfRule>
  </conditionalFormatting>
  <conditionalFormatting sqref="I107">
    <cfRule type="expression" dxfId="446" priority="17">
      <formula>I107&gt;0</formula>
    </cfRule>
    <cfRule type="expression" dxfId="445" priority="18">
      <formula>I107&lt;0</formula>
    </cfRule>
  </conditionalFormatting>
  <conditionalFormatting sqref="I108:I117">
    <cfRule type="expression" dxfId="444" priority="15">
      <formula>I108&gt;0</formula>
    </cfRule>
    <cfRule type="expression" dxfId="443" priority="16">
      <formula>I108&lt;0</formula>
    </cfRule>
  </conditionalFormatting>
  <conditionalFormatting sqref="I99:I102">
    <cfRule type="expression" dxfId="442" priority="13">
      <formula>I99&gt;0</formula>
    </cfRule>
    <cfRule type="expression" dxfId="441" priority="14">
      <formula>I99&lt;0</formula>
    </cfRule>
  </conditionalFormatting>
  <conditionalFormatting sqref="F110">
    <cfRule type="expression" dxfId="440" priority="11">
      <formula>F110&gt;0</formula>
    </cfRule>
    <cfRule type="expression" dxfId="439" priority="12">
      <formula>F110&lt;0</formula>
    </cfRule>
  </conditionalFormatting>
  <conditionalFormatting sqref="F58:F60 H59:H60 H58:L58">
    <cfRule type="expression" dxfId="438" priority="9">
      <formula>F58&gt;0</formula>
    </cfRule>
    <cfRule type="expression" dxfId="437" priority="10">
      <formula>F58&lt;0</formula>
    </cfRule>
  </conditionalFormatting>
  <conditionalFormatting sqref="R4">
    <cfRule type="expression" dxfId="436" priority="7">
      <formula>R4&gt;0</formula>
    </cfRule>
    <cfRule type="expression" dxfId="435" priority="8">
      <formula>R4&lt;0</formula>
    </cfRule>
  </conditionalFormatting>
  <conditionalFormatting sqref="F64:F67 H64:K67">
    <cfRule type="expression" dxfId="434" priority="5">
      <formula>F64&gt;0</formula>
    </cfRule>
    <cfRule type="expression" dxfId="433" priority="6">
      <formula>F64&lt;0</formula>
    </cfRule>
  </conditionalFormatting>
  <conditionalFormatting sqref="H72:K76 F71:F76 H71:J71">
    <cfRule type="expression" dxfId="432" priority="1">
      <formula>F71&gt;0</formula>
    </cfRule>
    <cfRule type="expression" dxfId="431" priority="2">
      <formula>F71&lt;0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66.73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206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73.403000000000006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72.735700000000008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72.068400000000011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71.401100000000014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70.733800000000002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70.066500000000005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69.399200000000008</v>
      </c>
      <c r="Q49" s="33"/>
      <c r="R49" s="33"/>
      <c r="T49" s="91" t="s">
        <v>121</v>
      </c>
      <c r="U49" s="86" t="s">
        <v>469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68.73190000000001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68.064599999999999</v>
      </c>
      <c r="Q51" s="81"/>
      <c r="R51" s="33"/>
      <c r="T51" s="91" t="s">
        <v>104</v>
      </c>
      <c r="U51" s="86" t="s">
        <v>627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67.397300000000001</v>
      </c>
      <c r="Q52" s="81"/>
      <c r="R52" s="33"/>
      <c r="T52" s="91" t="s">
        <v>105</v>
      </c>
      <c r="U52" s="86" t="s">
        <v>497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66.062700000000007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65.395400000000009</v>
      </c>
      <c r="Q55" s="81"/>
      <c r="R55" s="33"/>
      <c r="T55" s="91" t="s">
        <v>107</v>
      </c>
      <c r="U55" s="86" t="s">
        <v>628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64.728099999999998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64.0608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63.393500000000003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335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62.726199999999999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62.058900000000008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61.391600000000004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60.724300000000007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60.057000000000002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0" priority="11">
      <formula>Q8&gt;0</formula>
    </cfRule>
    <cfRule type="expression" dxfId="429" priority="12">
      <formula>Q8&lt;0</formula>
    </cfRule>
  </conditionalFormatting>
  <conditionalFormatting sqref="Q7">
    <cfRule type="expression" dxfId="428" priority="13">
      <formula>Q7&gt;0</formula>
    </cfRule>
    <cfRule type="expression" dxfId="427" priority="14">
      <formula>Q7&lt;0</formula>
    </cfRule>
  </conditionalFormatting>
  <conditionalFormatting sqref="F22">
    <cfRule type="expression" dxfId="426" priority="9">
      <formula>F22&gt;0</formula>
    </cfRule>
    <cfRule type="expression" dxfId="425" priority="10">
      <formula>F22&lt;0</formula>
    </cfRule>
  </conditionalFormatting>
  <conditionalFormatting sqref="H22">
    <cfRule type="expression" dxfId="424" priority="7">
      <formula>H22&gt;0</formula>
    </cfRule>
    <cfRule type="expression" dxfId="423" priority="8">
      <formula>H22&lt;0</formula>
    </cfRule>
  </conditionalFormatting>
  <conditionalFormatting sqref="F59">
    <cfRule type="expression" dxfId="422" priority="5">
      <formula>F59&gt;0</formula>
    </cfRule>
    <cfRule type="expression" dxfId="421" priority="6">
      <formula>F59&lt;0</formula>
    </cfRule>
  </conditionalFormatting>
  <conditionalFormatting sqref="H59">
    <cfRule type="expression" dxfId="420" priority="3">
      <formula>H59&gt;0</formula>
    </cfRule>
    <cfRule type="expression" dxfId="419" priority="4">
      <formula>H59&lt;0</formula>
    </cfRule>
  </conditionalFormatting>
  <conditionalFormatting sqref="M30">
    <cfRule type="expression" dxfId="418" priority="1">
      <formula>M30&gt;0</formula>
    </cfRule>
    <cfRule type="expression" dxfId="417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95.12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95.12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207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206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6" t="s">
        <v>78</v>
      </c>
      <c r="P35" s="85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104.63200000000002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103.68080000000002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102.7296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101.7784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206</v>
      </c>
      <c r="M40" s="2">
        <f>K56+M56-F56</f>
        <v>523.61999999999898</v>
      </c>
      <c r="O40" s="81">
        <v>1.06</v>
      </c>
      <c r="P40" s="81">
        <f t="shared" si="3"/>
        <v>100.8272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99.876000000000005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98.924800000000005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97.973600000000005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97.022400000000005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96.071200000000005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95.12</v>
      </c>
      <c r="Q46" s="2"/>
      <c r="T46" s="111" t="s">
        <v>103</v>
      </c>
      <c r="U46" s="104" t="s">
        <v>389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94.168800000000005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93.217600000000004</v>
      </c>
      <c r="Q48" s="2"/>
      <c r="T48" s="111" t="s">
        <v>104</v>
      </c>
      <c r="U48" s="104" t="s">
        <v>629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92.266400000000004</v>
      </c>
      <c r="T49" s="111" t="s">
        <v>105</v>
      </c>
      <c r="U49" s="104" t="s">
        <v>506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91.315200000000004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90.364000000000004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89.412800000000004</v>
      </c>
      <c r="T52" s="111" t="s">
        <v>107</v>
      </c>
      <c r="U52" s="104" t="s">
        <v>630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88.461600000000004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87.510400000000004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86.559200000000004</v>
      </c>
      <c r="T55" s="111" t="s">
        <v>108</v>
      </c>
      <c r="U55" s="104" t="s">
        <v>544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85.608000000000004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6" priority="19">
      <formula>F27&gt;0</formula>
    </cfRule>
    <cfRule type="expression" dxfId="415" priority="20">
      <formula>F27&lt;0</formula>
    </cfRule>
  </conditionalFormatting>
  <conditionalFormatting sqref="F37:F38">
    <cfRule type="expression" dxfId="414" priority="17">
      <formula>F37&gt;0</formula>
    </cfRule>
    <cfRule type="expression" dxfId="413" priority="18">
      <formula>F37&lt;0</formula>
    </cfRule>
  </conditionalFormatting>
  <conditionalFormatting sqref="H27:H32">
    <cfRule type="expression" dxfId="412" priority="15">
      <formula>H27&gt;0</formula>
    </cfRule>
    <cfRule type="expression" dxfId="411" priority="16">
      <formula>H27&lt;0</formula>
    </cfRule>
  </conditionalFormatting>
  <conditionalFormatting sqref="Q7">
    <cfRule type="expression" dxfId="410" priority="3">
      <formula>Q7&gt;0</formula>
    </cfRule>
    <cfRule type="expression" dxfId="409" priority="4">
      <formula>Q7&lt;0</formula>
    </cfRule>
  </conditionalFormatting>
  <conditionalFormatting sqref="Q8">
    <cfRule type="expression" dxfId="408" priority="1">
      <formula>Q8&gt;0</formula>
    </cfRule>
    <cfRule type="expression" dxfId="407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169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184.21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182.52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180.83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179.14000000000001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177.45000000000002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175.76000000000002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174.07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172.38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170.69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167.31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165.62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162.23999999999998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160.54999999999998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158.85999999999999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157.17000000000002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155.48000000000002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153.79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152.1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6" priority="25">
      <formula>F24&gt;0</formula>
    </cfRule>
    <cfRule type="expression" dxfId="405" priority="26">
      <formula>F24&lt;0</formula>
    </cfRule>
  </conditionalFormatting>
  <conditionalFormatting sqref="H21:H27">
    <cfRule type="expression" dxfId="404" priority="19">
      <formula>H21&gt;0</formula>
    </cfRule>
    <cfRule type="expression" dxfId="403" priority="20">
      <formula>H21&lt;0</formula>
    </cfRule>
  </conditionalFormatting>
  <conditionalFormatting sqref="F21:F23">
    <cfRule type="expression" dxfId="402" priority="5">
      <formula>F21&gt;0</formula>
    </cfRule>
    <cfRule type="expression" dxfId="401" priority="6">
      <formula>F21&lt;0</formula>
    </cfRule>
  </conditionalFormatting>
  <conditionalFormatting sqref="Q8">
    <cfRule type="expression" dxfId="400" priority="1">
      <formula>Q8&gt;0</formula>
    </cfRule>
    <cfRule type="expression" dxfId="399" priority="2">
      <formula>Q8&lt;0</formula>
    </cfRule>
  </conditionalFormatting>
  <conditionalFormatting sqref="Q7">
    <cfRule type="expression" dxfId="398" priority="3">
      <formula>Q7&gt;0</formula>
    </cfRule>
    <cfRule type="expression" dxfId="3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221.77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221.77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206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6" t="s">
        <v>78</v>
      </c>
      <c r="P41" s="85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243.94700000000003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241.72930000000002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239.51160000000002</v>
      </c>
      <c r="Q44" s="2"/>
      <c r="T44" s="132" t="s">
        <v>99</v>
      </c>
      <c r="U44" s="86" t="s">
        <v>631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237.29390000000004</v>
      </c>
      <c r="Q45" s="2"/>
      <c r="T45" s="132" t="s">
        <v>100</v>
      </c>
      <c r="U45" s="86" t="s">
        <v>632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235.07620000000003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232.85850000000002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230.64080000000001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228.42310000000001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226.20540000000003</v>
      </c>
      <c r="Q50" s="2"/>
      <c r="T50" s="132" t="s">
        <v>104</v>
      </c>
      <c r="U50" s="86" t="s">
        <v>633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223.98770000000002</v>
      </c>
      <c r="Q51" s="2"/>
      <c r="T51" s="132" t="s">
        <v>105</v>
      </c>
      <c r="U51" s="86" t="s">
        <v>493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221.77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219.5523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217.33459999999999</v>
      </c>
      <c r="Q54" s="2"/>
      <c r="T54" s="132" t="s">
        <v>107</v>
      </c>
      <c r="U54" s="86" t="s">
        <v>634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215.11690000000002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212.89920000000001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210.6815</v>
      </c>
      <c r="T57" s="132" t="s">
        <v>108</v>
      </c>
      <c r="U57" s="86" t="s">
        <v>545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208.46379999999999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206.24610000000001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204.0284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201.81070000000003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199.59300000000002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6" priority="11">
      <formula>F21&gt;0</formula>
    </cfRule>
    <cfRule type="expression" dxfId="395" priority="12">
      <formula>F21&lt;0</formula>
    </cfRule>
  </conditionalFormatting>
  <conditionalFormatting sqref="H21:H23">
    <cfRule type="expression" dxfId="394" priority="9">
      <formula>H21&gt;0</formula>
    </cfRule>
    <cfRule type="expression" dxfId="393" priority="10">
      <formula>H21&lt;0</formula>
    </cfRule>
  </conditionalFormatting>
  <conditionalFormatting sqref="Q8">
    <cfRule type="expression" dxfId="392" priority="1">
      <formula>Q8&gt;0</formula>
    </cfRule>
    <cfRule type="expression" dxfId="391" priority="2">
      <formula>Q8&lt;0</formula>
    </cfRule>
  </conditionalFormatting>
  <conditionalFormatting sqref="Q7">
    <cfRule type="expression" dxfId="390" priority="3">
      <formula>Q7&gt;0</formula>
    </cfRule>
    <cfRule type="expression" dxfId="389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240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80.400000000000006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80.400000000000006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207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206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6" t="s">
        <v>78</v>
      </c>
      <c r="P40" s="85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88.440000000000012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87.63600000000001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86.832000000000008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86.028000000000006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85.224000000000004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84.420000000000016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83.616000000000014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82.812000000000012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82.00800000000001</v>
      </c>
      <c r="Q49" s="2"/>
      <c r="T49" s="91" t="s">
        <v>121</v>
      </c>
      <c r="U49" s="86" t="s">
        <v>338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81.204000000000008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80.400000000000006</v>
      </c>
      <c r="Q51" s="2"/>
      <c r="T51" s="91" t="s">
        <v>104</v>
      </c>
      <c r="U51" s="86" t="s">
        <v>660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79.596000000000004</v>
      </c>
      <c r="Q52" s="2"/>
      <c r="T52" s="91" t="s">
        <v>105</v>
      </c>
      <c r="U52" s="86" t="s">
        <v>319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78.792000000000002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77.988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77.183999999999997</v>
      </c>
      <c r="T55" s="91" t="s">
        <v>107</v>
      </c>
      <c r="U55" s="86" t="s">
        <v>661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76.38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75.576000000000008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74.772000000000006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73.968000000000004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73.164000000000001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72.360000000000014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8" priority="15">
      <formula>F29&gt;0</formula>
    </cfRule>
    <cfRule type="expression" dxfId="387" priority="16">
      <formula>F29&lt;0</formula>
    </cfRule>
  </conditionalFormatting>
  <conditionalFormatting sqref="F34:F62">
    <cfRule type="expression" dxfId="386" priority="11">
      <formula>F34&gt;0</formula>
    </cfRule>
    <cfRule type="expression" dxfId="385" priority="12">
      <formula>F34&lt;0</formula>
    </cfRule>
  </conditionalFormatting>
  <conditionalFormatting sqref="F34:F62">
    <cfRule type="expression" dxfId="384" priority="13">
      <formula>F34&gt;0</formula>
    </cfRule>
    <cfRule type="expression" dxfId="383" priority="14">
      <formula>F34&lt;0</formula>
    </cfRule>
  </conditionalFormatting>
  <conditionalFormatting sqref="H29:H62">
    <cfRule type="expression" dxfId="382" priority="9">
      <formula>H29&gt;0</formula>
    </cfRule>
    <cfRule type="expression" dxfId="381" priority="10">
      <formula>H29&lt;0</formula>
    </cfRule>
  </conditionalFormatting>
  <conditionalFormatting sqref="F25:F28">
    <cfRule type="expression" dxfId="380" priority="7">
      <formula>F25&gt;0</formula>
    </cfRule>
    <cfRule type="expression" dxfId="379" priority="8">
      <formula>F25&lt;0</formula>
    </cfRule>
  </conditionalFormatting>
  <conditionalFormatting sqref="H25:H28">
    <cfRule type="expression" dxfId="378" priority="5">
      <formula>H25&gt;0</formula>
    </cfRule>
    <cfRule type="expression" dxfId="377" priority="6">
      <formula>H25&lt;0</formula>
    </cfRule>
  </conditionalFormatting>
  <conditionalFormatting sqref="Q7">
    <cfRule type="expression" dxfId="376" priority="3">
      <formula>Q7&gt;0</formula>
    </cfRule>
    <cfRule type="expression" dxfId="375" priority="4">
      <formula>Q7&lt;0</formula>
    </cfRule>
  </conditionalFormatting>
  <conditionalFormatting sqref="Q8">
    <cfRule type="expression" dxfId="374" priority="1">
      <formula>Q8&gt;0</formula>
    </cfRule>
    <cfRule type="expression" dxfId="373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8.5703125" customWidth="1"/>
    <col min="21" max="21" width="35.4257812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43298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74">
        <v>43298</v>
      </c>
      <c r="C3" s="4">
        <v>100</v>
      </c>
      <c r="D3" s="3">
        <v>50.1</v>
      </c>
      <c r="E3" s="3">
        <v>0</v>
      </c>
      <c r="F3" s="3">
        <f>C3*D3+E3</f>
        <v>5010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49.500466666666668</v>
      </c>
      <c r="T3" s="1"/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49.98</v>
      </c>
      <c r="R4" s="492">
        <v>-1.1999999999999999E-3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7496.9999999999991</v>
      </c>
      <c r="T5" s="1">
        <v>43307</v>
      </c>
      <c r="U5" t="s">
        <v>1220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7425.0700000000006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1128.6699999999973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71.929999999999382</v>
      </c>
      <c r="T8" s="1">
        <v>43314</v>
      </c>
      <c r="U8" t="s">
        <v>1221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9.6874507580399071E-3</v>
      </c>
    </row>
    <row r="10" spans="1:21" x14ac:dyDescent="0.25">
      <c r="H10" s="70"/>
      <c r="O10" s="11" t="s">
        <v>206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3.8095238095238099E-2</v>
      </c>
      <c r="R11">
        <v>0.47599999999999998</v>
      </c>
      <c r="T11" s="1">
        <v>43318</v>
      </c>
      <c r="U11" t="s">
        <v>1222</v>
      </c>
    </row>
    <row r="12" spans="1:21" x14ac:dyDescent="0.25">
      <c r="H12" s="70"/>
      <c r="O12" s="11" t="s">
        <v>938</v>
      </c>
      <c r="Q12" s="1" t="s">
        <v>1216</v>
      </c>
    </row>
    <row r="13" spans="1:21" x14ac:dyDescent="0.25">
      <c r="H13" s="70"/>
      <c r="O13" s="11" t="s">
        <v>965</v>
      </c>
      <c r="Q13">
        <f>Q4/(4.85+4.95)*2</f>
        <v>10.199999999999999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12434</v>
      </c>
      <c r="G18" s="14"/>
      <c r="H18" s="71">
        <f>SUM(H2:H17)</f>
        <v>100</v>
      </c>
      <c r="I18" s="18"/>
      <c r="J18" s="18"/>
      <c r="K18" s="18">
        <f>SUM(K2:K17)</f>
        <v>5008.93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5010</v>
      </c>
      <c r="G19" s="343"/>
      <c r="H19" s="343">
        <f>SumByColor($A$19,H2:H17)</f>
        <v>100</v>
      </c>
      <c r="I19" s="343"/>
      <c r="J19" s="343"/>
      <c r="K19" s="344">
        <f>SumByColor($A$19,K2:K17)</f>
        <v>5009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 t="s">
        <v>494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</row>
    <row r="27" spans="1:13" x14ac:dyDescent="0.25">
      <c r="A27" s="4"/>
      <c r="B27" s="184">
        <v>43303</v>
      </c>
      <c r="C27" s="10">
        <v>250</v>
      </c>
      <c r="D27" s="39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/>
      <c r="K27" s="39">
        <v>9.9589999999999996</v>
      </c>
      <c r="L27" s="39"/>
    </row>
    <row r="28" spans="1:13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" si="9">C28*(E28-D28)</f>
        <v>98.92499999999913</v>
      </c>
      <c r="G28" s="39">
        <f t="shared" ref="G28" si="10">D28*C28</f>
        <v>7425.0750000000007</v>
      </c>
      <c r="H28" s="222">
        <f t="shared" ref="H28" si="11">(E28-D28)/D28</f>
        <v>1.3323097746487291E-2</v>
      </c>
      <c r="I28" s="39"/>
      <c r="J28" s="39">
        <v>1156</v>
      </c>
      <c r="K28" s="39">
        <v>10.24</v>
      </c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54.978000000000002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54.478200000000001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53.978400000000001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53.4786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52.9788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52.478999999999999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12"/>
        <v>51.979199999999999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12"/>
        <v>51.479399999999998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12"/>
        <v>50.979599999999998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12"/>
        <v>50.479799999999997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12"/>
        <v>49.98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12"/>
        <v>49.480199999999996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12"/>
        <v>48.980399999999996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12"/>
        <v>48.480599999999995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12"/>
        <v>47.980799999999995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12"/>
        <v>47.480999999999995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12"/>
        <v>46.981199999999994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12"/>
        <v>46.481400000000001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12"/>
        <v>45.9816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12"/>
        <v>45.4818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12"/>
        <v>44.981999999999999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3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3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330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360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393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398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433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2" priority="87">
      <formula>F29&gt;0</formula>
    </cfRule>
    <cfRule type="expression" dxfId="371" priority="88">
      <formula>F29&lt;0</formula>
    </cfRule>
  </conditionalFormatting>
  <conditionalFormatting sqref="F57:F64 F66">
    <cfRule type="expression" dxfId="370" priority="83">
      <formula>F57&gt;0</formula>
    </cfRule>
    <cfRule type="expression" dxfId="369" priority="84">
      <formula>F57&lt;0</formula>
    </cfRule>
  </conditionalFormatting>
  <conditionalFormatting sqref="F57:F64 F66">
    <cfRule type="expression" dxfId="368" priority="85">
      <formula>F57&gt;0</formula>
    </cfRule>
    <cfRule type="expression" dxfId="367" priority="86">
      <formula>F57&lt;0</formula>
    </cfRule>
  </conditionalFormatting>
  <conditionalFormatting sqref="H57:H64 H66">
    <cfRule type="expression" dxfId="366" priority="81">
      <formula>H57&gt;0</formula>
    </cfRule>
    <cfRule type="expression" dxfId="365" priority="82">
      <formula>H57&lt;0</formula>
    </cfRule>
  </conditionalFormatting>
  <conditionalFormatting sqref="Q7">
    <cfRule type="expression" dxfId="364" priority="63">
      <formula>Q7&gt;0</formula>
    </cfRule>
    <cfRule type="expression" dxfId="363" priority="64">
      <formula>Q7&lt;0</formula>
    </cfRule>
  </conditionalFormatting>
  <conditionalFormatting sqref="Q8">
    <cfRule type="expression" dxfId="362" priority="61">
      <formula>Q8&gt;0</formula>
    </cfRule>
    <cfRule type="expression" dxfId="361" priority="62">
      <formula>Q8&lt;0</formula>
    </cfRule>
  </conditionalFormatting>
  <conditionalFormatting sqref="F93:F97 H93:H97 H99:H124 F99:F124">
    <cfRule type="expression" dxfId="360" priority="33">
      <formula>F93&gt;0</formula>
    </cfRule>
    <cfRule type="expression" dxfId="359" priority="34">
      <formula>F93&lt;0</formula>
    </cfRule>
  </conditionalFormatting>
  <conditionalFormatting sqref="F125:F132 F134">
    <cfRule type="expression" dxfId="358" priority="31">
      <formula>F125&gt;0</formula>
    </cfRule>
    <cfRule type="expression" dxfId="357" priority="32">
      <formula>F125&lt;0</formula>
    </cfRule>
  </conditionalFormatting>
  <conditionalFormatting sqref="M67">
    <cfRule type="expression" dxfId="356" priority="43">
      <formula>M67&gt;0</formula>
    </cfRule>
    <cfRule type="expression" dxfId="355" priority="44">
      <formula>M67&lt;0</formula>
    </cfRule>
  </conditionalFormatting>
  <conditionalFormatting sqref="F65">
    <cfRule type="expression" dxfId="354" priority="39">
      <formula>F65&gt;0</formula>
    </cfRule>
    <cfRule type="expression" dxfId="353" priority="40">
      <formula>F65&lt;0</formula>
    </cfRule>
  </conditionalFormatting>
  <conditionalFormatting sqref="F65">
    <cfRule type="expression" dxfId="352" priority="41">
      <formula>F65&gt;0</formula>
    </cfRule>
    <cfRule type="expression" dxfId="351" priority="42">
      <formula>F65&lt;0</formula>
    </cfRule>
  </conditionalFormatting>
  <conditionalFormatting sqref="H65">
    <cfRule type="expression" dxfId="350" priority="37">
      <formula>H65&gt;0</formula>
    </cfRule>
    <cfRule type="expression" dxfId="349" priority="38">
      <formula>H65&lt;0</formula>
    </cfRule>
  </conditionalFormatting>
  <conditionalFormatting sqref="F125:F132 F134">
    <cfRule type="expression" dxfId="348" priority="29">
      <formula>F125&gt;0</formula>
    </cfRule>
    <cfRule type="expression" dxfId="347" priority="30">
      <formula>F125&lt;0</formula>
    </cfRule>
  </conditionalFormatting>
  <conditionalFormatting sqref="H125:H132 H134">
    <cfRule type="expression" dxfId="346" priority="27">
      <formula>H125&gt;0</formula>
    </cfRule>
    <cfRule type="expression" dxfId="345" priority="28">
      <formula>H125&lt;0</formula>
    </cfRule>
  </conditionalFormatting>
  <conditionalFormatting sqref="F92">
    <cfRule type="expression" dxfId="344" priority="25">
      <formula>F92&gt;0</formula>
    </cfRule>
    <cfRule type="expression" dxfId="343" priority="26">
      <formula>F92&lt;0</formula>
    </cfRule>
  </conditionalFormatting>
  <conditionalFormatting sqref="H92">
    <cfRule type="expression" dxfId="342" priority="23">
      <formula>H92&gt;0</formula>
    </cfRule>
    <cfRule type="expression" dxfId="341" priority="24">
      <formula>H92&lt;0</formula>
    </cfRule>
  </conditionalFormatting>
  <conditionalFormatting sqref="F133">
    <cfRule type="expression" dxfId="340" priority="19">
      <formula>F133&gt;0</formula>
    </cfRule>
    <cfRule type="expression" dxfId="339" priority="20">
      <formula>F133&lt;0</formula>
    </cfRule>
  </conditionalFormatting>
  <conditionalFormatting sqref="F133">
    <cfRule type="expression" dxfId="338" priority="21">
      <formula>F133&gt;0</formula>
    </cfRule>
    <cfRule type="expression" dxfId="337" priority="22">
      <formula>F133&lt;0</formula>
    </cfRule>
  </conditionalFormatting>
  <conditionalFormatting sqref="H133">
    <cfRule type="expression" dxfId="336" priority="17">
      <formula>H133&gt;0</formula>
    </cfRule>
    <cfRule type="expression" dxfId="335" priority="18">
      <formula>H133&lt;0</formula>
    </cfRule>
  </conditionalFormatting>
  <conditionalFormatting sqref="F98 H98">
    <cfRule type="expression" dxfId="334" priority="15">
      <formula>F98&gt;0</formula>
    </cfRule>
    <cfRule type="expression" dxfId="333" priority="16">
      <formula>F98&lt;0</formula>
    </cfRule>
  </conditionalFormatting>
  <conditionalFormatting sqref="J25:J66">
    <cfRule type="expression" dxfId="332" priority="13">
      <formula>J25&gt;0</formula>
    </cfRule>
    <cfRule type="expression" dxfId="331" priority="14">
      <formula>J25&lt;0</formula>
    </cfRule>
  </conditionalFormatting>
  <conditionalFormatting sqref="K38:K66">
    <cfRule type="expression" dxfId="330" priority="11">
      <formula>K38&gt;0</formula>
    </cfRule>
    <cfRule type="expression" dxfId="329" priority="12">
      <formula>K38&lt;0</formula>
    </cfRule>
  </conditionalFormatting>
  <conditionalFormatting sqref="L25">
    <cfRule type="expression" dxfId="328" priority="9">
      <formula>L25&gt;0</formula>
    </cfRule>
    <cfRule type="expression" dxfId="327" priority="10">
      <formula>L25&lt;0</formula>
    </cfRule>
  </conditionalFormatting>
  <conditionalFormatting sqref="F25:F28">
    <cfRule type="expression" dxfId="326" priority="7">
      <formula>F25&gt;0</formula>
    </cfRule>
    <cfRule type="expression" dxfId="325" priority="8">
      <formula>F25&lt;0</formula>
    </cfRule>
  </conditionalFormatting>
  <conditionalFormatting sqref="H25:H28">
    <cfRule type="expression" dxfId="324" priority="5">
      <formula>H25&gt;0</formula>
    </cfRule>
    <cfRule type="expression" dxfId="323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230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53.91</v>
      </c>
      <c r="R4" s="494">
        <v>6.0000000000000001E-3</v>
      </c>
      <c r="T4" s="29">
        <v>42568</v>
      </c>
      <c r="U4" t="s">
        <v>239</v>
      </c>
    </row>
    <row r="5" spans="1:21" x14ac:dyDescent="0.25">
      <c r="A5" t="s">
        <v>1210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5391</v>
      </c>
      <c r="T5" s="29">
        <v>42592</v>
      </c>
      <c r="U5" t="s">
        <v>257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261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2459.7499999999959</v>
      </c>
      <c r="R7">
        <v>50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1261.2799999999988</v>
      </c>
      <c r="R8" s="411"/>
      <c r="T8" s="29">
        <v>43202</v>
      </c>
      <c r="U8" t="s">
        <v>990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207</v>
      </c>
      <c r="Q9" s="134">
        <f>IF(Q2=0, 0, Q8/Q6)</f>
        <v>0.30541537925089318</v>
      </c>
      <c r="T9" s="29"/>
      <c r="U9" s="475" t="s">
        <v>991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206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2.2630309775551846E-2</v>
      </c>
      <c r="R11">
        <f>0.305</f>
        <v>0.30499999999999999</v>
      </c>
      <c r="T11" s="29">
        <v>43257</v>
      </c>
      <c r="U11" t="s">
        <v>1112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 s="2">
        <f>Q4/(5.35+5.7)*2</f>
        <v>9.7574660633484154</v>
      </c>
      <c r="T13" s="29">
        <v>43288</v>
      </c>
      <c r="U13" t="s">
        <v>1166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1168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1167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1169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1170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1171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1192</v>
      </c>
    </row>
    <row r="23" spans="1:21" x14ac:dyDescent="0.25">
      <c r="T23" s="156">
        <v>43298</v>
      </c>
      <c r="U23" t="s">
        <v>1209</v>
      </c>
    </row>
    <row r="24" spans="1:21" x14ac:dyDescent="0.25">
      <c r="T24" s="67"/>
    </row>
    <row r="25" spans="1:21" x14ac:dyDescent="0.25">
      <c r="T25" s="156">
        <v>43307</v>
      </c>
      <c r="U25" t="s">
        <v>1200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6" t="s">
        <v>78</v>
      </c>
      <c r="P42" s="856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59.301000000000002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58.761899999999997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58.222799999999999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57.683700000000002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57.144599999999997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56.605499999999999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56.066400000000002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55.527299999999997</v>
      </c>
      <c r="Q50" s="2"/>
    </row>
    <row r="51" spans="1:17" x14ac:dyDescent="0.25">
      <c r="A51" t="s">
        <v>1211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54.988199999999999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54.449099999999994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53.91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53.370899999999999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52.831799999999994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52.292699999999996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51.753599999999992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51.214499999999994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50.675399999999996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50.136299999999999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49.597200000000001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49.058099999999996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48.518999999999998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206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258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2" priority="61">
      <formula>F45&gt;0</formula>
    </cfRule>
    <cfRule type="expression" dxfId="321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0" priority="63">
      <formula>F44&gt;0</formula>
    </cfRule>
    <cfRule type="expression" dxfId="319" priority="64">
      <formula>F44&lt;0</formula>
    </cfRule>
  </conditionalFormatting>
  <conditionalFormatting sqref="F61:F91 F93:F102 F45:F59">
    <cfRule type="expression" dxfId="318" priority="59">
      <formula>F45&gt;0</formula>
    </cfRule>
    <cfRule type="expression" dxfId="317" priority="60">
      <formula>F45&lt;0</formula>
    </cfRule>
  </conditionalFormatting>
  <conditionalFormatting sqref="H43:H59 H61:H91 H93:H102">
    <cfRule type="expression" dxfId="316" priority="57">
      <formula>H43&gt;0</formula>
    </cfRule>
    <cfRule type="expression" dxfId="315" priority="58">
      <formula>H43&lt;0</formula>
    </cfRule>
  </conditionalFormatting>
  <conditionalFormatting sqref="F36:F43">
    <cfRule type="expression" dxfId="314" priority="55">
      <formula>F36&gt;0</formula>
    </cfRule>
    <cfRule type="expression" dxfId="313" priority="56">
      <formula>F36&lt;0</formula>
    </cfRule>
  </conditionalFormatting>
  <conditionalFormatting sqref="H36:H42">
    <cfRule type="expression" dxfId="312" priority="53">
      <formula>H36&gt;0</formula>
    </cfRule>
    <cfRule type="expression" dxfId="311" priority="54">
      <formula>H36&lt;0</formula>
    </cfRule>
  </conditionalFormatting>
  <conditionalFormatting sqref="Q7">
    <cfRule type="expression" dxfId="310" priority="47">
      <formula>Q7&gt;0</formula>
    </cfRule>
    <cfRule type="expression" dxfId="309" priority="48">
      <formula>Q7&lt;0</formula>
    </cfRule>
  </conditionalFormatting>
  <conditionalFormatting sqref="Q8">
    <cfRule type="expression" dxfId="308" priority="45">
      <formula>Q8&gt;0</formula>
    </cfRule>
    <cfRule type="expression" dxfId="307" priority="46">
      <formula>Q8&lt;0</formula>
    </cfRule>
  </conditionalFormatting>
  <conditionalFormatting sqref="Q10">
    <cfRule type="expression" dxfId="306" priority="43">
      <formula>Q10&gt;0</formula>
    </cfRule>
    <cfRule type="expression" dxfId="305" priority="44">
      <formula>Q10&lt;0</formula>
    </cfRule>
  </conditionalFormatting>
  <conditionalFormatting sqref="F60">
    <cfRule type="expression" dxfId="304" priority="41">
      <formula>F60&gt;0</formula>
    </cfRule>
    <cfRule type="expression" dxfId="303" priority="42">
      <formula>F60&lt;0</formula>
    </cfRule>
  </conditionalFormatting>
  <conditionalFormatting sqref="F60">
    <cfRule type="expression" dxfId="302" priority="39">
      <formula>F60&gt;0</formula>
    </cfRule>
    <cfRule type="expression" dxfId="301" priority="40">
      <formula>F60&lt;0</formula>
    </cfRule>
  </conditionalFormatting>
  <conditionalFormatting sqref="H60">
    <cfRule type="expression" dxfId="300" priority="37">
      <formula>H60&gt;0</formula>
    </cfRule>
    <cfRule type="expression" dxfId="299" priority="38">
      <formula>H60&lt;0</formula>
    </cfRule>
  </conditionalFormatting>
  <conditionalFormatting sqref="F92">
    <cfRule type="expression" dxfId="298" priority="35">
      <formula>F92&gt;0</formula>
    </cfRule>
    <cfRule type="expression" dxfId="297" priority="36">
      <formula>F92&lt;0</formula>
    </cfRule>
  </conditionalFormatting>
  <conditionalFormatting sqref="F92">
    <cfRule type="expression" dxfId="296" priority="33">
      <formula>F92&gt;0</formula>
    </cfRule>
    <cfRule type="expression" dxfId="295" priority="34">
      <formula>F92&lt;0</formula>
    </cfRule>
  </conditionalFormatting>
  <conditionalFormatting sqref="H92">
    <cfRule type="expression" dxfId="294" priority="31">
      <formula>H92&gt;0</formula>
    </cfRule>
    <cfRule type="expression" dxfId="293" priority="32">
      <formula>H92&lt;0</formula>
    </cfRule>
  </conditionalFormatting>
  <conditionalFormatting sqref="F169:F183 F185:F215 F217:F226">
    <cfRule type="expression" dxfId="292" priority="27">
      <formula>F169&gt;0</formula>
    </cfRule>
    <cfRule type="expression" dxfId="291" priority="28">
      <formula>F169&lt;0</formula>
    </cfRule>
  </conditionalFormatting>
  <conditionalFormatting sqref="F164:F168">
    <cfRule type="expression" dxfId="290" priority="29">
      <formula>F164&gt;0</formula>
    </cfRule>
    <cfRule type="expression" dxfId="289" priority="30">
      <formula>F164&lt;0</formula>
    </cfRule>
  </conditionalFormatting>
  <conditionalFormatting sqref="F169:F183 F185:F215 F217:F226">
    <cfRule type="expression" dxfId="288" priority="25">
      <formula>F169&gt;0</formula>
    </cfRule>
    <cfRule type="expression" dxfId="287" priority="26">
      <formula>F169&lt;0</formula>
    </cfRule>
  </conditionalFormatting>
  <conditionalFormatting sqref="H164:H183 H185:H215 H217:H226">
    <cfRule type="expression" dxfId="286" priority="23">
      <formula>H164&gt;0</formula>
    </cfRule>
    <cfRule type="expression" dxfId="285" priority="24">
      <formula>H164&lt;0</formula>
    </cfRule>
  </conditionalFormatting>
  <conditionalFormatting sqref="F160:F163">
    <cfRule type="expression" dxfId="284" priority="21">
      <formula>F160&gt;0</formula>
    </cfRule>
    <cfRule type="expression" dxfId="283" priority="22">
      <formula>F160&lt;0</formula>
    </cfRule>
  </conditionalFormatting>
  <conditionalFormatting sqref="H160:H163">
    <cfRule type="expression" dxfId="282" priority="19">
      <formula>H160&gt;0</formula>
    </cfRule>
    <cfRule type="expression" dxfId="281" priority="20">
      <formula>H160&lt;0</formula>
    </cfRule>
  </conditionalFormatting>
  <conditionalFormatting sqref="F184">
    <cfRule type="expression" dxfId="280" priority="17">
      <formula>F184&gt;0</formula>
    </cfRule>
    <cfRule type="expression" dxfId="279" priority="18">
      <formula>F184&lt;0</formula>
    </cfRule>
  </conditionalFormatting>
  <conditionalFormatting sqref="F184">
    <cfRule type="expression" dxfId="278" priority="15">
      <formula>F184&gt;0</formula>
    </cfRule>
    <cfRule type="expression" dxfId="277" priority="16">
      <formula>F184&lt;0</formula>
    </cfRule>
  </conditionalFormatting>
  <conditionalFormatting sqref="H184">
    <cfRule type="expression" dxfId="276" priority="13">
      <formula>H184&gt;0</formula>
    </cfRule>
    <cfRule type="expression" dxfId="275" priority="14">
      <formula>H184&lt;0</formula>
    </cfRule>
  </conditionalFormatting>
  <conditionalFormatting sqref="F216">
    <cfRule type="expression" dxfId="274" priority="11">
      <formula>F216&gt;0</formula>
    </cfRule>
    <cfRule type="expression" dxfId="273" priority="12">
      <formula>F216&lt;0</formula>
    </cfRule>
  </conditionalFormatting>
  <conditionalFormatting sqref="F216">
    <cfRule type="expression" dxfId="272" priority="9">
      <formula>F216&gt;0</formula>
    </cfRule>
    <cfRule type="expression" dxfId="271" priority="10">
      <formula>F216&lt;0</formula>
    </cfRule>
  </conditionalFormatting>
  <conditionalFormatting sqref="H216">
    <cfRule type="expression" dxfId="270" priority="7">
      <formula>H216&gt;0</formula>
    </cfRule>
    <cfRule type="expression" dxfId="269" priority="8">
      <formula>H216&lt;0</formula>
    </cfRule>
  </conditionalFormatting>
  <conditionalFormatting sqref="J38:J39">
    <cfRule type="expression" dxfId="268" priority="5">
      <formula>J38&gt;0</formula>
    </cfRule>
    <cfRule type="expression" dxfId="267" priority="6">
      <formula>J38&lt;0</formula>
    </cfRule>
  </conditionalFormatting>
  <conditionalFormatting sqref="J41:J51">
    <cfRule type="expression" dxfId="266" priority="3">
      <formula>J41&gt;0</formula>
    </cfRule>
    <cfRule type="expression" dxfId="265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326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763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768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21.61</v>
      </c>
      <c r="R4" s="475">
        <v>-9.4700000000000006E-2</v>
      </c>
      <c r="U4" t="s">
        <v>769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4322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>C7*D7+E7</f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1157.7400000000052</v>
      </c>
      <c r="R7" s="29">
        <v>43346</v>
      </c>
      <c r="T7" s="1">
        <v>43103</v>
      </c>
      <c r="U7" t="s">
        <v>833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872.77000000000044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0.25303328568984979</v>
      </c>
      <c r="U9" t="s">
        <v>922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984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938</v>
      </c>
      <c r="T12" s="1">
        <v>43223</v>
      </c>
      <c r="U12" t="s">
        <v>1040</v>
      </c>
    </row>
    <row r="13" spans="1:29" x14ac:dyDescent="0.25">
      <c r="O13" s="11" t="s">
        <v>965</v>
      </c>
      <c r="Q13" s="2">
        <f>Q4/2.45</f>
        <v>8.8204081632653057</v>
      </c>
      <c r="U13" t="s">
        <v>1042</v>
      </c>
    </row>
    <row r="15" spans="1:29" x14ac:dyDescent="0.25">
      <c r="T15" s="1">
        <v>43224</v>
      </c>
      <c r="U15" t="s">
        <v>1046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23.771000000000001</v>
      </c>
      <c r="T17" s="1">
        <v>43235</v>
      </c>
      <c r="U17" t="s">
        <v>1071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23.5549</v>
      </c>
      <c r="U18" t="s">
        <v>1072</v>
      </c>
    </row>
    <row r="19" spans="1:21" x14ac:dyDescent="0.25">
      <c r="O19" s="81">
        <v>1.08</v>
      </c>
      <c r="P19" s="81">
        <f t="shared" si="0"/>
        <v>23.338800000000003</v>
      </c>
    </row>
    <row r="20" spans="1:21" x14ac:dyDescent="0.25">
      <c r="A20" s="182" t="s">
        <v>227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494</v>
      </c>
      <c r="O20" s="81">
        <v>1.07</v>
      </c>
      <c r="P20" s="81">
        <f t="shared" si="0"/>
        <v>23.122700000000002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22.906600000000001</v>
      </c>
      <c r="T21" s="156">
        <v>43314</v>
      </c>
      <c r="U21" t="s">
        <v>1234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22.6905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22.474399999999999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22.258299999999998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22.042200000000001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21.8261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21.61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6" si="4">C28*(E28-D28)</f>
        <v>-982.99999999999977</v>
      </c>
      <c r="G28" s="39">
        <f t="shared" ref="G28:G36" si="5">D28*C28</f>
        <v>7731</v>
      </c>
      <c r="H28" s="223">
        <f t="shared" ref="H28:H36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21.393899999999999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21.177799999999998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1043</v>
      </c>
      <c r="J30" s="727">
        <v>566</v>
      </c>
      <c r="K30" s="727"/>
      <c r="O30" s="81">
        <v>0.97</v>
      </c>
      <c r="P30" s="81">
        <f t="shared" si="0"/>
        <v>20.9617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1044</v>
      </c>
      <c r="J31" s="727">
        <v>116</v>
      </c>
      <c r="K31" s="727"/>
      <c r="O31" s="81">
        <v>0.96</v>
      </c>
      <c r="P31" s="81">
        <f t="shared" si="0"/>
        <v>20.7456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20.529499999999999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20.313399999999998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20.097300000000001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19.8812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4"/>
        <v>926.75999999999942</v>
      </c>
      <c r="G36" s="39">
        <f t="shared" si="5"/>
        <v>3449.2400000000002</v>
      </c>
      <c r="H36" s="223">
        <f t="shared" si="6"/>
        <v>0.26868527559694289</v>
      </c>
      <c r="I36" s="39"/>
      <c r="J36" s="727">
        <v>1212</v>
      </c>
      <c r="K36" s="727"/>
      <c r="O36" s="81">
        <v>0.91</v>
      </c>
      <c r="P36" s="81">
        <f t="shared" si="0"/>
        <v>19.665099999999999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19.449000000000002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208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326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227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357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755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4" priority="109">
      <formula>F27&gt;0</formula>
    </cfRule>
    <cfRule type="expression" dxfId="263" priority="110">
      <formula>F27&lt;0</formula>
    </cfRule>
  </conditionalFormatting>
  <conditionalFormatting sqref="H27:H29">
    <cfRule type="expression" dxfId="262" priority="107">
      <formula>H27&gt;0</formula>
    </cfRule>
    <cfRule type="expression" dxfId="261" priority="108">
      <formula>H27&lt;0</formula>
    </cfRule>
  </conditionalFormatting>
  <conditionalFormatting sqref="H30">
    <cfRule type="expression" dxfId="260" priority="103">
      <formula>H30&gt;0</formula>
    </cfRule>
    <cfRule type="expression" dxfId="259" priority="104">
      <formula>H30&lt;0</formula>
    </cfRule>
  </conditionalFormatting>
  <conditionalFormatting sqref="H31:H35 H38:H55">
    <cfRule type="expression" dxfId="258" priority="101">
      <formula>H31&gt;0</formula>
    </cfRule>
    <cfRule type="expression" dxfId="257" priority="102">
      <formula>H31&lt;0</formula>
    </cfRule>
  </conditionalFormatting>
  <conditionalFormatting sqref="F31">
    <cfRule type="expression" dxfId="256" priority="95">
      <formula>F31&gt;0</formula>
    </cfRule>
    <cfRule type="expression" dxfId="255" priority="96">
      <formula>F31&lt;0</formula>
    </cfRule>
  </conditionalFormatting>
  <conditionalFormatting sqref="I25:I29">
    <cfRule type="expression" dxfId="254" priority="93">
      <formula>I25&gt;0</formula>
    </cfRule>
    <cfRule type="expression" dxfId="253" priority="94">
      <formula>I25&lt;0</formula>
    </cfRule>
  </conditionalFormatting>
  <conditionalFormatting sqref="I30:I33 I35 I38:K38 I40:K55">
    <cfRule type="expression" dxfId="252" priority="87">
      <formula>I30&gt;0</formula>
    </cfRule>
    <cfRule type="expression" dxfId="251" priority="88">
      <formula>I30&lt;0</formula>
    </cfRule>
  </conditionalFormatting>
  <conditionalFormatting sqref="I21:K24">
    <cfRule type="expression" dxfId="250" priority="85">
      <formula>I21&gt;0</formula>
    </cfRule>
    <cfRule type="expression" dxfId="249" priority="86">
      <formula>I21&lt;0</formula>
    </cfRule>
  </conditionalFormatting>
  <conditionalFormatting sqref="F32:F35 F38:F55">
    <cfRule type="expression" dxfId="248" priority="83">
      <formula>F32&gt;0</formula>
    </cfRule>
    <cfRule type="expression" dxfId="247" priority="84">
      <formula>F32&lt;0</formula>
    </cfRule>
  </conditionalFormatting>
  <conditionalFormatting sqref="Q8">
    <cfRule type="expression" dxfId="246" priority="79">
      <formula>Q8&gt;0</formula>
    </cfRule>
    <cfRule type="expression" dxfId="245" priority="80">
      <formula>Q8&lt;0</formula>
    </cfRule>
  </conditionalFormatting>
  <conditionalFormatting sqref="Q7">
    <cfRule type="expression" dxfId="244" priority="81">
      <formula>Q7&gt;0</formula>
    </cfRule>
    <cfRule type="expression" dxfId="243" priority="82">
      <formula>Q7&lt;0</formula>
    </cfRule>
  </conditionalFormatting>
  <conditionalFormatting sqref="F82">
    <cfRule type="expression" dxfId="242" priority="67">
      <formula>F82&gt;0</formula>
    </cfRule>
    <cfRule type="expression" dxfId="241" priority="68">
      <formula>F82&lt;0</formula>
    </cfRule>
  </conditionalFormatting>
  <conditionalFormatting sqref="H82">
    <cfRule type="expression" dxfId="240" priority="65">
      <formula>H82&gt;0</formula>
    </cfRule>
    <cfRule type="expression" dxfId="239" priority="66">
      <formula>H82&lt;0</formula>
    </cfRule>
  </conditionalFormatting>
  <conditionalFormatting sqref="I82">
    <cfRule type="expression" dxfId="238" priority="53">
      <formula>I82&gt;0</formula>
    </cfRule>
    <cfRule type="expression" dxfId="237" priority="54">
      <formula>I82&lt;0</formula>
    </cfRule>
  </conditionalFormatting>
  <conditionalFormatting sqref="F25:F26">
    <cfRule type="expression" dxfId="236" priority="49">
      <formula>F25&gt;0</formula>
    </cfRule>
    <cfRule type="expression" dxfId="235" priority="50">
      <formula>F25&lt;0</formula>
    </cfRule>
  </conditionalFormatting>
  <conditionalFormatting sqref="H25:H26">
    <cfRule type="expression" dxfId="234" priority="47">
      <formula>H25&gt;0</formula>
    </cfRule>
    <cfRule type="expression" dxfId="233" priority="48">
      <formula>H25&lt;0</formula>
    </cfRule>
  </conditionalFormatting>
  <conditionalFormatting sqref="F88:F92">
    <cfRule type="expression" dxfId="232" priority="45">
      <formula>F88&gt;0</formula>
    </cfRule>
    <cfRule type="expression" dxfId="231" priority="46">
      <formula>F88&lt;0</formula>
    </cfRule>
  </conditionalFormatting>
  <conditionalFormatting sqref="H88:H90">
    <cfRule type="expression" dxfId="230" priority="43">
      <formula>H88&gt;0</formula>
    </cfRule>
    <cfRule type="expression" dxfId="229" priority="44">
      <formula>H88&lt;0</formula>
    </cfRule>
  </conditionalFormatting>
  <conditionalFormatting sqref="H91:H92">
    <cfRule type="expression" dxfId="228" priority="41">
      <formula>H91&gt;0</formula>
    </cfRule>
    <cfRule type="expression" dxfId="227" priority="42">
      <formula>H91&lt;0</formula>
    </cfRule>
  </conditionalFormatting>
  <conditionalFormatting sqref="H93:H118">
    <cfRule type="expression" dxfId="226" priority="39">
      <formula>H93&gt;0</formula>
    </cfRule>
    <cfRule type="expression" dxfId="225" priority="40">
      <formula>H93&lt;0</formula>
    </cfRule>
  </conditionalFormatting>
  <conditionalFormatting sqref="F83:F86">
    <cfRule type="expression" dxfId="224" priority="37">
      <formula>F83&gt;0</formula>
    </cfRule>
    <cfRule type="expression" dxfId="223" priority="38">
      <formula>F83&lt;0</formula>
    </cfRule>
  </conditionalFormatting>
  <conditionalFormatting sqref="H83:H86">
    <cfRule type="expression" dxfId="222" priority="35">
      <formula>H83&gt;0</formula>
    </cfRule>
    <cfRule type="expression" dxfId="221" priority="36">
      <formula>H83&lt;0</formula>
    </cfRule>
  </conditionalFormatting>
  <conditionalFormatting sqref="F93">
    <cfRule type="expression" dxfId="220" priority="33">
      <formula>F93&gt;0</formula>
    </cfRule>
    <cfRule type="expression" dxfId="219" priority="34">
      <formula>F93&lt;0</formula>
    </cfRule>
  </conditionalFormatting>
  <conditionalFormatting sqref="I87:I89">
    <cfRule type="expression" dxfId="218" priority="31">
      <formula>I87&gt;0</formula>
    </cfRule>
    <cfRule type="expression" dxfId="217" priority="32">
      <formula>I87&lt;0</formula>
    </cfRule>
  </conditionalFormatting>
  <conditionalFormatting sqref="I90">
    <cfRule type="expression" dxfId="216" priority="29">
      <formula>I90&gt;0</formula>
    </cfRule>
    <cfRule type="expression" dxfId="215" priority="30">
      <formula>I90&lt;0</formula>
    </cfRule>
  </conditionalFormatting>
  <conditionalFormatting sqref="I91">
    <cfRule type="expression" dxfId="214" priority="27">
      <formula>I91&gt;0</formula>
    </cfRule>
    <cfRule type="expression" dxfId="213" priority="28">
      <formula>I91&lt;0</formula>
    </cfRule>
  </conditionalFormatting>
  <conditionalFormatting sqref="I92:I95 I97 I100 I102:I118">
    <cfRule type="expression" dxfId="212" priority="25">
      <formula>I92&gt;0</formula>
    </cfRule>
    <cfRule type="expression" dxfId="211" priority="26">
      <formula>I92&lt;0</formula>
    </cfRule>
  </conditionalFormatting>
  <conditionalFormatting sqref="I83:I86">
    <cfRule type="expression" dxfId="210" priority="23">
      <formula>I83&gt;0</formula>
    </cfRule>
    <cfRule type="expression" dxfId="209" priority="24">
      <formula>I83&lt;0</formula>
    </cfRule>
  </conditionalFormatting>
  <conditionalFormatting sqref="F94:F118">
    <cfRule type="expression" dxfId="208" priority="21">
      <formula>F94&gt;0</formula>
    </cfRule>
    <cfRule type="expression" dxfId="207" priority="22">
      <formula>F94&lt;0</formula>
    </cfRule>
  </conditionalFormatting>
  <conditionalFormatting sqref="F87">
    <cfRule type="expression" dxfId="206" priority="19">
      <formula>F87&gt;0</formula>
    </cfRule>
    <cfRule type="expression" dxfId="205" priority="20">
      <formula>F87&lt;0</formula>
    </cfRule>
  </conditionalFormatting>
  <conditionalFormatting sqref="H87">
    <cfRule type="expression" dxfId="204" priority="17">
      <formula>H87&gt;0</formula>
    </cfRule>
    <cfRule type="expression" dxfId="203" priority="18">
      <formula>H87&lt;0</formula>
    </cfRule>
  </conditionalFormatting>
  <conditionalFormatting sqref="F21:F24">
    <cfRule type="expression" dxfId="202" priority="15">
      <formula>F21&gt;0</formula>
    </cfRule>
    <cfRule type="expression" dxfId="201" priority="16">
      <formula>F21&lt;0</formula>
    </cfRule>
  </conditionalFormatting>
  <conditionalFormatting sqref="H21:H24">
    <cfRule type="expression" dxfId="200" priority="13">
      <formula>H21&gt;0</formula>
    </cfRule>
    <cfRule type="expression" dxfId="199" priority="14">
      <formula>H21&lt;0</formula>
    </cfRule>
  </conditionalFormatting>
  <conditionalFormatting sqref="J25:K27 J30:K35 J28:J29 J37:K37 K36">
    <cfRule type="expression" dxfId="198" priority="11">
      <formula>J25&gt;0</formula>
    </cfRule>
    <cfRule type="expression" dxfId="197" priority="12">
      <formula>J25&lt;0</formula>
    </cfRule>
  </conditionalFormatting>
  <conditionalFormatting sqref="H37">
    <cfRule type="expression" dxfId="10" priority="9">
      <formula>H37&gt;0</formula>
    </cfRule>
    <cfRule type="expression" dxfId="9" priority="10">
      <formula>H37&lt;0</formula>
    </cfRule>
  </conditionalFormatting>
  <conditionalFormatting sqref="F37">
    <cfRule type="expression" dxfId="8" priority="7">
      <formula>F37&gt;0</formula>
    </cfRule>
    <cfRule type="expression" dxfId="7" priority="8">
      <formula>F37&lt;0</formula>
    </cfRule>
  </conditionalFormatting>
  <conditionalFormatting sqref="J36">
    <cfRule type="expression" dxfId="6" priority="5">
      <formula>J36&gt;0</formula>
    </cfRule>
    <cfRule type="expression" dxfId="5" priority="6">
      <formula>J36&lt;0</formula>
    </cfRule>
  </conditionalFormatting>
  <conditionalFormatting sqref="H36">
    <cfRule type="expression" dxfId="4" priority="3">
      <formula>H36&gt;0</formula>
    </cfRule>
    <cfRule type="expression" dxfId="3" priority="4">
      <formula>H36&lt;0</formula>
    </cfRule>
  </conditionalFormatting>
  <conditionalFormatting sqref="F36">
    <cfRule type="expression" dxfId="2" priority="1">
      <formula>F36&gt;0</formula>
    </cfRule>
    <cfRule type="expression" dxfId="1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113.56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113.56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6" t="s">
        <v>78</v>
      </c>
      <c r="P40" s="85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124.91600000000001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123.78040000000001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122.6448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121.50920000000001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120.37360000000001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119.23800000000001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118.1024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116.96680000000001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115.83120000000001</v>
      </c>
      <c r="Q49" s="2"/>
      <c r="T49" s="91" t="s">
        <v>103</v>
      </c>
      <c r="U49" s="86" t="s">
        <v>511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114.6956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113.56</v>
      </c>
      <c r="Q51" s="2"/>
      <c r="T51" s="91" t="s">
        <v>104</v>
      </c>
      <c r="U51" s="86" t="s">
        <v>635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112.42440000000001</v>
      </c>
      <c r="Q52" s="2"/>
      <c r="T52" s="91" t="s">
        <v>105</v>
      </c>
      <c r="U52" s="86" t="s">
        <v>636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111.28879999999999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110.1532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109.0176</v>
      </c>
      <c r="T55" s="91" t="s">
        <v>107</v>
      </c>
      <c r="U55" s="86" t="s">
        <v>637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107.88199999999999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106.74639999999999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105.61080000000001</v>
      </c>
      <c r="T58" s="91" t="s">
        <v>108</v>
      </c>
      <c r="U58" s="86" t="s">
        <v>530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104.4752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103.3396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102.20400000000001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6" priority="15">
      <formula>F25&gt;0</formula>
    </cfRule>
    <cfRule type="expression" dxfId="195" priority="16">
      <formula>F25&lt;0</formula>
    </cfRule>
  </conditionalFormatting>
  <conditionalFormatting sqref="F32:F70">
    <cfRule type="expression" dxfId="194" priority="11">
      <formula>F32&gt;0</formula>
    </cfRule>
    <cfRule type="expression" dxfId="193" priority="12">
      <formula>F32&lt;0</formula>
    </cfRule>
  </conditionalFormatting>
  <conditionalFormatting sqref="F32:F70">
    <cfRule type="expression" dxfId="192" priority="13">
      <formula>F32&gt;0</formula>
    </cfRule>
    <cfRule type="expression" dxfId="191" priority="14">
      <formula>F32&lt;0</formula>
    </cfRule>
  </conditionalFormatting>
  <conditionalFormatting sqref="H25 H30:H70">
    <cfRule type="expression" dxfId="190" priority="9">
      <formula>H25&gt;0</formula>
    </cfRule>
    <cfRule type="expression" dxfId="189" priority="10">
      <formula>H25&lt;0</formula>
    </cfRule>
  </conditionalFormatting>
  <conditionalFormatting sqref="F26:F29">
    <cfRule type="expression" dxfId="188" priority="7">
      <formula>F26&gt;0</formula>
    </cfRule>
    <cfRule type="expression" dxfId="187" priority="8">
      <formula>F26&lt;0</formula>
    </cfRule>
  </conditionalFormatting>
  <conditionalFormatting sqref="H26:H29">
    <cfRule type="expression" dxfId="186" priority="5">
      <formula>H26&gt;0</formula>
    </cfRule>
    <cfRule type="expression" dxfId="185" priority="6">
      <formula>H26&lt;0</formula>
    </cfRule>
  </conditionalFormatting>
  <conditionalFormatting sqref="Q7">
    <cfRule type="expression" dxfId="184" priority="3">
      <formula>Q7&gt;0</formula>
    </cfRule>
    <cfRule type="expression" dxfId="183" priority="4">
      <formula>Q7&lt;0</formula>
    </cfRule>
  </conditionalFormatting>
  <conditionalFormatting sqref="Q8">
    <cfRule type="expression" dxfId="182" priority="1">
      <formula>Q8&gt;0</formula>
    </cfRule>
    <cfRule type="expression" dxfId="181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673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5.22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5.22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673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207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206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494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6" t="s">
        <v>78</v>
      </c>
      <c r="P40" s="856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5.742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5.6898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5.6375999999999999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291</v>
      </c>
      <c r="J44" s="39"/>
      <c r="K44" s="39"/>
      <c r="O44" s="81">
        <v>1.07</v>
      </c>
      <c r="P44" s="81">
        <f t="shared" si="6"/>
        <v>5.5853999999999999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5.5331999999999999</v>
      </c>
      <c r="Q45" s="2"/>
      <c r="T45" s="91" t="s">
        <v>99</v>
      </c>
      <c r="U45" s="86" t="s">
        <v>638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5.4809999999999999</v>
      </c>
      <c r="Q46" s="2"/>
      <c r="T46" s="91" t="s">
        <v>100</v>
      </c>
      <c r="U46" s="86" t="s">
        <v>639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298</v>
      </c>
      <c r="J47" s="39"/>
      <c r="K47" s="39"/>
      <c r="O47" s="81">
        <v>1.04</v>
      </c>
      <c r="P47" s="81">
        <f t="shared" si="6"/>
        <v>5.4287999999999998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5.3765999999999998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5.3243999999999998</v>
      </c>
      <c r="Q49" s="2"/>
      <c r="T49" s="91" t="s">
        <v>121</v>
      </c>
      <c r="U49" s="86" t="s">
        <v>419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5.2721999999999998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5.22</v>
      </c>
      <c r="Q51" s="2"/>
      <c r="T51" s="91" t="s">
        <v>104</v>
      </c>
      <c r="U51" s="86" t="s">
        <v>640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5.1677999999999997</v>
      </c>
      <c r="Q52" s="2"/>
      <c r="T52" s="91" t="s">
        <v>105</v>
      </c>
      <c r="U52" s="86" t="s">
        <v>516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5.1155999999999997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5.0633999999999997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5.0111999999999997</v>
      </c>
      <c r="T55" s="91" t="s">
        <v>107</v>
      </c>
      <c r="U55" s="86" t="s">
        <v>641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4.9589999999999996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4.9067999999999996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4.8545999999999996</v>
      </c>
      <c r="T58" s="91" t="s">
        <v>108</v>
      </c>
      <c r="U58" s="86" t="s">
        <v>546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4.8023999999999996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4.7501999999999995</v>
      </c>
    </row>
    <row r="61" spans="1:21" x14ac:dyDescent="0.25">
      <c r="A61" t="s">
        <v>343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4.6979999999999995</v>
      </c>
    </row>
    <row r="62" spans="1:21" x14ac:dyDescent="0.25">
      <c r="A62" t="s">
        <v>350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351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392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395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441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444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457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458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206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0" priority="25">
      <formula>F34&gt;0</formula>
    </cfRule>
    <cfRule type="expression" dxfId="179" priority="26">
      <formula>F34&lt;0</formula>
    </cfRule>
  </conditionalFormatting>
  <conditionalFormatting sqref="H124:H131">
    <cfRule type="expression" dxfId="178" priority="23">
      <formula>H124&gt;0</formula>
    </cfRule>
    <cfRule type="expression" dxfId="177" priority="24">
      <formula>H124&lt;0</formula>
    </cfRule>
  </conditionalFormatting>
  <conditionalFormatting sqref="H132">
    <cfRule type="expression" dxfId="176" priority="21">
      <formula>H132&gt;0</formula>
    </cfRule>
    <cfRule type="expression" dxfId="175" priority="22">
      <formula>H132&lt;0</formula>
    </cfRule>
  </conditionalFormatting>
  <conditionalFormatting sqref="Q8">
    <cfRule type="expression" dxfId="174" priority="11">
      <formula>Q8&gt;0</formula>
    </cfRule>
    <cfRule type="expression" dxfId="173" priority="12">
      <formula>Q8&lt;0</formula>
    </cfRule>
  </conditionalFormatting>
  <conditionalFormatting sqref="Q7">
    <cfRule type="expression" dxfId="172" priority="13">
      <formula>Q7&gt;0</formula>
    </cfRule>
    <cfRule type="expression" dxfId="171" priority="14">
      <formula>Q7&lt;0</formula>
    </cfRule>
  </conditionalFormatting>
  <conditionalFormatting sqref="F36:F39">
    <cfRule type="expression" dxfId="170" priority="9">
      <formula>F36&gt;0</formula>
    </cfRule>
    <cfRule type="expression" dxfId="169" priority="10">
      <formula>F36&lt;0</formula>
    </cfRule>
  </conditionalFormatting>
  <conditionalFormatting sqref="H36:H39">
    <cfRule type="expression" dxfId="168" priority="7">
      <formula>H36&gt;0</formula>
    </cfRule>
    <cfRule type="expression" dxfId="167" priority="8">
      <formula>H36&lt;0</formula>
    </cfRule>
  </conditionalFormatting>
  <conditionalFormatting sqref="K65:K99">
    <cfRule type="expression" dxfId="166" priority="5">
      <formula>K65&gt;0</formula>
    </cfRule>
    <cfRule type="expression" dxfId="165" priority="6">
      <formula>K65&lt;0</formula>
    </cfRule>
  </conditionalFormatting>
  <conditionalFormatting sqref="K72">
    <cfRule type="expression" dxfId="164" priority="3">
      <formula>K72&gt;0</formula>
    </cfRule>
    <cfRule type="expression" dxfId="163" priority="4">
      <formula>K72&lt;0</formula>
    </cfRule>
  </conditionalFormatting>
  <conditionalFormatting sqref="M69">
    <cfRule type="expression" dxfId="162" priority="1">
      <formula>M69&gt;0</formula>
    </cfRule>
    <cfRule type="expression" dxfId="161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801</v>
      </c>
      <c r="W2" t="s">
        <v>799</v>
      </c>
      <c r="X2" s="739" t="s">
        <v>783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77.83</v>
      </c>
      <c r="U3" t="s">
        <v>802</v>
      </c>
      <c r="X3" s="739" t="s">
        <v>784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77.83</v>
      </c>
      <c r="R4" s="475">
        <v>1.4E-3</v>
      </c>
      <c r="U4" t="s">
        <v>803</v>
      </c>
      <c r="X4" s="739" t="s">
        <v>785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786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810</v>
      </c>
      <c r="AF5" s="738" t="s">
        <v>810</v>
      </c>
      <c r="AG5" s="738" t="s">
        <v>810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813</v>
      </c>
      <c r="X6" s="739" t="s">
        <v>787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788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848</v>
      </c>
      <c r="X8" s="739" t="s">
        <v>800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207</v>
      </c>
      <c r="Q9" s="134">
        <f>IF(Q2=0, 0, Q8/Q6)</f>
        <v>0</v>
      </c>
      <c r="U9" t="s">
        <v>867</v>
      </c>
      <c r="X9" s="739" t="s">
        <v>811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M54</f>
        <v>810.1299999999901</v>
      </c>
      <c r="X10" s="739" t="s">
        <v>812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2.6724913272517026E-2</v>
      </c>
      <c r="R11">
        <f>0.52</f>
        <v>0.52</v>
      </c>
      <c r="T11" s="1">
        <v>43112</v>
      </c>
      <c r="U11" t="s">
        <v>864</v>
      </c>
      <c r="X11" s="739" t="s">
        <v>797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938</v>
      </c>
      <c r="Q12" s="1" t="s">
        <v>1197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>
        <f>Q4/6.46</f>
        <v>12.047987616099071</v>
      </c>
      <c r="T13" s="1">
        <v>43114</v>
      </c>
      <c r="U13" t="s">
        <v>868</v>
      </c>
      <c r="W13" t="s">
        <v>798</v>
      </c>
      <c r="X13" s="739" t="s">
        <v>789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866</v>
      </c>
      <c r="X14" s="739" t="s">
        <v>790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865</v>
      </c>
      <c r="X15" s="739" t="s">
        <v>791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792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883</v>
      </c>
      <c r="X17" s="739" t="s">
        <v>793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899</v>
      </c>
      <c r="X18" s="739" t="s">
        <v>794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869</v>
      </c>
      <c r="X19" s="739" t="s">
        <v>795</v>
      </c>
      <c r="Y19" s="741">
        <v>0.03</v>
      </c>
      <c r="Z19" s="741">
        <v>0.05</v>
      </c>
      <c r="AA19" s="81" t="s">
        <v>810</v>
      </c>
      <c r="AB19" s="2" t="s">
        <v>810</v>
      </c>
      <c r="AC19" s="763" t="s">
        <v>810</v>
      </c>
      <c r="AD19" s="738" t="s">
        <v>810</v>
      </c>
      <c r="AE19" s="738" t="s">
        <v>810</v>
      </c>
      <c r="AF19" s="738">
        <v>0.02</v>
      </c>
      <c r="AG19" s="738" t="s">
        <v>810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796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1034</v>
      </c>
      <c r="X21" s="739" t="s">
        <v>788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1039</v>
      </c>
      <c r="X22" s="739" t="s">
        <v>800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811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812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797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494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6" t="s">
        <v>78</v>
      </c>
      <c r="P42" s="856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85.613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84.834699999999998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84.056400000000011</v>
      </c>
      <c r="Q45" s="2"/>
      <c r="T45" s="91" t="s">
        <v>99</v>
      </c>
      <c r="U45" s="86" t="s">
        <v>642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83.278100000000009</v>
      </c>
      <c r="Q46" s="2"/>
      <c r="T46" s="91" t="s">
        <v>100</v>
      </c>
      <c r="U46" s="86" t="s">
        <v>643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82.499800000000008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81.721500000000006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80.943200000000004</v>
      </c>
      <c r="Q49" s="2"/>
      <c r="T49" s="91" t="s">
        <v>103</v>
      </c>
      <c r="U49" s="86" t="s">
        <v>547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80.164900000000003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79.386600000000001</v>
      </c>
      <c r="Q51" s="2"/>
      <c r="T51" s="91" t="s">
        <v>104</v>
      </c>
      <c r="U51" s="86" t="s">
        <v>644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78.6083</v>
      </c>
      <c r="Q52" s="2"/>
      <c r="T52" s="91" t="s">
        <v>105</v>
      </c>
      <c r="U52" s="86" t="s">
        <v>409</v>
      </c>
      <c r="V52" s="86"/>
    </row>
    <row r="53" spans="1:22" x14ac:dyDescent="0.25">
      <c r="O53" s="81">
        <v>1</v>
      </c>
      <c r="P53" s="81">
        <f t="shared" si="9"/>
        <v>77.83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77.051699999999997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76.273399999999995</v>
      </c>
      <c r="Q55" s="2"/>
      <c r="T55" s="91" t="s">
        <v>107</v>
      </c>
      <c r="U55" s="86" t="s">
        <v>645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75.495099999999994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74.716799999999992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73.938499999999991</v>
      </c>
      <c r="T58" s="91" t="s">
        <v>108</v>
      </c>
      <c r="U58" s="86" t="s">
        <v>548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73.160199999999989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72.381900000000002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71.6036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70.825299999999999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70.046999999999997</v>
      </c>
    </row>
    <row r="64" spans="1:22" x14ac:dyDescent="0.25">
      <c r="A64" s="384" t="s">
        <v>209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494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244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300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310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336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355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369</v>
      </c>
      <c r="J182" s="362"/>
      <c r="K182" s="362"/>
      <c r="L182" s="362"/>
    </row>
    <row r="183" spans="1:12" x14ac:dyDescent="0.25">
      <c r="A183" s="362" t="s">
        <v>355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391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336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404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422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425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439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391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701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688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748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758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814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819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845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60" priority="96">
      <formula>F24&gt;0</formula>
    </cfRule>
    <cfRule type="expression" dxfId="159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8" priority="79">
      <formula>F30&gt;0</formula>
    </cfRule>
    <cfRule type="expression" dxfId="157" priority="80">
      <formula>F30&lt;0</formula>
    </cfRule>
  </conditionalFormatting>
  <conditionalFormatting sqref="H43 H30:H33">
    <cfRule type="expression" dxfId="156" priority="77">
      <formula>H30&gt;0</formula>
    </cfRule>
    <cfRule type="expression" dxfId="155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4" priority="59">
      <formula>F115&gt;0</formula>
    </cfRule>
    <cfRule type="expression" dxfId="153" priority="60">
      <formula>F115&lt;0</formula>
    </cfRule>
  </conditionalFormatting>
  <conditionalFormatting sqref="F112:F114">
    <cfRule type="expression" dxfId="152" priority="57">
      <formula>F112&gt;0</formula>
    </cfRule>
    <cfRule type="expression" dxfId="151" priority="58">
      <formula>F112&lt;0</formula>
    </cfRule>
  </conditionalFormatting>
  <conditionalFormatting sqref="H112:I112">
    <cfRule type="expression" dxfId="150" priority="55">
      <formula>H112&gt;0</formula>
    </cfRule>
    <cfRule type="expression" dxfId="149" priority="56">
      <formula>H112&lt;0</formula>
    </cfRule>
  </conditionalFormatting>
  <conditionalFormatting sqref="H113:I113">
    <cfRule type="expression" dxfId="148" priority="53">
      <formula>H113&gt;0</formula>
    </cfRule>
    <cfRule type="expression" dxfId="147" priority="54">
      <formula>H113&lt;0</formula>
    </cfRule>
  </conditionalFormatting>
  <conditionalFormatting sqref="H114:I114">
    <cfRule type="expression" dxfId="146" priority="51">
      <formula>H114&gt;0</formula>
    </cfRule>
    <cfRule type="expression" dxfId="145" priority="52">
      <formula>H114&lt;0</formula>
    </cfRule>
  </conditionalFormatting>
  <conditionalFormatting sqref="F105:F111">
    <cfRule type="expression" dxfId="144" priority="49">
      <formula>F105&gt;0</formula>
    </cfRule>
    <cfRule type="expression" dxfId="143" priority="50">
      <formula>F105&lt;0</formula>
    </cfRule>
  </conditionalFormatting>
  <conditionalFormatting sqref="H105:I111">
    <cfRule type="expression" dxfId="142" priority="47">
      <formula>H105&gt;0</formula>
    </cfRule>
    <cfRule type="expression" dxfId="141" priority="48">
      <formula>H105&lt;0</formula>
    </cfRule>
  </conditionalFormatting>
  <conditionalFormatting sqref="I117 F117:F119">
    <cfRule type="expression" dxfId="140" priority="45">
      <formula>F117&gt;0</formula>
    </cfRule>
    <cfRule type="expression" dxfId="139" priority="46">
      <formula>F117&lt;0</formula>
    </cfRule>
  </conditionalFormatting>
  <conditionalFormatting sqref="F189:F196 H189:H196">
    <cfRule type="expression" dxfId="138" priority="43">
      <formula>F189&gt;0</formula>
    </cfRule>
    <cfRule type="expression" dxfId="137" priority="44">
      <formula>F189&lt;0</formula>
    </cfRule>
  </conditionalFormatting>
  <conditionalFormatting sqref="H202 F202">
    <cfRule type="expression" dxfId="136" priority="41">
      <formula>F202&gt;0</formula>
    </cfRule>
    <cfRule type="expression" dxfId="135" priority="42">
      <formula>F202&lt;0</formula>
    </cfRule>
  </conditionalFormatting>
  <conditionalFormatting sqref="I204">
    <cfRule type="expression" dxfId="134" priority="39">
      <formula>I204&gt;0</formula>
    </cfRule>
    <cfRule type="expression" dxfId="133" priority="40">
      <formula>I204&lt;0</formula>
    </cfRule>
  </conditionalFormatting>
  <conditionalFormatting sqref="H204 F204">
    <cfRule type="expression" dxfId="132" priority="37">
      <formula>F204&gt;0</formula>
    </cfRule>
    <cfRule type="expression" dxfId="131" priority="38">
      <formula>F204&lt;0</formula>
    </cfRule>
  </conditionalFormatting>
  <conditionalFormatting sqref="M54">
    <cfRule type="expression" dxfId="130" priority="35">
      <formula>M54&gt;0</formula>
    </cfRule>
    <cfRule type="expression" dxfId="129" priority="36">
      <formula>M54&lt;0</formula>
    </cfRule>
  </conditionalFormatting>
  <conditionalFormatting sqref="K39:K49">
    <cfRule type="expression" dxfId="128" priority="33">
      <formula>K39&gt;0</formula>
    </cfRule>
    <cfRule type="expression" dxfId="127" priority="34">
      <formula>K39&lt;0</formula>
    </cfRule>
  </conditionalFormatting>
  <conditionalFormatting sqref="Q10">
    <cfRule type="expression" dxfId="126" priority="31">
      <formula>Q10&gt;0</formula>
    </cfRule>
    <cfRule type="expression" dxfId="125" priority="32">
      <formula>Q10&lt;0</formula>
    </cfRule>
  </conditionalFormatting>
  <conditionalFormatting sqref="Z10">
    <cfRule type="expression" dxfId="124" priority="29">
      <formula>Z10&gt;0</formula>
    </cfRule>
    <cfRule type="expression" dxfId="123" priority="30">
      <formula>Z10&lt;0</formula>
    </cfRule>
  </conditionalFormatting>
  <conditionalFormatting sqref="AA10:AE10">
    <cfRule type="expression" dxfId="122" priority="27">
      <formula>AA10&gt;0</formula>
    </cfRule>
    <cfRule type="expression" dxfId="121" priority="28">
      <formula>AA10&lt;0</formula>
    </cfRule>
  </conditionalFormatting>
  <conditionalFormatting sqref="Z24">
    <cfRule type="expression" dxfId="120" priority="25">
      <formula>Z24&gt;0</formula>
    </cfRule>
    <cfRule type="expression" dxfId="119" priority="26">
      <formula>Z24&lt;0</formula>
    </cfRule>
  </conditionalFormatting>
  <conditionalFormatting sqref="AF10:AG10">
    <cfRule type="expression" dxfId="118" priority="17">
      <formula>AF10&gt;0</formula>
    </cfRule>
    <cfRule type="expression" dxfId="117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6" priority="15">
      <formula>F208&gt;0</formula>
    </cfRule>
    <cfRule type="expression" dxfId="115" priority="16">
      <formula>F208&lt;0</formula>
    </cfRule>
  </conditionalFormatting>
  <conditionalFormatting sqref="F220 F207:F210">
    <cfRule type="expression" dxfId="114" priority="13">
      <formula>F207&gt;0</formula>
    </cfRule>
    <cfRule type="expression" dxfId="113" priority="14">
      <formula>F207&lt;0</formula>
    </cfRule>
  </conditionalFormatting>
  <conditionalFormatting sqref="H207:I207 H220 H208:H210">
    <cfRule type="expression" dxfId="112" priority="11">
      <formula>H207&gt;0</formula>
    </cfRule>
    <cfRule type="expression" dxfId="111" priority="12">
      <formula>H207&lt;0</formula>
    </cfRule>
  </conditionalFormatting>
  <conditionalFormatting sqref="K210:K225">
    <cfRule type="expression" dxfId="110" priority="9">
      <formula>K210&gt;0</formula>
    </cfRule>
    <cfRule type="expression" dxfId="109" priority="10">
      <formula>K210&lt;0</formula>
    </cfRule>
  </conditionalFormatting>
  <conditionalFormatting sqref="K31">
    <cfRule type="expression" dxfId="108" priority="7">
      <formula>K31&gt;0</formula>
    </cfRule>
    <cfRule type="expression" dxfId="107" priority="8">
      <formula>K31&lt;0</formula>
    </cfRule>
  </conditionalFormatting>
  <conditionalFormatting sqref="K32:K38">
    <cfRule type="expression" dxfId="106" priority="5">
      <formula>K32&gt;0</formula>
    </cfRule>
    <cfRule type="expression" dxfId="105" priority="6">
      <formula>K32&lt;0</formula>
    </cfRule>
  </conditionalFormatting>
  <conditionalFormatting sqref="Q7">
    <cfRule type="expression" dxfId="104" priority="3">
      <formula>Q7&gt;0</formula>
    </cfRule>
    <cfRule type="expression" dxfId="103" priority="4">
      <formula>Q7&lt;0</formula>
    </cfRule>
  </conditionalFormatting>
  <conditionalFormatting sqref="Q8">
    <cfRule type="expression" dxfId="102" priority="1">
      <formula>Q8&gt;0</formula>
    </cfRule>
    <cfRule type="expression" dxfId="101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83.21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83.21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206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206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6" t="s">
        <v>78</v>
      </c>
      <c r="P42" s="85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91.531000000000006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90.698899999999995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89.866799999999998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89.034700000000001</v>
      </c>
      <c r="Q46" s="81"/>
      <c r="T46" s="91" t="s">
        <v>100</v>
      </c>
      <c r="U46" s="86" t="s">
        <v>646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88.202600000000004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87.370499999999993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86.538399999999996</v>
      </c>
      <c r="Q49" s="81"/>
      <c r="T49" s="91" t="s">
        <v>121</v>
      </c>
      <c r="U49" s="86" t="s">
        <v>353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85.706299999999999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84.874200000000002</v>
      </c>
      <c r="Q51" s="81"/>
      <c r="T51" s="91" t="s">
        <v>104</v>
      </c>
      <c r="U51" s="86" t="s">
        <v>647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84.042099999999991</v>
      </c>
      <c r="Q52" s="81"/>
      <c r="T52" s="91" t="s">
        <v>105</v>
      </c>
      <c r="U52" s="86" t="s">
        <v>648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83.21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82.377899999999997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81.545799999999986</v>
      </c>
      <c r="Q55" s="81"/>
      <c r="T55" s="91" t="s">
        <v>107</v>
      </c>
      <c r="U55" s="86" t="s">
        <v>649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80.713699999999989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79.881599999999992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79.049499999999995</v>
      </c>
      <c r="Q58" s="81"/>
      <c r="T58" s="91" t="s">
        <v>108</v>
      </c>
      <c r="U58" s="86" t="s">
        <v>522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78.217399999999984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77.385300000000001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76.553200000000004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75.721099999999993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74.888999999999996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0" priority="5">
      <formula>F21&gt;0</formula>
    </cfRule>
    <cfRule type="expression" dxfId="99" priority="6">
      <formula>F21&lt;0</formula>
    </cfRule>
  </conditionalFormatting>
  <conditionalFormatting sqref="Q8">
    <cfRule type="expression" dxfId="98" priority="1">
      <formula>Q8&gt;0</formula>
    </cfRule>
    <cfRule type="expression" dxfId="97" priority="2">
      <formula>Q8&lt;0</formula>
    </cfRule>
  </conditionalFormatting>
  <conditionalFormatting sqref="Q7">
    <cfRule type="expression" dxfId="96" priority="3">
      <formula>Q7&gt;0</formula>
    </cfRule>
    <cfRule type="expression" dxfId="9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1188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49.767300000000006</v>
      </c>
      <c r="V3" t="s">
        <v>1189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45.739899999999999</v>
      </c>
      <c r="R4" s="475">
        <v>1.46E-2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9147.98</v>
      </c>
      <c r="U5" s="83">
        <v>43180</v>
      </c>
      <c r="V5" t="s">
        <v>980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9953.4600000000009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-755.52999999999975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-805.47999999999956</v>
      </c>
      <c r="U8" s="118">
        <v>43292</v>
      </c>
      <c r="V8" t="s">
        <v>1187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207</v>
      </c>
      <c r="Q9" s="222">
        <f>IF(Q2=0, 0, Q8/Q6)</f>
        <v>-8.0924623196355794E-2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206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4.285099005463501E-2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7" si="2">C12*D12+E12</f>
        <v>1255</v>
      </c>
      <c r="H12" s="70"/>
      <c r="O12" s="11" t="s">
        <v>938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965</v>
      </c>
      <c r="Q13">
        <f>Q4/3.08</f>
        <v>14.850616883116883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6" t="s">
        <v>78</v>
      </c>
      <c r="P17" s="856"/>
    </row>
    <row r="18" spans="1:16" ht="15.75" thickTop="1" x14ac:dyDescent="0.25">
      <c r="H18" s="70"/>
      <c r="O18" s="81">
        <v>1.1000000000000001</v>
      </c>
      <c r="P18" s="81">
        <f>O18*$Q$4</f>
        <v>50.313890000000001</v>
      </c>
    </row>
    <row r="19" spans="1:16" x14ac:dyDescent="0.25">
      <c r="H19" s="70"/>
      <c r="O19" s="81">
        <v>1.0900000000000001</v>
      </c>
      <c r="P19" s="81">
        <f t="shared" ref="P19:P38" si="3">O19*$Q$4</f>
        <v>49.856491000000005</v>
      </c>
    </row>
    <row r="20" spans="1:16" x14ac:dyDescent="0.25">
      <c r="H20" s="70"/>
      <c r="O20" s="81">
        <v>1.08</v>
      </c>
      <c r="P20" s="81">
        <f t="shared" si="3"/>
        <v>49.399092000000003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444.4</v>
      </c>
      <c r="O21" s="81">
        <v>1.07</v>
      </c>
      <c r="P21" s="81">
        <f t="shared" si="3"/>
        <v>48.941693000000001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444</v>
      </c>
      <c r="O22" s="81">
        <v>1.06</v>
      </c>
      <c r="P22" s="81">
        <f t="shared" si="3"/>
        <v>48.484293999999998</v>
      </c>
    </row>
    <row r="23" spans="1:16" x14ac:dyDescent="0.25">
      <c r="O23" s="81">
        <v>1.05</v>
      </c>
      <c r="P23" s="81">
        <f t="shared" si="3"/>
        <v>48.026895000000003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1.04</v>
      </c>
      <c r="P24" s="81">
        <f t="shared" si="3"/>
        <v>47.569496000000001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2">
        <f t="shared" ref="H25:H32" si="6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3"/>
        <v>47.112096999999999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2">
        <f t="shared" si="6"/>
        <v>-2.5388291517323608E-2</v>
      </c>
      <c r="I26" s="39"/>
      <c r="J26" s="39"/>
      <c r="K26" s="39"/>
      <c r="L26" s="39"/>
      <c r="O26" s="81">
        <v>1.02</v>
      </c>
      <c r="P26" s="81">
        <f t="shared" si="3"/>
        <v>46.654697999999996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2">
        <f t="shared" si="6"/>
        <v>-3.4498207885304485E-2</v>
      </c>
      <c r="I27" s="39"/>
      <c r="J27" s="39"/>
      <c r="K27" s="39"/>
      <c r="L27" s="39"/>
      <c r="O27" s="81">
        <v>1.01</v>
      </c>
      <c r="P27" s="81">
        <f t="shared" si="3"/>
        <v>46.197299000000001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2">
        <f t="shared" si="6"/>
        <v>-4.5698924731182727E-2</v>
      </c>
      <c r="I28" s="39"/>
      <c r="J28" s="39"/>
      <c r="K28" s="39"/>
      <c r="L28" s="39"/>
      <c r="O28" s="81">
        <v>1</v>
      </c>
      <c r="P28" s="81">
        <f t="shared" si="3"/>
        <v>45.739899999999999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2">
        <f t="shared" si="6"/>
        <v>-5.8393070489844635E-2</v>
      </c>
      <c r="I29" s="39"/>
      <c r="J29" s="39"/>
      <c r="K29" s="39"/>
      <c r="L29" s="39"/>
      <c r="O29" s="81">
        <v>0.99</v>
      </c>
      <c r="P29" s="81">
        <f t="shared" si="3"/>
        <v>45.282500999999996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2">
        <f t="shared" si="6"/>
        <v>-5.8393070489844635E-2</v>
      </c>
      <c r="I30" s="39"/>
      <c r="J30" s="39"/>
      <c r="K30" s="39"/>
      <c r="L30" s="39"/>
      <c r="O30" s="81">
        <v>0.98</v>
      </c>
      <c r="P30" s="81">
        <f t="shared" si="3"/>
        <v>44.825102000000001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2">
        <f t="shared" si="6"/>
        <v>-7.2132616487455073E-2</v>
      </c>
      <c r="I31" s="39"/>
      <c r="J31" s="39"/>
      <c r="K31" s="39"/>
      <c r="L31" s="39"/>
      <c r="O31" s="81">
        <v>0.97</v>
      </c>
      <c r="P31" s="81">
        <f t="shared" si="3"/>
        <v>44.367702999999999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2">
        <f t="shared" si="6"/>
        <v>-4.6428013131155209E-2</v>
      </c>
      <c r="I32" s="39"/>
      <c r="J32" s="39"/>
      <c r="K32" s="39"/>
      <c r="L32" s="39"/>
      <c r="O32" s="81">
        <v>0.96</v>
      </c>
      <c r="P32" s="81">
        <f t="shared" si="3"/>
        <v>43.910303999999996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2">
        <f t="shared" ref="H33:H38" si="9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3"/>
        <v>43.452904999999994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2">
        <f t="shared" si="9"/>
        <v>-4.3778440294994496E-2</v>
      </c>
      <c r="I34" s="39"/>
      <c r="J34" s="39"/>
      <c r="K34" s="39"/>
      <c r="L34" s="39"/>
      <c r="O34" s="81">
        <v>0.94</v>
      </c>
      <c r="P34" s="81">
        <f t="shared" si="3"/>
        <v>42.995505999999999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2">
        <f t="shared" si="9"/>
        <v>-2.4007531774674316E-2</v>
      </c>
      <c r="I35" s="39"/>
      <c r="J35" s="39"/>
      <c r="K35" s="39"/>
      <c r="L35" s="39"/>
      <c r="O35" s="81">
        <v>0.93</v>
      </c>
      <c r="P35" s="81">
        <f t="shared" si="3"/>
        <v>42.538107000000004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2">
        <f t="shared" si="9"/>
        <v>-1.1297662011611469E-2</v>
      </c>
      <c r="I36" s="39"/>
      <c r="J36" s="39"/>
      <c r="K36" s="39"/>
      <c r="L36" s="39"/>
      <c r="O36" s="81">
        <v>0.92</v>
      </c>
      <c r="P36" s="81">
        <f t="shared" si="3"/>
        <v>42.080708000000001</v>
      </c>
    </row>
    <row r="37" spans="1:17" x14ac:dyDescent="0.25">
      <c r="A37" t="s">
        <v>342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2">
        <f t="shared" si="9"/>
        <v>-2.4189723320158122E-2</v>
      </c>
      <c r="I37" s="39"/>
      <c r="J37" s="39"/>
      <c r="K37" s="39"/>
      <c r="L37" s="39"/>
      <c r="O37" s="81">
        <v>0.91</v>
      </c>
      <c r="P37" s="81">
        <f t="shared" si="3"/>
        <v>41.623308999999999</v>
      </c>
    </row>
    <row r="38" spans="1:17" x14ac:dyDescent="0.25">
      <c r="A38" t="s">
        <v>429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2">
        <f t="shared" si="9"/>
        <v>-6.0293991759444322E-3</v>
      </c>
      <c r="I38" s="39"/>
      <c r="J38" s="39"/>
      <c r="K38" s="39"/>
      <c r="L38" s="39"/>
      <c r="O38" s="81">
        <v>0.9</v>
      </c>
      <c r="P38" s="81">
        <f t="shared" si="3"/>
        <v>41.165909999999997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2">
        <f t="shared" ref="H39:H45" si="12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2">
        <f t="shared" si="12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2">
        <f t="shared" si="12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2">
        <f t="shared" si="12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2">
        <f t="shared" si="12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2">
        <f t="shared" si="12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2">
        <f t="shared" si="12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3">C51*(E51-D51)</f>
        <v>-1145.4900000000002</v>
      </c>
      <c r="G51" s="39">
        <f t="shared" ref="G51:G59" si="14">D51*C51</f>
        <v>16604.490000000002</v>
      </c>
      <c r="H51" s="222">
        <f t="shared" ref="H51:H59" si="15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3"/>
        <v>-993.59999999999923</v>
      </c>
      <c r="G52" s="39">
        <f t="shared" si="14"/>
        <v>11399.6</v>
      </c>
      <c r="H52" s="222">
        <f t="shared" si="15"/>
        <v>-8.7160953015895229E-2</v>
      </c>
      <c r="I52" s="193" t="s">
        <v>746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3"/>
        <v>-1291.5899999999986</v>
      </c>
      <c r="G53" s="39">
        <f t="shared" si="14"/>
        <v>16321.589999999998</v>
      </c>
      <c r="H53" s="222">
        <f t="shared" si="15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3"/>
        <v>-878.7199999999998</v>
      </c>
      <c r="G54" s="39">
        <f t="shared" si="14"/>
        <v>11178.72</v>
      </c>
      <c r="H54" s="222">
        <f t="shared" si="15"/>
        <v>-7.8606495198019086E-2</v>
      </c>
      <c r="I54" s="193" t="s">
        <v>760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3"/>
        <v>86.250000000000426</v>
      </c>
      <c r="G55" s="39">
        <f t="shared" si="14"/>
        <v>8364.75</v>
      </c>
      <c r="H55" s="222">
        <f t="shared" si="15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3"/>
        <v>113.14000000000064</v>
      </c>
      <c r="G56" s="39">
        <f t="shared" si="14"/>
        <v>5520.86</v>
      </c>
      <c r="H56" s="222">
        <f t="shared" si="15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3"/>
        <v>278.99999999999989</v>
      </c>
      <c r="G57" s="39">
        <f t="shared" si="14"/>
        <v>4071</v>
      </c>
      <c r="H57" s="222">
        <f t="shared" si="15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3"/>
        <v>439.8000000000003</v>
      </c>
      <c r="G58" s="39">
        <f t="shared" si="14"/>
        <v>3168</v>
      </c>
      <c r="H58" s="222">
        <f t="shared" si="15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3"/>
        <v>146.64000000000001</v>
      </c>
      <c r="G59" s="39">
        <f t="shared" si="14"/>
        <v>5448.3600000000006</v>
      </c>
      <c r="H59" s="222">
        <f t="shared" si="15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9" si="16">C60*(E60-D60)</f>
        <v>-219.95999999999967</v>
      </c>
      <c r="G60" s="39">
        <f t="shared" ref="G60:G69" si="17">D60*C60</f>
        <v>5418.96</v>
      </c>
      <c r="H60" s="222">
        <f t="shared" ref="H60:H69" si="18">(E60-D60)/D60</f>
        <v>-4.0590814473625877E-2</v>
      </c>
      <c r="I60" s="39" t="s">
        <v>949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6"/>
        <v>-394.9649999999998</v>
      </c>
      <c r="G61" s="39">
        <f t="shared" si="17"/>
        <v>7926.4650000000001</v>
      </c>
      <c r="H61" s="222">
        <f t="shared" si="18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6"/>
        <v>-1294.9649999999999</v>
      </c>
      <c r="G62" s="39">
        <f t="shared" si="17"/>
        <v>7926.4650000000001</v>
      </c>
      <c r="H62" s="222">
        <f t="shared" si="18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6"/>
        <v>-1131.4650000000004</v>
      </c>
      <c r="G63" s="39">
        <f t="shared" si="17"/>
        <v>7926.4650000000001</v>
      </c>
      <c r="H63" s="222">
        <f t="shared" si="18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6"/>
        <v>-1105.9650000000001</v>
      </c>
      <c r="G64" s="39">
        <f t="shared" si="17"/>
        <v>7926.4650000000001</v>
      </c>
      <c r="H64" s="222">
        <f t="shared" si="18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6"/>
        <v>-1479.4499999999998</v>
      </c>
      <c r="G65" s="39">
        <f t="shared" si="17"/>
        <v>7852.95</v>
      </c>
      <c r="H65" s="222">
        <f t="shared" si="18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6"/>
        <v>-1150.9500000000003</v>
      </c>
      <c r="G66" s="39">
        <f t="shared" si="17"/>
        <v>7852.95</v>
      </c>
      <c r="H66" s="222">
        <f t="shared" si="18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6"/>
        <v>-1330.9600000000003</v>
      </c>
      <c r="G67" s="39">
        <f t="shared" si="17"/>
        <v>10026.959999999999</v>
      </c>
      <c r="H67" s="222">
        <f t="shared" si="18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A68">
        <v>150</v>
      </c>
      <c r="B68" s="184">
        <v>43312</v>
      </c>
      <c r="C68" s="10">
        <v>200</v>
      </c>
      <c r="D68" s="39">
        <v>50.13</v>
      </c>
      <c r="E68" s="39">
        <v>46.06</v>
      </c>
      <c r="F68" s="39">
        <f t="shared" si="16"/>
        <v>-814</v>
      </c>
      <c r="G68" s="39">
        <f t="shared" si="17"/>
        <v>10026</v>
      </c>
      <c r="H68" s="222">
        <f t="shared" si="18"/>
        <v>-8.1188908837023746E-2</v>
      </c>
      <c r="I68" s="39"/>
      <c r="J68" s="39">
        <v>-765</v>
      </c>
      <c r="K68" s="39"/>
      <c r="L68" s="39">
        <v>14.95</v>
      </c>
    </row>
    <row r="69" spans="1:13" x14ac:dyDescent="0.25">
      <c r="A69">
        <v>150</v>
      </c>
      <c r="B69" s="184">
        <v>43313</v>
      </c>
      <c r="C69" s="7">
        <v>200</v>
      </c>
      <c r="D69" s="43">
        <v>49.767299999999999</v>
      </c>
      <c r="E69" s="39">
        <v>45.08</v>
      </c>
      <c r="F69" s="39">
        <f t="shared" si="16"/>
        <v>-937.46</v>
      </c>
      <c r="G69" s="39">
        <f t="shared" si="17"/>
        <v>9953.4599999999991</v>
      </c>
      <c r="H69" s="222">
        <f t="shared" si="18"/>
        <v>-9.4184333889923713E-2</v>
      </c>
      <c r="I69" s="39"/>
      <c r="J69" s="39">
        <v>-888</v>
      </c>
      <c r="K69" s="39"/>
      <c r="L69" s="39">
        <v>14.64</v>
      </c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206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94" priority="39">
      <formula>F25&gt;0</formula>
    </cfRule>
    <cfRule type="expression" dxfId="93" priority="40">
      <formula>F25&lt;0</formula>
    </cfRule>
  </conditionalFormatting>
  <conditionalFormatting sqref="Q8">
    <cfRule type="expression" dxfId="92" priority="33">
      <formula>Q8&gt;0</formula>
    </cfRule>
    <cfRule type="expression" dxfId="91" priority="34">
      <formula>Q8&lt;0</formula>
    </cfRule>
  </conditionalFormatting>
  <conditionalFormatting sqref="Q7">
    <cfRule type="expression" dxfId="90" priority="35">
      <formula>Q7&gt;0</formula>
    </cfRule>
    <cfRule type="expression" dxfId="89" priority="36">
      <formula>Q7&lt;0</formula>
    </cfRule>
  </conditionalFormatting>
  <conditionalFormatting sqref="M75">
    <cfRule type="expression" dxfId="88" priority="31">
      <formula>M75&gt;0</formula>
    </cfRule>
    <cfRule type="expression" dxfId="87" priority="32">
      <formula>M75&lt;0</formula>
    </cfRule>
  </conditionalFormatting>
  <conditionalFormatting sqref="J39">
    <cfRule type="expression" dxfId="86" priority="29">
      <formula>J39&gt;0</formula>
    </cfRule>
    <cfRule type="expression" dxfId="85" priority="30">
      <formula>J39&lt;0</formula>
    </cfRule>
  </conditionalFormatting>
  <conditionalFormatting sqref="J40:J52 J53:K61 K70:K71 K63:K65">
    <cfRule type="expression" dxfId="84" priority="27">
      <formula>J40&gt;0</formula>
    </cfRule>
    <cfRule type="expression" dxfId="83" priority="28">
      <formula>J40&lt;0</formula>
    </cfRule>
  </conditionalFormatting>
  <conditionalFormatting sqref="Q10">
    <cfRule type="expression" dxfId="82" priority="25">
      <formula>Q10&gt;0</formula>
    </cfRule>
    <cfRule type="expression" dxfId="81" priority="26">
      <formula>Q10&lt;0</formula>
    </cfRule>
  </conditionalFormatting>
  <conditionalFormatting sqref="Q9">
    <cfRule type="expression" dxfId="80" priority="23">
      <formula>Q9&gt;0</formula>
    </cfRule>
    <cfRule type="expression" dxfId="79" priority="24">
      <formula>Q9&lt;0</formula>
    </cfRule>
  </conditionalFormatting>
  <conditionalFormatting sqref="F62 H62">
    <cfRule type="expression" dxfId="78" priority="21">
      <formula>F62&gt;0</formula>
    </cfRule>
    <cfRule type="expression" dxfId="77" priority="22">
      <formula>F62&lt;0</formula>
    </cfRule>
  </conditionalFormatting>
  <conditionalFormatting sqref="J62:K62">
    <cfRule type="expression" dxfId="76" priority="19">
      <formula>J62&gt;0</formula>
    </cfRule>
    <cfRule type="expression" dxfId="75" priority="20">
      <formula>J62&lt;0</formula>
    </cfRule>
  </conditionalFormatting>
  <conditionalFormatting sqref="F63 H63">
    <cfRule type="expression" dxfId="74" priority="17">
      <formula>F63&gt;0</formula>
    </cfRule>
    <cfRule type="expression" dxfId="73" priority="18">
      <formula>F63&lt;0</formula>
    </cfRule>
  </conditionalFormatting>
  <conditionalFormatting sqref="J63">
    <cfRule type="expression" dxfId="72" priority="15">
      <formula>J63&gt;0</formula>
    </cfRule>
    <cfRule type="expression" dxfId="71" priority="16">
      <formula>J63&lt;0</formula>
    </cfRule>
  </conditionalFormatting>
  <conditionalFormatting sqref="F64:F66 H64:H66">
    <cfRule type="expression" dxfId="70" priority="13">
      <formula>F64&gt;0</formula>
    </cfRule>
    <cfRule type="expression" dxfId="69" priority="14">
      <formula>F64&lt;0</formula>
    </cfRule>
  </conditionalFormatting>
  <conditionalFormatting sqref="J64:J66">
    <cfRule type="expression" dxfId="68" priority="11">
      <formula>J64&gt;0</formula>
    </cfRule>
    <cfRule type="expression" dxfId="67" priority="12">
      <formula>J64&lt;0</formula>
    </cfRule>
  </conditionalFormatting>
  <conditionalFormatting sqref="L53:L57">
    <cfRule type="expression" dxfId="66" priority="9">
      <formula>L53&gt;0</formula>
    </cfRule>
    <cfRule type="expression" dxfId="65" priority="10">
      <formula>L53&lt;0</formula>
    </cfRule>
  </conditionalFormatting>
  <conditionalFormatting sqref="F67:F69 H67:H69">
    <cfRule type="expression" dxfId="64" priority="5">
      <formula>F67&gt;0</formula>
    </cfRule>
    <cfRule type="expression" dxfId="63" priority="6">
      <formula>F67&lt;0</formula>
    </cfRule>
  </conditionalFormatting>
  <conditionalFormatting sqref="J67:K67 K66 J68">
    <cfRule type="expression" dxfId="62" priority="3">
      <formula>J66&gt;0</formula>
    </cfRule>
    <cfRule type="expression" dxfId="61" priority="4">
      <formula>J66&lt;0</formula>
    </cfRule>
  </conditionalFormatting>
  <conditionalFormatting sqref="J69:J72">
    <cfRule type="expression" dxfId="60" priority="1">
      <formula>J69&gt;0</formula>
    </cfRule>
    <cfRule type="expression" dxfId="59" priority="2">
      <formula>J69&lt;0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37.909999999999997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37.909999999999997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206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6" t="s">
        <v>78</v>
      </c>
      <c r="P41" s="85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41.701000000000001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41.321899999999999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40.942799999999998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40.563699999999997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40.184599999999996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39.805499999999995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39.426400000000001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39.0473</v>
      </c>
      <c r="Q49" s="2"/>
      <c r="T49" s="10" t="s">
        <v>103</v>
      </c>
      <c r="U49" s="10" t="s">
        <v>523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38.668199999999999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38.289099999999998</v>
      </c>
      <c r="Q51" s="2"/>
      <c r="T51" s="10" t="s">
        <v>104</v>
      </c>
      <c r="U51" s="10" t="s">
        <v>650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37.909999999999997</v>
      </c>
      <c r="Q52" s="2"/>
      <c r="T52" s="10" t="s">
        <v>105</v>
      </c>
      <c r="U52" s="10" t="s">
        <v>477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37.530899999999995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37.151799999999994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36.772699999999993</v>
      </c>
      <c r="T55" s="10" t="s">
        <v>107</v>
      </c>
      <c r="U55" s="10" t="s">
        <v>651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36.393599999999992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36.014499999999998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35.635399999999997</v>
      </c>
      <c r="T58" s="10" t="s">
        <v>108</v>
      </c>
      <c r="U58" s="10" t="s">
        <v>549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35.256299999999996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34.877199999999995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34.498100000000001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34.119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8" priority="7">
      <formula>F22&gt;0</formula>
    </cfRule>
    <cfRule type="expression" dxfId="57" priority="8">
      <formula>F22&lt;0</formula>
    </cfRule>
  </conditionalFormatting>
  <conditionalFormatting sqref="H22:H26">
    <cfRule type="expression" dxfId="56" priority="5">
      <formula>H22&gt;0</formula>
    </cfRule>
    <cfRule type="expression" dxfId="55" priority="6">
      <formula>H22&lt;0</formula>
    </cfRule>
  </conditionalFormatting>
  <conditionalFormatting sqref="Q8">
    <cfRule type="expression" dxfId="54" priority="1">
      <formula>Q8&gt;0</formula>
    </cfRule>
    <cfRule type="expression" dxfId="53" priority="2">
      <formula>Q8&lt;0</formula>
    </cfRule>
  </conditionalFormatting>
  <conditionalFormatting sqref="Q7">
    <cfRule type="expression" dxfId="52" priority="3">
      <formula>Q7&gt;0</formula>
    </cfRule>
    <cfRule type="expression" dxfId="51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234.53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234.53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207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206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206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6" t="s">
        <v>78</v>
      </c>
      <c r="P45" s="856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257.983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255.63770000000002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253.29240000000001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250.94710000000001</v>
      </c>
      <c r="Q49" s="2"/>
      <c r="T49" s="91" t="s">
        <v>103</v>
      </c>
      <c r="U49" s="416" t="s">
        <v>550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248.60180000000003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246.25650000000002</v>
      </c>
      <c r="Q51" s="2"/>
      <c r="T51" s="91" t="s">
        <v>104</v>
      </c>
      <c r="U51" s="416" t="s">
        <v>652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243.91120000000001</v>
      </c>
      <c r="Q52" s="2"/>
      <c r="T52" s="91" t="s">
        <v>105</v>
      </c>
      <c r="U52" s="416" t="s">
        <v>524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241.5659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239.22060000000002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236.87530000000001</v>
      </c>
      <c r="Q55" s="2"/>
      <c r="T55" s="91" t="s">
        <v>107</v>
      </c>
      <c r="U55" s="416" t="s">
        <v>653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234.53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232.18469999999999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229.83939999999998</v>
      </c>
      <c r="Q58" s="2"/>
      <c r="T58" s="91" t="s">
        <v>108</v>
      </c>
      <c r="U58" s="416" t="s">
        <v>517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227.4941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225.14879999999999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222.80349999999999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220.45819999999998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218.11290000000002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215.76760000000002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213.42230000000001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211.077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0" priority="17">
      <formula>F21&gt;0</formula>
    </cfRule>
    <cfRule type="expression" dxfId="49" priority="18">
      <formula>F21&lt;0</formula>
    </cfRule>
  </conditionalFormatting>
  <conditionalFormatting sqref="H26 H31:H41 H21">
    <cfRule type="expression" dxfId="48" priority="15">
      <formula>H21&gt;0</formula>
    </cfRule>
    <cfRule type="expression" dxfId="47" priority="16">
      <formula>H21&lt;0</formula>
    </cfRule>
  </conditionalFormatting>
  <conditionalFormatting sqref="Q7">
    <cfRule type="expression" dxfId="46" priority="9">
      <formula>Q7&gt;0</formula>
    </cfRule>
    <cfRule type="expression" dxfId="45" priority="10">
      <formula>Q7&lt;0</formula>
    </cfRule>
  </conditionalFormatting>
  <conditionalFormatting sqref="Q8">
    <cfRule type="expression" dxfId="44" priority="7">
      <formula>Q8&gt;0</formula>
    </cfRule>
    <cfRule type="expression" dxfId="43" priority="8">
      <formula>Q8&lt;0</formula>
    </cfRule>
  </conditionalFormatting>
  <conditionalFormatting sqref="F27:F30 F22:F25">
    <cfRule type="expression" dxfId="42" priority="5">
      <formula>F22&gt;0</formula>
    </cfRule>
    <cfRule type="expression" dxfId="41" priority="6">
      <formula>F22&lt;0</formula>
    </cfRule>
  </conditionalFormatting>
  <conditionalFormatting sqref="H27:H30 H22:H25">
    <cfRule type="expression" dxfId="40" priority="3">
      <formula>H22&gt;0</formula>
    </cfRule>
    <cfRule type="expression" dxfId="39" priority="4">
      <formula>H22&lt;0</formula>
    </cfRule>
  </conditionalFormatting>
  <conditionalFormatting sqref="M43">
    <cfRule type="expression" dxfId="38" priority="1">
      <formula>M43&gt;0</formula>
    </cfRule>
    <cfRule type="expression" dxfId="37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49.25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49.25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206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54.175000000000004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53.682500000000005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53.190000000000005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52.697500000000005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52.205000000000005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51.712500000000006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51.22</v>
      </c>
      <c r="Q49" s="2"/>
      <c r="T49" s="91" t="s">
        <v>121</v>
      </c>
      <c r="U49" s="416" t="s">
        <v>368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50.727499999999999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50.234999999999999</v>
      </c>
      <c r="Q51" s="2"/>
      <c r="T51" s="91" t="s">
        <v>104</v>
      </c>
      <c r="U51" s="416" t="s">
        <v>654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49.7425</v>
      </c>
      <c r="Q52" s="2"/>
      <c r="T52" s="91" t="s">
        <v>105</v>
      </c>
      <c r="U52" s="416" t="s">
        <v>443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49.25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48.7575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48.265000000000001</v>
      </c>
      <c r="Q55" s="2"/>
      <c r="T55" s="91" t="s">
        <v>107</v>
      </c>
      <c r="U55" s="416" t="s">
        <v>655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47.772500000000001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47.28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46.787499999999994</v>
      </c>
      <c r="Q58" s="2"/>
      <c r="T58" s="91" t="s">
        <v>108</v>
      </c>
      <c r="U58" s="416" t="s">
        <v>551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46.294999999999995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45.802500000000002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45.31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44.817500000000003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44.325000000000003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6" priority="7">
      <formula>F21&gt;0</formula>
    </cfRule>
    <cfRule type="expression" dxfId="35" priority="8">
      <formula>F21&lt;0</formula>
    </cfRule>
  </conditionalFormatting>
  <conditionalFormatting sqref="H21:H32">
    <cfRule type="expression" dxfId="34" priority="5">
      <formula>H21&gt;0</formula>
    </cfRule>
    <cfRule type="expression" dxfId="33" priority="6">
      <formula>H21&lt;0</formula>
    </cfRule>
  </conditionalFormatting>
  <conditionalFormatting sqref="Q8">
    <cfRule type="expression" dxfId="32" priority="1">
      <formula>Q8&gt;0</formula>
    </cfRule>
    <cfRule type="expression" dxfId="31" priority="2">
      <formula>Q8&lt;0</formula>
    </cfRule>
  </conditionalFormatting>
  <conditionalFormatting sqref="Q7">
    <cfRule type="expression" dxfId="30" priority="3">
      <formula>Q7&gt;0</formula>
    </cfRule>
    <cfRule type="expression" dxfId="2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135.74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135.74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207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206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206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6" t="s">
        <v>78</v>
      </c>
      <c r="Q39" s="85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149.31400000000002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147.95660000000001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146.59920000000002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145.24180000000001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143.88440000000003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142.52700000000002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141.1696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139.81220000000002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138.45480000000001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137.09740000000002</v>
      </c>
      <c r="T49" s="91" t="s">
        <v>121</v>
      </c>
      <c r="U49" s="86" t="s">
        <v>368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135.74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134.3826</v>
      </c>
      <c r="T51" s="91" t="s">
        <v>104</v>
      </c>
      <c r="U51" s="86" t="s">
        <v>656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133.02520000000001</v>
      </c>
      <c r="T52" s="91" t="s">
        <v>105</v>
      </c>
      <c r="U52" s="86" t="s">
        <v>499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131.6678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130.31040000000002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128.953</v>
      </c>
      <c r="T55" s="91" t="s">
        <v>107</v>
      </c>
      <c r="U55" s="86" t="s">
        <v>657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127.5956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126.23820000000002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124.88080000000001</v>
      </c>
      <c r="T58" s="91" t="s">
        <v>108</v>
      </c>
      <c r="U58" s="86" t="s">
        <v>552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123.52340000000001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122.16600000000001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8" priority="3">
      <formula>Q7&gt;0</formula>
    </cfRule>
    <cfRule type="expression" dxfId="27" priority="4">
      <formula>Q7&lt;0</formula>
    </cfRule>
  </conditionalFormatting>
  <conditionalFormatting sqref="Q8">
    <cfRule type="expression" dxfId="26" priority="1">
      <formula>Q8&gt;0</formula>
    </cfRule>
    <cfRule type="expression" dxfId="25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253.22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253.22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207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206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206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6" t="s">
        <v>78</v>
      </c>
      <c r="P41" s="85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278.54200000000003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276.00980000000004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273.4776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270.94540000000001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268.41320000000002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265.88100000000003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263.34879999999998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260.81659999999999</v>
      </c>
      <c r="Q49" s="81"/>
      <c r="T49" s="91" t="s">
        <v>103</v>
      </c>
      <c r="U49" s="86" t="s">
        <v>512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258.28440000000001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255.75219999999999</v>
      </c>
      <c r="Q51" s="81"/>
      <c r="T51" s="91" t="s">
        <v>104</v>
      </c>
      <c r="U51" s="86" t="s">
        <v>658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253.22</v>
      </c>
      <c r="Q52" s="81"/>
      <c r="T52" s="91" t="s">
        <v>105</v>
      </c>
      <c r="U52" s="86" t="s">
        <v>507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250.68780000000001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248.15559999999999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245.6234</v>
      </c>
      <c r="Q55" s="81"/>
      <c r="T55" s="91" t="s">
        <v>107</v>
      </c>
      <c r="U55" s="86" t="s">
        <v>659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243.09119999999999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240.559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238.02679999999998</v>
      </c>
      <c r="Q58" s="81"/>
      <c r="T58" s="91" t="s">
        <v>108</v>
      </c>
      <c r="U58" s="86" t="s">
        <v>553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235.49460000000002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232.9624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230.43020000000001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227.898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4" priority="13">
      <formula>F21&gt;0</formula>
    </cfRule>
    <cfRule type="expression" dxfId="23" priority="14">
      <formula>F21&lt;0</formula>
    </cfRule>
  </conditionalFormatting>
  <conditionalFormatting sqref="F22">
    <cfRule type="expression" dxfId="22" priority="11">
      <formula>F22&gt;0</formula>
    </cfRule>
    <cfRule type="expression" dxfId="21" priority="12">
      <formula>F22&lt;0</formula>
    </cfRule>
  </conditionalFormatting>
  <conditionalFormatting sqref="F23:F30">
    <cfRule type="expression" dxfId="20" priority="9">
      <formula>F23&gt;0</formula>
    </cfRule>
    <cfRule type="expression" dxfId="19" priority="10">
      <formula>F23&lt;0</formula>
    </cfRule>
  </conditionalFormatting>
  <conditionalFormatting sqref="H21:H31">
    <cfRule type="expression" dxfId="18" priority="7">
      <formula>H21&gt;0</formula>
    </cfRule>
    <cfRule type="expression" dxfId="17" priority="8">
      <formula>H21&lt;0</formula>
    </cfRule>
  </conditionalFormatting>
  <conditionalFormatting sqref="F24">
    <cfRule type="expression" dxfId="16" priority="5">
      <formula>F24&gt;0</formula>
    </cfRule>
    <cfRule type="expression" dxfId="15" priority="6">
      <formula>F24&lt;0</formula>
    </cfRule>
  </conditionalFormatting>
  <conditionalFormatting sqref="Q8">
    <cfRule type="expression" dxfId="14" priority="1">
      <formula>Q8&gt;0</formula>
    </cfRule>
    <cfRule type="expression" dxfId="13" priority="2">
      <formula>Q8&lt;0</formula>
    </cfRule>
  </conditionalFormatting>
  <conditionalFormatting sqref="Q7">
    <cfRule type="expression" dxfId="12" priority="3">
      <formula>Q7&gt;0</formula>
    </cfRule>
    <cfRule type="expression" dxfId="1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74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2018-08-03T04:05:37Z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